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prashanth_vanam_capgemini_com/Documents/Documents/Backup/Prashanth/"/>
    </mc:Choice>
  </mc:AlternateContent>
  <xr:revisionPtr revIDLastSave="54" documentId="13_ncr:1_{E8E6D487-5838-42ED-8F68-ED5FA001AFC6}" xr6:coauthVersionLast="47" xr6:coauthVersionMax="47" xr10:uidLastSave="{1AC4C3A9-B82C-452C-A93B-F805D45DC4D8}"/>
  <bookViews>
    <workbookView xWindow="-108" yWindow="-108" windowWidth="23256" windowHeight="12456" firstSheet="55" activeTab="60" xr2:uid="{00000000-000D-0000-FFFF-FFFF00000000}"/>
  </bookViews>
  <sheets>
    <sheet name="Jun19" sheetId="1" r:id="rId1"/>
    <sheet name="July19" sheetId="2" r:id="rId2"/>
    <sheet name="August 19" sheetId="3" r:id="rId3"/>
    <sheet name="September19" sheetId="4" r:id="rId4"/>
    <sheet name="October 19" sheetId="5" r:id="rId5"/>
    <sheet name="November 19" sheetId="6" r:id="rId6"/>
    <sheet name="December 19" sheetId="7" r:id="rId7"/>
    <sheet name="January 20" sheetId="8" r:id="rId8"/>
    <sheet name="February 20" sheetId="9" r:id="rId9"/>
    <sheet name="March 20" sheetId="10" r:id="rId10"/>
    <sheet name="April 20" sheetId="11" r:id="rId11"/>
    <sheet name="Sheet1" sheetId="12" r:id="rId12"/>
    <sheet name="Sheet2" sheetId="13" r:id="rId13"/>
    <sheet name="January 21" sheetId="14" r:id="rId14"/>
    <sheet name="February 21" sheetId="15" r:id="rId15"/>
    <sheet name="March 21" sheetId="16" r:id="rId16"/>
    <sheet name="April 21" sheetId="17" r:id="rId17"/>
    <sheet name="May 21" sheetId="18" r:id="rId18"/>
    <sheet name="June 21" sheetId="19" r:id="rId19"/>
    <sheet name="July 21" sheetId="20" r:id="rId20"/>
    <sheet name="August 21" sheetId="21" r:id="rId21"/>
    <sheet name="September 21" sheetId="22" r:id="rId22"/>
    <sheet name="January 22" sheetId="23" r:id="rId23"/>
    <sheet name="Feburary 22" sheetId="25" r:id="rId24"/>
    <sheet name="March 22" sheetId="26" r:id="rId25"/>
    <sheet name="April 22" sheetId="27" r:id="rId26"/>
    <sheet name="May 22" sheetId="28" r:id="rId27"/>
    <sheet name="June 22" sheetId="29" r:id="rId28"/>
    <sheet name="July 22" sheetId="30" r:id="rId29"/>
    <sheet name="August 22" sheetId="31" r:id="rId30"/>
    <sheet name="September 22" sheetId="32" r:id="rId31"/>
    <sheet name="October 22" sheetId="33" r:id="rId32"/>
    <sheet name="November 22" sheetId="35" r:id="rId33"/>
    <sheet name="December 22" sheetId="36" r:id="rId34"/>
    <sheet name="January 23" sheetId="37" r:id="rId35"/>
    <sheet name="February 23" sheetId="40" r:id="rId36"/>
    <sheet name="March 23" sheetId="43" r:id="rId37"/>
    <sheet name="April 23" sheetId="44" r:id="rId38"/>
    <sheet name="May 23" sheetId="46" r:id="rId39"/>
    <sheet name="June 23" sheetId="47" r:id="rId40"/>
    <sheet name="July 23" sheetId="48" r:id="rId41"/>
    <sheet name="August 23" sheetId="49" r:id="rId42"/>
    <sheet name="September 23" sheetId="41" r:id="rId43"/>
    <sheet name="October 23" sheetId="50" r:id="rId44"/>
    <sheet name="November 23" sheetId="51" r:id="rId45"/>
    <sheet name="December 23" sheetId="52" r:id="rId46"/>
    <sheet name="January 24" sheetId="53" r:id="rId47"/>
    <sheet name="February 24" sheetId="54" r:id="rId48"/>
    <sheet name="March 24" sheetId="55" r:id="rId49"/>
    <sheet name="April 24" sheetId="56" r:id="rId50"/>
    <sheet name="May 24" sheetId="57" r:id="rId51"/>
    <sheet name="June 24" sheetId="58" r:id="rId52"/>
    <sheet name="July 24" sheetId="60" r:id="rId53"/>
    <sheet name="August 24" sheetId="59" r:id="rId54"/>
    <sheet name="September 24" sheetId="61" r:id="rId55"/>
    <sheet name="October 24" sheetId="63" r:id="rId56"/>
    <sheet name="November_24" sheetId="64" r:id="rId57"/>
    <sheet name="December_24" sheetId="65" r:id="rId58"/>
    <sheet name="January_25" sheetId="66" r:id="rId59"/>
    <sheet name="February_25" sheetId="67" r:id="rId60"/>
    <sheet name="March_25" sheetId="68" r:id="rId61"/>
    <sheet name="April_25" sheetId="69" r:id="rId6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2" i="69" l="1"/>
  <c r="Z52" i="69"/>
  <c r="X52" i="69"/>
  <c r="AA50" i="69"/>
  <c r="AF49" i="69"/>
  <c r="AE49" i="69"/>
  <c r="AA49" i="69"/>
  <c r="AA48" i="69"/>
  <c r="AA47" i="69"/>
  <c r="AA46" i="69"/>
  <c r="AA45" i="69"/>
  <c r="AA44" i="69"/>
  <c r="AA43" i="69"/>
  <c r="AA42" i="69"/>
  <c r="AA41" i="69"/>
  <c r="AA40" i="69"/>
  <c r="X35" i="69"/>
  <c r="AH33" i="69"/>
  <c r="AG33" i="69"/>
  <c r="AH32" i="69"/>
  <c r="AG32" i="69"/>
  <c r="O32" i="69"/>
  <c r="P33" i="69" s="1"/>
  <c r="AH31" i="69"/>
  <c r="AG31" i="69"/>
  <c r="AG30" i="69"/>
  <c r="AH30" i="69" s="1"/>
  <c r="L30" i="69"/>
  <c r="L32" i="69" s="1"/>
  <c r="L35" i="69" s="1"/>
  <c r="AG29" i="69"/>
  <c r="AF29" i="69" s="1"/>
  <c r="O28" i="69"/>
  <c r="H28" i="69"/>
  <c r="Y26" i="69"/>
  <c r="X26" i="69"/>
  <c r="C20" i="69"/>
  <c r="AF23" i="69"/>
  <c r="AF24" i="69" s="1"/>
  <c r="AC22" i="69"/>
  <c r="AC24" i="69" s="1"/>
  <c r="X20" i="69"/>
  <c r="S19" i="69"/>
  <c r="S22" i="69" s="1"/>
  <c r="S25" i="69" s="1"/>
  <c r="S28" i="69" s="1"/>
  <c r="AC18" i="69"/>
  <c r="Y16" i="69"/>
  <c r="X16" i="69"/>
  <c r="P15" i="69"/>
  <c r="L14" i="69"/>
  <c r="B20" i="69"/>
  <c r="AI13" i="69"/>
  <c r="AI15" i="69" s="1"/>
  <c r="L13" i="69"/>
  <c r="B12" i="69"/>
  <c r="L12" i="69"/>
  <c r="L11" i="69"/>
  <c r="AI10" i="69"/>
  <c r="Y10" i="69"/>
  <c r="X10" i="69"/>
  <c r="X27" i="69" s="1"/>
  <c r="X36" i="69" s="1"/>
  <c r="L10" i="69"/>
  <c r="L9" i="69"/>
  <c r="AE8" i="69"/>
  <c r="AE9" i="69" s="1"/>
  <c r="P8" i="69"/>
  <c r="P16" i="69" s="1"/>
  <c r="P19" i="69" s="1"/>
  <c r="L8" i="69"/>
  <c r="L7" i="69"/>
  <c r="L6" i="69"/>
  <c r="F6" i="69"/>
  <c r="L5" i="69"/>
  <c r="L15" i="69" s="1"/>
  <c r="L3" i="69"/>
  <c r="O2" i="69"/>
  <c r="S3" i="69" s="1"/>
  <c r="L2" i="69"/>
  <c r="B13" i="68"/>
  <c r="Z52" i="68"/>
  <c r="X52" i="68"/>
  <c r="AA50" i="68"/>
  <c r="AF49" i="68"/>
  <c r="AE49" i="68"/>
  <c r="AA49" i="68"/>
  <c r="AA48" i="68"/>
  <c r="AA47" i="68"/>
  <c r="AA52" i="68" s="1"/>
  <c r="AA46" i="68"/>
  <c r="AA45" i="68"/>
  <c r="AA44" i="68"/>
  <c r="AA43" i="68"/>
  <c r="AA42" i="68"/>
  <c r="AA41" i="68"/>
  <c r="AA40" i="68"/>
  <c r="X35" i="68"/>
  <c r="L35" i="68"/>
  <c r="AH33" i="68"/>
  <c r="AG33" i="68"/>
  <c r="AH32" i="68"/>
  <c r="AG32" i="68"/>
  <c r="O32" i="68"/>
  <c r="P33" i="68" s="1"/>
  <c r="L32" i="68"/>
  <c r="AH31" i="68"/>
  <c r="AG31" i="68"/>
  <c r="AG30" i="68"/>
  <c r="AH30" i="68" s="1"/>
  <c r="L30" i="68"/>
  <c r="AG29" i="68"/>
  <c r="AF29" i="68"/>
  <c r="O28" i="68"/>
  <c r="H28" i="68"/>
  <c r="Y26" i="68"/>
  <c r="X26" i="68"/>
  <c r="C25" i="68"/>
  <c r="F24" i="68"/>
  <c r="F30" i="68" s="1"/>
  <c r="AF23" i="68"/>
  <c r="AF24" i="68" s="1"/>
  <c r="AC22" i="68"/>
  <c r="AC24" i="68" s="1"/>
  <c r="S22" i="68"/>
  <c r="S25" i="68" s="1"/>
  <c r="S28" i="68" s="1"/>
  <c r="X20" i="68"/>
  <c r="S19" i="68"/>
  <c r="AC18" i="68"/>
  <c r="Y16" i="68"/>
  <c r="X16" i="68"/>
  <c r="P16" i="68"/>
  <c r="P19" i="68" s="1"/>
  <c r="D16" i="68"/>
  <c r="P15" i="68"/>
  <c r="L14" i="68"/>
  <c r="B14" i="68"/>
  <c r="AI13" i="68"/>
  <c r="AI15" i="68" s="1"/>
  <c r="L13" i="68"/>
  <c r="B25" i="68"/>
  <c r="L12" i="68"/>
  <c r="L11" i="68"/>
  <c r="AI10" i="68"/>
  <c r="Y10" i="68"/>
  <c r="X10" i="68"/>
  <c r="X27" i="68" s="1"/>
  <c r="X36" i="68" s="1"/>
  <c r="L10" i="68"/>
  <c r="AE9" i="68"/>
  <c r="L9" i="68"/>
  <c r="AE8" i="68"/>
  <c r="P8" i="68"/>
  <c r="L8" i="68"/>
  <c r="L7" i="68"/>
  <c r="L6" i="68"/>
  <c r="L15" i="68" s="1"/>
  <c r="F6" i="68"/>
  <c r="L5" i="68"/>
  <c r="L3" i="68"/>
  <c r="O2" i="68"/>
  <c r="S3" i="68" s="1"/>
  <c r="L2" i="68"/>
  <c r="B14" i="67"/>
  <c r="Z52" i="67"/>
  <c r="X52" i="67"/>
  <c r="AA50" i="67"/>
  <c r="AF49" i="67"/>
  <c r="AE49" i="67"/>
  <c r="AA49" i="67"/>
  <c r="AA48" i="67"/>
  <c r="AA47" i="67"/>
  <c r="AA46" i="67"/>
  <c r="AA45" i="67"/>
  <c r="AA52" i="67" s="1"/>
  <c r="AA44" i="67"/>
  <c r="AA43" i="67"/>
  <c r="AA42" i="67"/>
  <c r="AA41" i="67"/>
  <c r="AA40" i="67"/>
  <c r="X35" i="67"/>
  <c r="L35" i="67"/>
  <c r="AG33" i="67"/>
  <c r="AH33" i="67" s="1"/>
  <c r="AH32" i="67"/>
  <c r="AG32" i="67"/>
  <c r="O32" i="67"/>
  <c r="P33" i="67" s="1"/>
  <c r="L32" i="67"/>
  <c r="AG31" i="67"/>
  <c r="AH31" i="67" s="1"/>
  <c r="AG30" i="67"/>
  <c r="AH30" i="67" s="1"/>
  <c r="L30" i="67"/>
  <c r="AG29" i="67"/>
  <c r="AF29" i="67" s="1"/>
  <c r="O28" i="67"/>
  <c r="H28" i="67"/>
  <c r="Y26" i="67"/>
  <c r="X26" i="67"/>
  <c r="C25" i="67"/>
  <c r="F24" i="67"/>
  <c r="F30" i="67" s="1"/>
  <c r="AF23" i="67"/>
  <c r="AF24" i="67" s="1"/>
  <c r="AC22" i="67"/>
  <c r="AC24" i="67" s="1"/>
  <c r="X20" i="67"/>
  <c r="S19" i="67"/>
  <c r="S22" i="67" s="1"/>
  <c r="S25" i="67" s="1"/>
  <c r="S28" i="67" s="1"/>
  <c r="AC18" i="67"/>
  <c r="Y16" i="67"/>
  <c r="X16" i="67"/>
  <c r="D16" i="67"/>
  <c r="P15" i="67"/>
  <c r="L14" i="67"/>
  <c r="B13" i="67"/>
  <c r="B25" i="67" s="1"/>
  <c r="L13" i="67"/>
  <c r="L12" i="67"/>
  <c r="L11" i="67"/>
  <c r="AI10" i="67"/>
  <c r="AI13" i="67" s="1"/>
  <c r="AI15" i="67" s="1"/>
  <c r="Y10" i="67"/>
  <c r="X10" i="67"/>
  <c r="X27" i="67" s="1"/>
  <c r="X36" i="67" s="1"/>
  <c r="L10" i="67"/>
  <c r="L9" i="67"/>
  <c r="AE8" i="67"/>
  <c r="AE9" i="67" s="1"/>
  <c r="P8" i="67"/>
  <c r="P16" i="67" s="1"/>
  <c r="P19" i="67" s="1"/>
  <c r="L8" i="67"/>
  <c r="L7" i="67"/>
  <c r="L6" i="67"/>
  <c r="F6" i="67"/>
  <c r="L5" i="67"/>
  <c r="L15" i="67" s="1"/>
  <c r="L3" i="67"/>
  <c r="O2" i="67"/>
  <c r="S3" i="67" s="1"/>
  <c r="L2" i="67"/>
  <c r="Z52" i="66"/>
  <c r="X52" i="66"/>
  <c r="AA50" i="66"/>
  <c r="AF49" i="66"/>
  <c r="AE49" i="66"/>
  <c r="AA49" i="66"/>
  <c r="AA48" i="66"/>
  <c r="AA47" i="66"/>
  <c r="AA46" i="66"/>
  <c r="AA45" i="66"/>
  <c r="AA52" i="66" s="1"/>
  <c r="AA44" i="66"/>
  <c r="AA43" i="66"/>
  <c r="AA42" i="66"/>
  <c r="AA41" i="66"/>
  <c r="AA40" i="66"/>
  <c r="X35" i="66"/>
  <c r="AH33" i="66"/>
  <c r="AG33" i="66"/>
  <c r="AH32" i="66"/>
  <c r="AG32" i="66"/>
  <c r="O32" i="66"/>
  <c r="P33" i="66" s="1"/>
  <c r="L32" i="66"/>
  <c r="L35" i="66" s="1"/>
  <c r="AH31" i="66"/>
  <c r="AG31" i="66"/>
  <c r="AG30" i="66"/>
  <c r="AH30" i="66" s="1"/>
  <c r="L30" i="66"/>
  <c r="AG29" i="66"/>
  <c r="AF29" i="66"/>
  <c r="O28" i="66"/>
  <c r="H28" i="66"/>
  <c r="X27" i="66"/>
  <c r="X36" i="66" s="1"/>
  <c r="Y26" i="66"/>
  <c r="X26" i="66"/>
  <c r="C25" i="66"/>
  <c r="AF24" i="66"/>
  <c r="F24" i="66"/>
  <c r="F30" i="66" s="1"/>
  <c r="AF23" i="66"/>
  <c r="AC22" i="66"/>
  <c r="AC24" i="66" s="1"/>
  <c r="X20" i="66"/>
  <c r="S19" i="66"/>
  <c r="S22" i="66" s="1"/>
  <c r="S25" i="66" s="1"/>
  <c r="S28" i="66" s="1"/>
  <c r="AC18" i="66"/>
  <c r="Y16" i="66"/>
  <c r="X16" i="66"/>
  <c r="D16" i="66"/>
  <c r="P15" i="66"/>
  <c r="B15" i="66"/>
  <c r="L14" i="66"/>
  <c r="B14" i="66"/>
  <c r="B25" i="66" s="1"/>
  <c r="F7" i="66" s="1"/>
  <c r="L13" i="66"/>
  <c r="L12" i="66"/>
  <c r="L11" i="66"/>
  <c r="AI10" i="66"/>
  <c r="AI13" i="66" s="1"/>
  <c r="AI15" i="66" s="1"/>
  <c r="Y10" i="66"/>
  <c r="X10" i="66"/>
  <c r="L10" i="66"/>
  <c r="L9" i="66"/>
  <c r="AE8" i="66"/>
  <c r="AE9" i="66" s="1"/>
  <c r="P8" i="66"/>
  <c r="P16" i="66" s="1"/>
  <c r="P19" i="66" s="1"/>
  <c r="L8" i="66"/>
  <c r="L15" i="66" s="1"/>
  <c r="L7" i="66"/>
  <c r="L6" i="66"/>
  <c r="F6" i="66"/>
  <c r="L5" i="66"/>
  <c r="S3" i="66"/>
  <c r="S5" i="66" s="1"/>
  <c r="L3" i="66"/>
  <c r="O2" i="66"/>
  <c r="L2" i="66"/>
  <c r="B15" i="65"/>
  <c r="Z52" i="65"/>
  <c r="X52" i="65"/>
  <c r="AA50" i="65"/>
  <c r="AF49" i="65"/>
  <c r="AE49" i="65"/>
  <c r="AA49" i="65"/>
  <c r="AA48" i="65"/>
  <c r="AA47" i="65"/>
  <c r="AA52" i="65" s="1"/>
  <c r="AA46" i="65"/>
  <c r="AA45" i="65"/>
  <c r="AA44" i="65"/>
  <c r="AA43" i="65"/>
  <c r="AA42" i="65"/>
  <c r="AA41" i="65"/>
  <c r="AA40" i="65"/>
  <c r="X35" i="65"/>
  <c r="AH33" i="65"/>
  <c r="AG33" i="65"/>
  <c r="AH32" i="65"/>
  <c r="AG32" i="65"/>
  <c r="O32" i="65"/>
  <c r="P33" i="65" s="1"/>
  <c r="AH31" i="65"/>
  <c r="AG31" i="65"/>
  <c r="AG30" i="65"/>
  <c r="AH30" i="65" s="1"/>
  <c r="L30" i="65"/>
  <c r="L32" i="65" s="1"/>
  <c r="L35" i="65" s="1"/>
  <c r="AG29" i="65"/>
  <c r="AF29" i="65" s="1"/>
  <c r="O28" i="65"/>
  <c r="H28" i="65"/>
  <c r="Y26" i="65"/>
  <c r="X26" i="65"/>
  <c r="C25" i="65"/>
  <c r="AC24" i="65"/>
  <c r="F24" i="65"/>
  <c r="F30" i="65" s="1"/>
  <c r="AF23" i="65"/>
  <c r="AF24" i="65" s="1"/>
  <c r="AC22" i="65"/>
  <c r="S22" i="65"/>
  <c r="S25" i="65" s="1"/>
  <c r="S28" i="65" s="1"/>
  <c r="X20" i="65"/>
  <c r="B20" i="65"/>
  <c r="S19" i="65"/>
  <c r="AC18" i="65"/>
  <c r="Y16" i="65"/>
  <c r="X16" i="65"/>
  <c r="P16" i="65"/>
  <c r="P19" i="65" s="1"/>
  <c r="D16" i="65"/>
  <c r="P15" i="65"/>
  <c r="L14" i="65"/>
  <c r="B14" i="65"/>
  <c r="B25" i="65" s="1"/>
  <c r="L13" i="65"/>
  <c r="L12" i="65"/>
  <c r="L11" i="65"/>
  <c r="AI10" i="65"/>
  <c r="AI13" i="65" s="1"/>
  <c r="AI15" i="65" s="1"/>
  <c r="Y10" i="65"/>
  <c r="X10" i="65"/>
  <c r="X27" i="65" s="1"/>
  <c r="X36" i="65" s="1"/>
  <c r="L10" i="65"/>
  <c r="L9" i="65"/>
  <c r="AE8" i="65"/>
  <c r="AE9" i="65" s="1"/>
  <c r="P8" i="65"/>
  <c r="L8" i="65"/>
  <c r="L7" i="65"/>
  <c r="L15" i="65" s="1"/>
  <c r="L6" i="65"/>
  <c r="F6" i="65"/>
  <c r="L5" i="65"/>
  <c r="L3" i="65"/>
  <c r="O2" i="65"/>
  <c r="S3" i="65" s="1"/>
  <c r="L2" i="65"/>
  <c r="F6" i="64"/>
  <c r="Z52" i="64"/>
  <c r="X52" i="64"/>
  <c r="AA50" i="64"/>
  <c r="AF49" i="64"/>
  <c r="AE49" i="64"/>
  <c r="AA49" i="64"/>
  <c r="AA48" i="64"/>
  <c r="AA47" i="64"/>
  <c r="AA46" i="64"/>
  <c r="AA45" i="64"/>
  <c r="AA52" i="64" s="1"/>
  <c r="AA44" i="64"/>
  <c r="AA43" i="64"/>
  <c r="AA42" i="64"/>
  <c r="AA41" i="64"/>
  <c r="AA40" i="64"/>
  <c r="X35" i="64"/>
  <c r="L35" i="64"/>
  <c r="AG33" i="64"/>
  <c r="AH33" i="64" s="1"/>
  <c r="P33" i="64"/>
  <c r="AH32" i="64"/>
  <c r="AG32" i="64"/>
  <c r="O32" i="64"/>
  <c r="L32" i="64"/>
  <c r="AH31" i="64"/>
  <c r="AG31" i="64"/>
  <c r="AG30" i="64"/>
  <c r="AH30" i="64" s="1"/>
  <c r="L30" i="64"/>
  <c r="AG29" i="64"/>
  <c r="AF29" i="64"/>
  <c r="O28" i="64"/>
  <c r="H28" i="64"/>
  <c r="Y26" i="64"/>
  <c r="X26" i="64"/>
  <c r="C25" i="64"/>
  <c r="B25" i="64"/>
  <c r="F7" i="64" s="1"/>
  <c r="AF24" i="64"/>
  <c r="F24" i="64"/>
  <c r="F30" i="64" s="1"/>
  <c r="AF23" i="64"/>
  <c r="AC22" i="64"/>
  <c r="AC24" i="64" s="1"/>
  <c r="X20" i="64"/>
  <c r="B20" i="64"/>
  <c r="S19" i="64"/>
  <c r="S22" i="64" s="1"/>
  <c r="S25" i="64" s="1"/>
  <c r="S28" i="64" s="1"/>
  <c r="AC18" i="64"/>
  <c r="Y16" i="64"/>
  <c r="X16" i="64"/>
  <c r="D16" i="64"/>
  <c r="P15" i="64"/>
  <c r="L14" i="64"/>
  <c r="B14" i="64"/>
  <c r="L13" i="64"/>
  <c r="L12" i="64"/>
  <c r="L11" i="64"/>
  <c r="AI10" i="64"/>
  <c r="AI13" i="64" s="1"/>
  <c r="AI15" i="64" s="1"/>
  <c r="Y10" i="64"/>
  <c r="X10" i="64"/>
  <c r="X27" i="64" s="1"/>
  <c r="X36" i="64" s="1"/>
  <c r="L10" i="64"/>
  <c r="L9" i="64"/>
  <c r="AE8" i="64"/>
  <c r="AE9" i="64" s="1"/>
  <c r="P8" i="64"/>
  <c r="P16" i="64" s="1"/>
  <c r="P19" i="64" s="1"/>
  <c r="L8" i="64"/>
  <c r="L7" i="64"/>
  <c r="L6" i="64"/>
  <c r="L5" i="64"/>
  <c r="L15" i="64" s="1"/>
  <c r="S3" i="64"/>
  <c r="S5" i="64" s="1"/>
  <c r="L3" i="64"/>
  <c r="O2" i="64"/>
  <c r="L2" i="64"/>
  <c r="B14" i="63"/>
  <c r="AF49" i="63"/>
  <c r="AE49" i="63"/>
  <c r="Z52" i="63"/>
  <c r="X52" i="63"/>
  <c r="AA50" i="63"/>
  <c r="B20" i="63" s="1"/>
  <c r="AA49" i="63"/>
  <c r="AA48" i="63"/>
  <c r="AA47" i="63"/>
  <c r="AA46" i="63"/>
  <c r="AA45" i="63"/>
  <c r="AA52" i="63" s="1"/>
  <c r="AA44" i="63"/>
  <c r="AA43" i="63"/>
  <c r="AA42" i="63"/>
  <c r="AA41" i="63"/>
  <c r="AA40" i="63"/>
  <c r="X35" i="63"/>
  <c r="AG33" i="63"/>
  <c r="AH33" i="63" s="1"/>
  <c r="AG32" i="63"/>
  <c r="AH32" i="63" s="1"/>
  <c r="O32" i="63"/>
  <c r="P33" i="63" s="1"/>
  <c r="AG31" i="63"/>
  <c r="AH31" i="63" s="1"/>
  <c r="AG30" i="63"/>
  <c r="AH30" i="63" s="1"/>
  <c r="L30" i="63"/>
  <c r="L32" i="63" s="1"/>
  <c r="L35" i="63" s="1"/>
  <c r="AG29" i="63"/>
  <c r="AF29" i="63"/>
  <c r="O28" i="63"/>
  <c r="H28" i="63"/>
  <c r="Y26" i="63"/>
  <c r="X26" i="63"/>
  <c r="C25" i="63"/>
  <c r="F24" i="63"/>
  <c r="F30" i="63" s="1"/>
  <c r="AF23" i="63"/>
  <c r="AF24" i="63" s="1"/>
  <c r="AC22" i="63"/>
  <c r="AC24" i="63" s="1"/>
  <c r="X20" i="63"/>
  <c r="S19" i="63"/>
  <c r="S22" i="63" s="1"/>
  <c r="S25" i="63" s="1"/>
  <c r="S28" i="63" s="1"/>
  <c r="AC18" i="63"/>
  <c r="Y16" i="63"/>
  <c r="X16" i="63"/>
  <c r="D16" i="63"/>
  <c r="P15" i="63"/>
  <c r="L14" i="63"/>
  <c r="L13" i="63"/>
  <c r="L12" i="63"/>
  <c r="L11" i="63"/>
  <c r="AI10" i="63"/>
  <c r="AI13" i="63" s="1"/>
  <c r="AI15" i="63" s="1"/>
  <c r="Y10" i="63"/>
  <c r="X10" i="63"/>
  <c r="X27" i="63" s="1"/>
  <c r="X36" i="63" s="1"/>
  <c r="L10" i="63"/>
  <c r="L9" i="63"/>
  <c r="AE8" i="63"/>
  <c r="AE9" i="63" s="1"/>
  <c r="P8" i="63"/>
  <c r="L8" i="63"/>
  <c r="L7" i="63"/>
  <c r="L6" i="63"/>
  <c r="L15" i="63" s="1"/>
  <c r="L5" i="63"/>
  <c r="L3" i="63"/>
  <c r="O2" i="63"/>
  <c r="S3" i="63" s="1"/>
  <c r="L2" i="63"/>
  <c r="AA52" i="61"/>
  <c r="B15" i="61"/>
  <c r="B20" i="61"/>
  <c r="Z52" i="61"/>
  <c r="X52" i="61"/>
  <c r="AA50" i="61"/>
  <c r="AA49" i="61"/>
  <c r="AA48" i="61"/>
  <c r="AA47" i="61"/>
  <c r="AA46" i="61"/>
  <c r="AA45" i="61"/>
  <c r="AA44" i="61"/>
  <c r="AA43" i="61"/>
  <c r="AA42" i="61"/>
  <c r="AA41" i="61"/>
  <c r="AA40" i="61"/>
  <c r="X35" i="61"/>
  <c r="L35" i="61"/>
  <c r="AH33" i="61"/>
  <c r="AG33" i="61"/>
  <c r="P33" i="61"/>
  <c r="AH32" i="61"/>
  <c r="AG32" i="61"/>
  <c r="O32" i="61"/>
  <c r="L32" i="61"/>
  <c r="AH31" i="61"/>
  <c r="AG31" i="61"/>
  <c r="AG30" i="61"/>
  <c r="AH30" i="61" s="1"/>
  <c r="L30" i="61"/>
  <c r="AG29" i="61"/>
  <c r="AF29" i="61" s="1"/>
  <c r="O28" i="61"/>
  <c r="H28" i="61"/>
  <c r="Y26" i="61"/>
  <c r="X26" i="61"/>
  <c r="C25" i="61"/>
  <c r="B25" i="61"/>
  <c r="F7" i="61" s="1"/>
  <c r="F24" i="61"/>
  <c r="F30" i="61" s="1"/>
  <c r="AF23" i="61"/>
  <c r="AF24" i="61" s="1"/>
  <c r="AC22" i="61"/>
  <c r="AC24" i="61" s="1"/>
  <c r="S22" i="61"/>
  <c r="S25" i="61" s="1"/>
  <c r="S28" i="61" s="1"/>
  <c r="X20" i="61"/>
  <c r="S19" i="61"/>
  <c r="P19" i="61"/>
  <c r="AC18" i="61"/>
  <c r="Y16" i="61"/>
  <c r="X16" i="61"/>
  <c r="P16" i="61"/>
  <c r="D16" i="61"/>
  <c r="P15" i="61"/>
  <c r="L14" i="61"/>
  <c r="L13" i="61"/>
  <c r="L12" i="61"/>
  <c r="L11" i="61"/>
  <c r="AI10" i="61"/>
  <c r="AI13" i="61" s="1"/>
  <c r="AI15" i="61" s="1"/>
  <c r="Y10" i="61"/>
  <c r="X10" i="61"/>
  <c r="X27" i="61" s="1"/>
  <c r="X36" i="61" s="1"/>
  <c r="L10" i="61"/>
  <c r="L9" i="61"/>
  <c r="AE8" i="61"/>
  <c r="AE9" i="61" s="1"/>
  <c r="P8" i="61"/>
  <c r="L8" i="61"/>
  <c r="L7" i="61"/>
  <c r="L6" i="61"/>
  <c r="F6" i="61"/>
  <c r="L5" i="61"/>
  <c r="L15" i="61" s="1"/>
  <c r="L3" i="61"/>
  <c r="O2" i="61"/>
  <c r="S3" i="61" s="1"/>
  <c r="L2" i="61"/>
  <c r="Y26" i="59"/>
  <c r="X26" i="59"/>
  <c r="X52" i="59"/>
  <c r="AA47" i="59"/>
  <c r="Z52" i="59"/>
  <c r="AA50" i="59"/>
  <c r="AA49" i="59"/>
  <c r="AA48" i="59"/>
  <c r="AH33" i="59"/>
  <c r="AG33" i="59"/>
  <c r="AG32" i="59"/>
  <c r="AH32" i="59" s="1"/>
  <c r="AG31" i="59"/>
  <c r="AH31" i="59" s="1"/>
  <c r="AG29" i="59"/>
  <c r="AG30" i="59"/>
  <c r="AH30" i="59"/>
  <c r="AA40" i="59"/>
  <c r="AA41" i="59"/>
  <c r="AA52" i="59" s="1"/>
  <c r="AA46" i="59"/>
  <c r="AA45" i="59"/>
  <c r="AA44" i="59"/>
  <c r="AA43" i="59"/>
  <c r="AA42" i="59"/>
  <c r="Z48" i="60"/>
  <c r="X48" i="60"/>
  <c r="AA46" i="60"/>
  <c r="AA45" i="60"/>
  <c r="AA44" i="60"/>
  <c r="AA43" i="60"/>
  <c r="AA42" i="60"/>
  <c r="AA41" i="60"/>
  <c r="AA40" i="60"/>
  <c r="AA48" i="60" s="1"/>
  <c r="X35" i="60"/>
  <c r="P33" i="60"/>
  <c r="O32" i="60"/>
  <c r="L32" i="60"/>
  <c r="L35" i="60" s="1"/>
  <c r="L30" i="60"/>
  <c r="O28" i="60"/>
  <c r="H28" i="60"/>
  <c r="C27" i="60"/>
  <c r="C29" i="60" s="1"/>
  <c r="Y26" i="60"/>
  <c r="X26" i="60"/>
  <c r="C25" i="60"/>
  <c r="B25" i="60"/>
  <c r="AF24" i="60"/>
  <c r="AC24" i="60"/>
  <c r="F24" i="60"/>
  <c r="F30" i="60" s="1"/>
  <c r="AF23" i="60"/>
  <c r="AC22" i="60"/>
  <c r="S22" i="60"/>
  <c r="S25" i="60" s="1"/>
  <c r="S28" i="60" s="1"/>
  <c r="X20" i="60"/>
  <c r="S19" i="60"/>
  <c r="AC18" i="60"/>
  <c r="Y16" i="60"/>
  <c r="X16" i="60"/>
  <c r="D16" i="60"/>
  <c r="P15" i="60"/>
  <c r="L14" i="60"/>
  <c r="AI13" i="60"/>
  <c r="AI15" i="60" s="1"/>
  <c r="L13" i="60"/>
  <c r="L12" i="60"/>
  <c r="L11" i="60"/>
  <c r="AI10" i="60"/>
  <c r="Y10" i="60"/>
  <c r="X10" i="60"/>
  <c r="X27" i="60" s="1"/>
  <c r="X36" i="60" s="1"/>
  <c r="L10" i="60"/>
  <c r="AE9" i="60"/>
  <c r="L9" i="60"/>
  <c r="AE8" i="60"/>
  <c r="P8" i="60"/>
  <c r="P16" i="60" s="1"/>
  <c r="P19" i="60" s="1"/>
  <c r="L8" i="60"/>
  <c r="L7" i="60"/>
  <c r="F7" i="60"/>
  <c r="L6" i="60"/>
  <c r="F6" i="60"/>
  <c r="L5" i="60"/>
  <c r="L15" i="60" s="1"/>
  <c r="L3" i="60"/>
  <c r="O2" i="60"/>
  <c r="S3" i="60" s="1"/>
  <c r="L2" i="60"/>
  <c r="X35" i="59"/>
  <c r="O32" i="59"/>
  <c r="P33" i="59" s="1"/>
  <c r="L30" i="59"/>
  <c r="L32" i="59" s="1"/>
  <c r="L35" i="59" s="1"/>
  <c r="O28" i="59"/>
  <c r="H28" i="59"/>
  <c r="C25" i="59"/>
  <c r="B25" i="59"/>
  <c r="F7" i="59" s="1"/>
  <c r="AF24" i="59"/>
  <c r="F24" i="59"/>
  <c r="F30" i="59" s="1"/>
  <c r="AF23" i="59"/>
  <c r="AC22" i="59"/>
  <c r="AC24" i="59" s="1"/>
  <c r="X20" i="59"/>
  <c r="S19" i="59"/>
  <c r="S22" i="59" s="1"/>
  <c r="S25" i="59" s="1"/>
  <c r="S28" i="59" s="1"/>
  <c r="AC18" i="59"/>
  <c r="Y16" i="59"/>
  <c r="X16" i="59"/>
  <c r="D16" i="59"/>
  <c r="P15" i="59"/>
  <c r="P16" i="59" s="1"/>
  <c r="P19" i="59" s="1"/>
  <c r="L14" i="59"/>
  <c r="AI13" i="59"/>
  <c r="AI15" i="59" s="1"/>
  <c r="L13" i="59"/>
  <c r="L12" i="59"/>
  <c r="L11" i="59"/>
  <c r="AI10" i="59"/>
  <c r="Y10" i="59"/>
  <c r="X10" i="59"/>
  <c r="L10" i="59"/>
  <c r="L9" i="59"/>
  <c r="AE8" i="59"/>
  <c r="AE9" i="59" s="1"/>
  <c r="P8" i="59"/>
  <c r="L8" i="59"/>
  <c r="L7" i="59"/>
  <c r="L6" i="59"/>
  <c r="F6" i="59"/>
  <c r="L5" i="59"/>
  <c r="L3" i="59"/>
  <c r="O2" i="59"/>
  <c r="S3" i="59" s="1"/>
  <c r="L2" i="59"/>
  <c r="X27" i="58"/>
  <c r="Y26" i="58"/>
  <c r="X26" i="58"/>
  <c r="X20" i="58"/>
  <c r="Y16" i="58"/>
  <c r="X16" i="58"/>
  <c r="Y10" i="58"/>
  <c r="X10" i="58"/>
  <c r="AA45" i="58"/>
  <c r="AA44" i="58"/>
  <c r="AA43" i="58"/>
  <c r="AA42" i="58"/>
  <c r="AA41" i="58"/>
  <c r="AA40" i="58"/>
  <c r="AA46" i="58"/>
  <c r="X35" i="58"/>
  <c r="X48" i="58"/>
  <c r="Z48" i="58"/>
  <c r="AF23" i="58"/>
  <c r="AF24" i="58" s="1"/>
  <c r="AC22" i="58"/>
  <c r="AC24" i="58" s="1"/>
  <c r="AI10" i="58"/>
  <c r="AI13" i="58" s="1"/>
  <c r="AI15" i="58" s="1"/>
  <c r="AE8" i="58"/>
  <c r="AC18" i="58"/>
  <c r="O32" i="58"/>
  <c r="P33" i="58" s="1"/>
  <c r="L30" i="58"/>
  <c r="L32" i="58" s="1"/>
  <c r="L35" i="58" s="1"/>
  <c r="O28" i="58"/>
  <c r="H28" i="58"/>
  <c r="C25" i="58"/>
  <c r="B25" i="58"/>
  <c r="F7" i="58" s="1"/>
  <c r="F24" i="58"/>
  <c r="F30" i="58" s="1"/>
  <c r="S19" i="58"/>
  <c r="S22" i="58" s="1"/>
  <c r="S25" i="58" s="1"/>
  <c r="S28" i="58" s="1"/>
  <c r="P15" i="58"/>
  <c r="L14" i="58"/>
  <c r="L13" i="58"/>
  <c r="L12" i="58"/>
  <c r="L11" i="58"/>
  <c r="L10" i="58"/>
  <c r="L9" i="58"/>
  <c r="P8" i="58"/>
  <c r="L8" i="58"/>
  <c r="L7" i="58"/>
  <c r="L6" i="58"/>
  <c r="F6" i="58"/>
  <c r="L5" i="58"/>
  <c r="L3" i="58"/>
  <c r="O2" i="58"/>
  <c r="S3" i="58" s="1"/>
  <c r="S5" i="58" s="1"/>
  <c r="L2" i="58"/>
  <c r="D16" i="57"/>
  <c r="U37" i="57"/>
  <c r="W39" i="57"/>
  <c r="U40" i="57" s="1"/>
  <c r="O31" i="57"/>
  <c r="P32" i="57" s="1"/>
  <c r="L29" i="57"/>
  <c r="L31" i="57" s="1"/>
  <c r="L34" i="57" s="1"/>
  <c r="O27" i="57"/>
  <c r="H27" i="57"/>
  <c r="F23" i="57"/>
  <c r="F29" i="57" s="1"/>
  <c r="S19" i="57"/>
  <c r="S21" i="57" s="1"/>
  <c r="S24" i="57" s="1"/>
  <c r="S27" i="57" s="1"/>
  <c r="P15" i="57"/>
  <c r="L14" i="57"/>
  <c r="L13" i="57"/>
  <c r="L12" i="57"/>
  <c r="L11" i="57"/>
  <c r="L10" i="57"/>
  <c r="L9" i="57"/>
  <c r="P8" i="57"/>
  <c r="L8" i="57"/>
  <c r="L7" i="57"/>
  <c r="L6" i="57"/>
  <c r="F6" i="57"/>
  <c r="L5" i="57"/>
  <c r="L3" i="57"/>
  <c r="O2" i="57"/>
  <c r="S3" i="57" s="1"/>
  <c r="L2" i="57"/>
  <c r="O31" i="56"/>
  <c r="P32" i="56" s="1"/>
  <c r="B12" i="56" s="1"/>
  <c r="B24" i="56" s="1"/>
  <c r="F7" i="56" s="1"/>
  <c r="L29" i="56"/>
  <c r="L31" i="56" s="1"/>
  <c r="L34" i="56" s="1"/>
  <c r="O27" i="56"/>
  <c r="H27" i="56"/>
  <c r="C24" i="56"/>
  <c r="F23" i="56"/>
  <c r="F29" i="56" s="1"/>
  <c r="S21" i="56"/>
  <c r="S24" i="56" s="1"/>
  <c r="S27" i="56" s="1"/>
  <c r="S19" i="56"/>
  <c r="P15" i="56"/>
  <c r="L14" i="56"/>
  <c r="L13" i="56"/>
  <c r="L12" i="56"/>
  <c r="L11" i="56"/>
  <c r="L10" i="56"/>
  <c r="L9" i="56"/>
  <c r="P8" i="56"/>
  <c r="P16" i="56" s="1"/>
  <c r="P19" i="56" s="1"/>
  <c r="L8" i="56"/>
  <c r="L7" i="56"/>
  <c r="L6" i="56"/>
  <c r="F6" i="56"/>
  <c r="L5" i="56"/>
  <c r="L15" i="56" s="1"/>
  <c r="L3" i="56"/>
  <c r="O2" i="56"/>
  <c r="S3" i="56" s="1"/>
  <c r="L2" i="56"/>
  <c r="O31" i="55"/>
  <c r="P32" i="55" s="1"/>
  <c r="B12" i="55" s="1"/>
  <c r="B24" i="55" s="1"/>
  <c r="F7" i="55" s="1"/>
  <c r="L29" i="55"/>
  <c r="L31" i="55" s="1"/>
  <c r="L34" i="55" s="1"/>
  <c r="O27" i="55"/>
  <c r="H27" i="55"/>
  <c r="C24" i="55"/>
  <c r="F23" i="55"/>
  <c r="F29" i="55" s="1"/>
  <c r="S21" i="55"/>
  <c r="S24" i="55" s="1"/>
  <c r="S27" i="55" s="1"/>
  <c r="S19" i="55"/>
  <c r="P15" i="55"/>
  <c r="L14" i="55"/>
  <c r="L13" i="55"/>
  <c r="L12" i="55"/>
  <c r="L11" i="55"/>
  <c r="L10" i="55"/>
  <c r="L9" i="55"/>
  <c r="P8" i="55"/>
  <c r="P16" i="55" s="1"/>
  <c r="P19" i="55" s="1"/>
  <c r="L8" i="55"/>
  <c r="L7" i="55"/>
  <c r="L6" i="55"/>
  <c r="F6" i="55"/>
  <c r="L5" i="55"/>
  <c r="L15" i="55" s="1"/>
  <c r="S3" i="55"/>
  <c r="S5" i="55" s="1"/>
  <c r="L3" i="55"/>
  <c r="O2" i="55"/>
  <c r="L2" i="55"/>
  <c r="C24" i="54"/>
  <c r="D13" i="53"/>
  <c r="C24" i="53"/>
  <c r="P32" i="54"/>
  <c r="B12" i="54" s="1"/>
  <c r="B24" i="54" s="1"/>
  <c r="F7" i="54" s="1"/>
  <c r="O31" i="54"/>
  <c r="L29" i="54"/>
  <c r="L31" i="54" s="1"/>
  <c r="L34" i="54" s="1"/>
  <c r="O27" i="54"/>
  <c r="H27" i="54"/>
  <c r="F23" i="54"/>
  <c r="F29" i="54" s="1"/>
  <c r="S21" i="54"/>
  <c r="S24" i="54" s="1"/>
  <c r="S27" i="54" s="1"/>
  <c r="S19" i="54"/>
  <c r="P15" i="54"/>
  <c r="L14" i="54"/>
  <c r="L13" i="54"/>
  <c r="L12" i="54"/>
  <c r="L11" i="54"/>
  <c r="L10" i="54"/>
  <c r="L9" i="54"/>
  <c r="P8" i="54"/>
  <c r="P16" i="54" s="1"/>
  <c r="P19" i="54" s="1"/>
  <c r="L8" i="54"/>
  <c r="L7" i="54"/>
  <c r="L6" i="54"/>
  <c r="F6" i="54"/>
  <c r="L5" i="54"/>
  <c r="L15" i="54" s="1"/>
  <c r="L3" i="54"/>
  <c r="O2" i="54"/>
  <c r="S3" i="54" s="1"/>
  <c r="L2" i="54"/>
  <c r="B15" i="52"/>
  <c r="H44" i="52"/>
  <c r="H33" i="52"/>
  <c r="P32" i="53"/>
  <c r="B12" i="53"/>
  <c r="B24" i="53" s="1"/>
  <c r="F7" i="53" s="1"/>
  <c r="O31" i="53"/>
  <c r="L31" i="53"/>
  <c r="L34" i="53" s="1"/>
  <c r="L29" i="53"/>
  <c r="O27" i="53"/>
  <c r="H27" i="53"/>
  <c r="F23" i="53"/>
  <c r="F29" i="53" s="1"/>
  <c r="S19" i="53"/>
  <c r="S21" i="53" s="1"/>
  <c r="S24" i="53" s="1"/>
  <c r="S27" i="53" s="1"/>
  <c r="P15" i="53"/>
  <c r="L14" i="53"/>
  <c r="L13" i="53"/>
  <c r="L12" i="53"/>
  <c r="L11" i="53"/>
  <c r="L10" i="53"/>
  <c r="L9" i="53"/>
  <c r="P8" i="53"/>
  <c r="P16" i="53" s="1"/>
  <c r="P19" i="53" s="1"/>
  <c r="L8" i="53"/>
  <c r="L7" i="53"/>
  <c r="L6" i="53"/>
  <c r="F6" i="53"/>
  <c r="L5" i="53"/>
  <c r="L15" i="53" s="1"/>
  <c r="L3" i="53"/>
  <c r="O2" i="53"/>
  <c r="S3" i="53" s="1"/>
  <c r="L2" i="53"/>
  <c r="H27" i="52"/>
  <c r="C21" i="51"/>
  <c r="C21" i="50"/>
  <c r="C20" i="51"/>
  <c r="L29" i="52"/>
  <c r="L31" i="52" s="1"/>
  <c r="L34" i="52" s="1"/>
  <c r="O27" i="52"/>
  <c r="S24" i="52"/>
  <c r="S27" i="52" s="1"/>
  <c r="C24" i="52"/>
  <c r="B24" i="52"/>
  <c r="F7" i="52" s="1"/>
  <c r="F23" i="52"/>
  <c r="F29" i="52" s="1"/>
  <c r="S21" i="52"/>
  <c r="S19" i="52"/>
  <c r="P15" i="52"/>
  <c r="P16" i="52" s="1"/>
  <c r="P19" i="52" s="1"/>
  <c r="L14" i="52"/>
  <c r="L13" i="52"/>
  <c r="L12" i="52"/>
  <c r="L11" i="52"/>
  <c r="L10" i="52"/>
  <c r="L9" i="52"/>
  <c r="P8" i="52"/>
  <c r="L8" i="52"/>
  <c r="L7" i="52"/>
  <c r="L6" i="52"/>
  <c r="F6" i="52"/>
  <c r="L5" i="52"/>
  <c r="L15" i="52" s="1"/>
  <c r="L3" i="52"/>
  <c r="O2" i="52"/>
  <c r="S3" i="52" s="1"/>
  <c r="L2" i="52"/>
  <c r="L29" i="51"/>
  <c r="L31" i="51" s="1"/>
  <c r="O27" i="51"/>
  <c r="C24" i="51"/>
  <c r="B24" i="51"/>
  <c r="F7" i="51" s="1"/>
  <c r="F23" i="51"/>
  <c r="F29" i="51" s="1"/>
  <c r="S19" i="51"/>
  <c r="S21" i="51" s="1"/>
  <c r="S24" i="51" s="1"/>
  <c r="S27" i="51" s="1"/>
  <c r="P15" i="51"/>
  <c r="L14" i="51"/>
  <c r="L13" i="51"/>
  <c r="L12" i="51"/>
  <c r="L11" i="51"/>
  <c r="L10" i="51"/>
  <c r="L9" i="51"/>
  <c r="P8" i="51"/>
  <c r="P16" i="51" s="1"/>
  <c r="P19" i="51" s="1"/>
  <c r="L8" i="51"/>
  <c r="L7" i="51"/>
  <c r="L6" i="51"/>
  <c r="F6" i="51"/>
  <c r="L5" i="51"/>
  <c r="L15" i="51" s="1"/>
  <c r="L3" i="51"/>
  <c r="O2" i="51"/>
  <c r="S3" i="51" s="1"/>
  <c r="L2" i="51"/>
  <c r="B24" i="50"/>
  <c r="F7" i="50" s="1"/>
  <c r="L29" i="50"/>
  <c r="L31" i="50" s="1"/>
  <c r="O27" i="50"/>
  <c r="C24" i="50"/>
  <c r="F23" i="50"/>
  <c r="F29" i="50" s="1"/>
  <c r="S19" i="50"/>
  <c r="S21" i="50" s="1"/>
  <c r="S24" i="50" s="1"/>
  <c r="S27" i="50" s="1"/>
  <c r="P15" i="50"/>
  <c r="L14" i="50"/>
  <c r="L13" i="50"/>
  <c r="L12" i="50"/>
  <c r="L11" i="50"/>
  <c r="L10" i="50"/>
  <c r="L9" i="50"/>
  <c r="P8" i="50"/>
  <c r="P16" i="50" s="1"/>
  <c r="P19" i="50" s="1"/>
  <c r="L8" i="50"/>
  <c r="L7" i="50"/>
  <c r="L6" i="50"/>
  <c r="L15" i="50" s="1"/>
  <c r="F6" i="50"/>
  <c r="L5" i="50"/>
  <c r="L3" i="50"/>
  <c r="O2" i="50"/>
  <c r="S3" i="50" s="1"/>
  <c r="L2" i="50"/>
  <c r="L34" i="41"/>
  <c r="B18" i="41"/>
  <c r="L31" i="41"/>
  <c r="L29" i="41"/>
  <c r="F23" i="41"/>
  <c r="F29" i="41" s="1"/>
  <c r="F23" i="49"/>
  <c r="F29" i="49" s="1"/>
  <c r="O27" i="41"/>
  <c r="C24" i="41"/>
  <c r="B24" i="41"/>
  <c r="F7" i="41" s="1"/>
  <c r="S19" i="41"/>
  <c r="S21" i="41" s="1"/>
  <c r="S24" i="41" s="1"/>
  <c r="S27" i="41" s="1"/>
  <c r="P15" i="41"/>
  <c r="L14" i="41"/>
  <c r="L13" i="41"/>
  <c r="L12" i="41"/>
  <c r="L11" i="41"/>
  <c r="L10" i="41"/>
  <c r="L9" i="41"/>
  <c r="P8" i="41"/>
  <c r="L8" i="41"/>
  <c r="L15" i="41" s="1"/>
  <c r="L7" i="41"/>
  <c r="L6" i="41"/>
  <c r="F6" i="41"/>
  <c r="L5" i="41"/>
  <c r="L3" i="41"/>
  <c r="O2" i="41"/>
  <c r="S3" i="41" s="1"/>
  <c r="S5" i="41" s="1"/>
  <c r="L2" i="41"/>
  <c r="O27" i="49"/>
  <c r="C24" i="49"/>
  <c r="B24" i="49"/>
  <c r="F7" i="49" s="1"/>
  <c r="S19" i="49"/>
  <c r="S21" i="49" s="1"/>
  <c r="S24" i="49" s="1"/>
  <c r="S27" i="49" s="1"/>
  <c r="P15" i="49"/>
  <c r="L14" i="49"/>
  <c r="L13" i="49"/>
  <c r="L12" i="49"/>
  <c r="L11" i="49"/>
  <c r="L10" i="49"/>
  <c r="L9" i="49"/>
  <c r="P8" i="49"/>
  <c r="P16" i="49" s="1"/>
  <c r="P19" i="49" s="1"/>
  <c r="L8" i="49"/>
  <c r="L15" i="49" s="1"/>
  <c r="L7" i="49"/>
  <c r="L6" i="49"/>
  <c r="F6" i="49"/>
  <c r="L5" i="49"/>
  <c r="S3" i="49"/>
  <c r="S5" i="49" s="1"/>
  <c r="L3" i="49"/>
  <c r="O2" i="49"/>
  <c r="L2" i="49"/>
  <c r="F6" i="48"/>
  <c r="O27" i="48"/>
  <c r="C24" i="48"/>
  <c r="F23" i="48"/>
  <c r="F29" i="48" s="1"/>
  <c r="S19" i="48"/>
  <c r="S21" i="48" s="1"/>
  <c r="S24" i="48" s="1"/>
  <c r="S27" i="48" s="1"/>
  <c r="P15" i="48"/>
  <c r="L14" i="48"/>
  <c r="L13" i="48"/>
  <c r="L12" i="48"/>
  <c r="L11" i="48"/>
  <c r="L10" i="48"/>
  <c r="L9" i="48"/>
  <c r="S8" i="48"/>
  <c r="P8" i="48"/>
  <c r="P16" i="48" s="1"/>
  <c r="P19" i="48" s="1"/>
  <c r="L8" i="48"/>
  <c r="L7" i="48"/>
  <c r="L6" i="48"/>
  <c r="S5" i="48"/>
  <c r="L5" i="48"/>
  <c r="L15" i="48" s="1"/>
  <c r="S3" i="48"/>
  <c r="L3" i="48"/>
  <c r="O2" i="48"/>
  <c r="L2" i="48"/>
  <c r="F23" i="47"/>
  <c r="F29" i="47" s="1"/>
  <c r="O27" i="47"/>
  <c r="S19" i="47"/>
  <c r="S21" i="47" s="1"/>
  <c r="S24" i="47" s="1"/>
  <c r="S27" i="47" s="1"/>
  <c r="P15" i="47"/>
  <c r="L14" i="47"/>
  <c r="L13" i="47"/>
  <c r="L12" i="47"/>
  <c r="L11" i="47"/>
  <c r="L10" i="47"/>
  <c r="L9" i="47"/>
  <c r="P8" i="47"/>
  <c r="P16" i="47" s="1"/>
  <c r="P19" i="47" s="1"/>
  <c r="L8" i="47"/>
  <c r="L7" i="47"/>
  <c r="L6" i="47"/>
  <c r="F6" i="47"/>
  <c r="L5" i="47"/>
  <c r="L3" i="47"/>
  <c r="O2" i="47"/>
  <c r="S3" i="47" s="1"/>
  <c r="L2" i="47"/>
  <c r="C15" i="46"/>
  <c r="B15" i="46"/>
  <c r="F29" i="46"/>
  <c r="S5" i="69" l="1"/>
  <c r="S8" i="69" s="1"/>
  <c r="C22" i="69"/>
  <c r="C24" i="69" s="1"/>
  <c r="F7" i="69"/>
  <c r="S5" i="68"/>
  <c r="S8" i="68"/>
  <c r="C27" i="68"/>
  <c r="C29" i="68" s="1"/>
  <c r="F7" i="68"/>
  <c r="S5" i="67"/>
  <c r="S8" i="67"/>
  <c r="F7" i="67"/>
  <c r="C27" i="67"/>
  <c r="C29" i="67" s="1"/>
  <c r="C27" i="66"/>
  <c r="C29" i="66" s="1"/>
  <c r="S8" i="66"/>
  <c r="S5" i="65"/>
  <c r="S8" i="65"/>
  <c r="F7" i="65"/>
  <c r="C27" i="65"/>
  <c r="C29" i="65" s="1"/>
  <c r="C27" i="64"/>
  <c r="C29" i="64" s="1"/>
  <c r="S8" i="64"/>
  <c r="B25" i="63"/>
  <c r="F7" i="63" s="1"/>
  <c r="P16" i="63"/>
  <c r="P19" i="63" s="1"/>
  <c r="S5" i="63"/>
  <c r="S8" i="63"/>
  <c r="C27" i="61"/>
  <c r="C29" i="61" s="1"/>
  <c r="S5" i="61"/>
  <c r="S8" i="61"/>
  <c r="X27" i="59"/>
  <c r="X36" i="59" s="1"/>
  <c r="L15" i="59"/>
  <c r="S5" i="60"/>
  <c r="S8" i="60" s="1"/>
  <c r="C27" i="59"/>
  <c r="C29" i="59" s="1"/>
  <c r="S5" i="59"/>
  <c r="S8" i="59"/>
  <c r="AA48" i="58"/>
  <c r="AE9" i="58"/>
  <c r="L15" i="58"/>
  <c r="P16" i="58"/>
  <c r="P19" i="58" s="1"/>
  <c r="C27" i="58"/>
  <c r="C29" i="58" s="1"/>
  <c r="S8" i="58"/>
  <c r="P16" i="57"/>
  <c r="P19" i="57" s="1"/>
  <c r="U41" i="57"/>
  <c r="L15" i="57"/>
  <c r="S5" i="57"/>
  <c r="S8" i="57" s="1"/>
  <c r="C26" i="56"/>
  <c r="C28" i="56" s="1"/>
  <c r="S5" i="56"/>
  <c r="S8" i="56" s="1"/>
  <c r="C26" i="55"/>
  <c r="C28" i="55" s="1"/>
  <c r="S8" i="55"/>
  <c r="C26" i="54"/>
  <c r="C28" i="54" s="1"/>
  <c r="S5" i="54"/>
  <c r="S8" i="54" s="1"/>
  <c r="C26" i="53"/>
  <c r="C28" i="53" s="1"/>
  <c r="S5" i="53"/>
  <c r="S8" i="53" s="1"/>
  <c r="C26" i="52"/>
  <c r="C28" i="52" s="1"/>
  <c r="S8" i="52"/>
  <c r="S5" i="52"/>
  <c r="C26" i="51"/>
  <c r="C28" i="51" s="1"/>
  <c r="S5" i="51"/>
  <c r="S8" i="51"/>
  <c r="L34" i="51"/>
  <c r="C26" i="50"/>
  <c r="C28" i="50" s="1"/>
  <c r="S5" i="50"/>
  <c r="S8" i="50"/>
  <c r="L34" i="50"/>
  <c r="B18" i="50"/>
  <c r="P16" i="41"/>
  <c r="P19" i="41" s="1"/>
  <c r="C26" i="41"/>
  <c r="C28" i="41" s="1"/>
  <c r="S8" i="41"/>
  <c r="C14" i="47"/>
  <c r="C24" i="47" s="1"/>
  <c r="B14" i="47"/>
  <c r="B24" i="47" s="1"/>
  <c r="F7" i="47" s="1"/>
  <c r="C26" i="49"/>
  <c r="C28" i="49" s="1"/>
  <c r="S8" i="49"/>
  <c r="B24" i="48"/>
  <c r="F7" i="48" s="1"/>
  <c r="L15" i="47"/>
  <c r="S5" i="47"/>
  <c r="S8" i="47" s="1"/>
  <c r="F6" i="46"/>
  <c r="F6" i="44"/>
  <c r="C24" i="46"/>
  <c r="O27" i="46"/>
  <c r="B24" i="46"/>
  <c r="F7" i="46" s="1"/>
  <c r="S19" i="46"/>
  <c r="S21" i="46" s="1"/>
  <c r="S24" i="46" s="1"/>
  <c r="S27" i="46" s="1"/>
  <c r="P15" i="46"/>
  <c r="L14" i="46"/>
  <c r="L13" i="46"/>
  <c r="L12" i="46"/>
  <c r="L11" i="46"/>
  <c r="L10" i="46"/>
  <c r="L9" i="46"/>
  <c r="P8" i="46"/>
  <c r="P16" i="46" s="1"/>
  <c r="P19" i="46" s="1"/>
  <c r="L8" i="46"/>
  <c r="L7" i="46"/>
  <c r="L6" i="46"/>
  <c r="L5" i="46"/>
  <c r="L15" i="46" s="1"/>
  <c r="L3" i="46"/>
  <c r="O2" i="46"/>
  <c r="S3" i="46" s="1"/>
  <c r="L2" i="46"/>
  <c r="F29" i="44"/>
  <c r="O27" i="44"/>
  <c r="C24" i="44"/>
  <c r="S19" i="44"/>
  <c r="S21" i="44" s="1"/>
  <c r="S24" i="44" s="1"/>
  <c r="S27" i="44" s="1"/>
  <c r="P15" i="44"/>
  <c r="L14" i="44"/>
  <c r="L13" i="44"/>
  <c r="L12" i="44"/>
  <c r="L11" i="44"/>
  <c r="L10" i="44"/>
  <c r="L9" i="44"/>
  <c r="P8" i="44"/>
  <c r="L8" i="44"/>
  <c r="L7" i="44"/>
  <c r="L6" i="44"/>
  <c r="L5" i="44"/>
  <c r="L3" i="44"/>
  <c r="O2" i="44"/>
  <c r="S3" i="44" s="1"/>
  <c r="L2" i="44"/>
  <c r="B24" i="44"/>
  <c r="B24" i="43"/>
  <c r="B2" i="43"/>
  <c r="F24" i="43"/>
  <c r="C24" i="43"/>
  <c r="S21" i="43"/>
  <c r="S24" i="43" s="1"/>
  <c r="S27" i="43" s="1"/>
  <c r="S19" i="43"/>
  <c r="P15" i="43"/>
  <c r="L14" i="43"/>
  <c r="L13" i="43"/>
  <c r="L12" i="43"/>
  <c r="L11" i="43"/>
  <c r="L10" i="43"/>
  <c r="L9" i="43"/>
  <c r="P8" i="43"/>
  <c r="P16" i="43" s="1"/>
  <c r="P19" i="43" s="1"/>
  <c r="L8" i="43"/>
  <c r="L7" i="43"/>
  <c r="L6" i="43"/>
  <c r="L15" i="43" s="1"/>
  <c r="F6" i="43"/>
  <c r="L5" i="43"/>
  <c r="L3" i="43"/>
  <c r="O2" i="43"/>
  <c r="S3" i="43" s="1"/>
  <c r="L2" i="43"/>
  <c r="L14" i="40"/>
  <c r="B24" i="40"/>
  <c r="F24" i="40"/>
  <c r="S19" i="40"/>
  <c r="S21" i="40" s="1"/>
  <c r="S24" i="40" s="1"/>
  <c r="S27" i="40" s="1"/>
  <c r="C24" i="40"/>
  <c r="P15" i="40"/>
  <c r="L13" i="40"/>
  <c r="L12" i="40"/>
  <c r="L11" i="40"/>
  <c r="L10" i="40"/>
  <c r="L9" i="40"/>
  <c r="P8" i="40"/>
  <c r="L8" i="40"/>
  <c r="L7" i="40"/>
  <c r="L6" i="40"/>
  <c r="F6" i="40"/>
  <c r="L5" i="40"/>
  <c r="L15" i="40" s="1"/>
  <c r="L3" i="40"/>
  <c r="O2" i="40"/>
  <c r="S3" i="40" s="1"/>
  <c r="S5" i="40" s="1"/>
  <c r="L2" i="40"/>
  <c r="C17" i="37"/>
  <c r="C24" i="37"/>
  <c r="F24" i="37"/>
  <c r="B17" i="37"/>
  <c r="B24" i="37" s="1"/>
  <c r="L14" i="37"/>
  <c r="L13" i="37"/>
  <c r="F6" i="37"/>
  <c r="S21" i="37"/>
  <c r="S24" i="37" s="1"/>
  <c r="S27" i="37" s="1"/>
  <c r="S19" i="37"/>
  <c r="P15" i="37"/>
  <c r="L12" i="37"/>
  <c r="L11" i="37"/>
  <c r="L10" i="37"/>
  <c r="L9" i="37"/>
  <c r="P8" i="37"/>
  <c r="P16" i="37" s="1"/>
  <c r="P19" i="37" s="1"/>
  <c r="L8" i="37"/>
  <c r="L7" i="37"/>
  <c r="L6" i="37"/>
  <c r="L5" i="37"/>
  <c r="L3" i="37"/>
  <c r="O2" i="37"/>
  <c r="S3" i="37" s="1"/>
  <c r="L2" i="37"/>
  <c r="C25" i="36"/>
  <c r="F6" i="36"/>
  <c r="B25" i="36"/>
  <c r="S19" i="36"/>
  <c r="S21" i="36" s="1"/>
  <c r="S24" i="36" s="1"/>
  <c r="S27" i="36" s="1"/>
  <c r="P15" i="36"/>
  <c r="L12" i="36"/>
  <c r="L11" i="36"/>
  <c r="L10" i="36"/>
  <c r="L9" i="36"/>
  <c r="P8" i="36"/>
  <c r="P16" i="36" s="1"/>
  <c r="P19" i="36" s="1"/>
  <c r="L8" i="36"/>
  <c r="L7" i="36"/>
  <c r="L6" i="36"/>
  <c r="L5" i="36"/>
  <c r="L13" i="36" s="1"/>
  <c r="L3" i="36"/>
  <c r="O2" i="36"/>
  <c r="S3" i="36" s="1"/>
  <c r="L2" i="36"/>
  <c r="F6" i="35"/>
  <c r="S21" i="35"/>
  <c r="S24" i="35" s="1"/>
  <c r="S27" i="35" s="1"/>
  <c r="C22" i="35"/>
  <c r="B22" i="35"/>
  <c r="S19" i="35"/>
  <c r="P15" i="35"/>
  <c r="P16" i="35" s="1"/>
  <c r="P19" i="35" s="1"/>
  <c r="L12" i="35"/>
  <c r="L11" i="35"/>
  <c r="P8" i="35"/>
  <c r="L10" i="35"/>
  <c r="L9" i="35"/>
  <c r="L8" i="35"/>
  <c r="L7" i="35"/>
  <c r="L6" i="35"/>
  <c r="L5" i="35"/>
  <c r="O2" i="35"/>
  <c r="S3" i="35" s="1"/>
  <c r="L3" i="35"/>
  <c r="L13" i="35" s="1"/>
  <c r="L2" i="35"/>
  <c r="C27" i="63" l="1"/>
  <c r="C29" i="63" s="1"/>
  <c r="C12" i="57"/>
  <c r="C24" i="57" s="1"/>
  <c r="B12" i="57"/>
  <c r="B24" i="57" s="1"/>
  <c r="F7" i="57" s="1"/>
  <c r="C26" i="47"/>
  <c r="C28" i="47" s="1"/>
  <c r="C26" i="48"/>
  <c r="C28" i="48" s="1"/>
  <c r="C26" i="46"/>
  <c r="C28" i="46" s="1"/>
  <c r="S5" i="46"/>
  <c r="S8" i="46" s="1"/>
  <c r="P16" i="44"/>
  <c r="P19" i="44" s="1"/>
  <c r="L15" i="44"/>
  <c r="S5" i="44"/>
  <c r="S8" i="44" s="1"/>
  <c r="C26" i="44"/>
  <c r="C28" i="44" s="1"/>
  <c r="C26" i="43"/>
  <c r="C28" i="43" s="1"/>
  <c r="S5" i="43"/>
  <c r="S8" i="43"/>
  <c r="P16" i="40"/>
  <c r="P19" i="40" s="1"/>
  <c r="C26" i="40"/>
  <c r="C28" i="40" s="1"/>
  <c r="S8" i="40"/>
  <c r="C26" i="37"/>
  <c r="C28" i="37" s="1"/>
  <c r="S5" i="37"/>
  <c r="S8" i="37" s="1"/>
  <c r="C27" i="36"/>
  <c r="C29" i="36" s="1"/>
  <c r="S8" i="36"/>
  <c r="S5" i="36"/>
  <c r="C24" i="35"/>
  <c r="S5" i="35"/>
  <c r="S8" i="35" s="1"/>
  <c r="B22" i="33"/>
  <c r="C22" i="33"/>
  <c r="C26" i="57" l="1"/>
  <c r="C28" i="57" s="1"/>
  <c r="C26" i="35"/>
  <c r="F41" i="33"/>
  <c r="I35" i="33"/>
  <c r="I36" i="33" s="1"/>
  <c r="I37" i="33" s="1"/>
  <c r="C35" i="33"/>
  <c r="R34" i="33"/>
  <c r="F34" i="33"/>
  <c r="R29" i="33"/>
  <c r="R36" i="33" s="1"/>
  <c r="I28" i="33"/>
  <c r="I29" i="33" s="1"/>
  <c r="I31" i="33" s="1"/>
  <c r="I32" i="33" s="1"/>
  <c r="I24" i="33"/>
  <c r="F23" i="33"/>
  <c r="R11" i="33"/>
  <c r="Z21" i="33"/>
  <c r="Z23" i="33" s="1"/>
  <c r="Z26" i="33" s="1"/>
  <c r="Z29" i="33" s="1"/>
  <c r="K19" i="33"/>
  <c r="W17" i="33"/>
  <c r="N17" i="33"/>
  <c r="N24" i="33" s="1"/>
  <c r="L12" i="33"/>
  <c r="L11" i="33"/>
  <c r="W10" i="33"/>
  <c r="R10" i="33"/>
  <c r="L10" i="33"/>
  <c r="R9" i="33"/>
  <c r="L9" i="33"/>
  <c r="L8" i="33"/>
  <c r="L7" i="33"/>
  <c r="L6" i="33"/>
  <c r="F6" i="33"/>
  <c r="N5" i="33"/>
  <c r="N7" i="33" s="1"/>
  <c r="L5" i="33"/>
  <c r="V4" i="33"/>
  <c r="Z5" i="33" s="1"/>
  <c r="L3" i="33"/>
  <c r="L2" i="33"/>
  <c r="Z21" i="32"/>
  <c r="Z23" i="32" s="1"/>
  <c r="Z26" i="32" s="1"/>
  <c r="Z29" i="32" s="1"/>
  <c r="R13" i="33" l="1"/>
  <c r="K20" i="33"/>
  <c r="N9" i="33"/>
  <c r="N12" i="33" s="1"/>
  <c r="L13" i="33"/>
  <c r="W18" i="33"/>
  <c r="W21" i="33" s="1"/>
  <c r="C24" i="33"/>
  <c r="R40" i="33" s="1"/>
  <c r="I38" i="33"/>
  <c r="I39" i="33" s="1"/>
  <c r="Z7" i="33"/>
  <c r="Z10" i="33" s="1"/>
  <c r="W17" i="32"/>
  <c r="W10" i="32"/>
  <c r="W18" i="32" s="1"/>
  <c r="W21" i="32" s="1"/>
  <c r="V4" i="32"/>
  <c r="Z5" i="32" s="1"/>
  <c r="N9" i="32"/>
  <c r="N12" i="32" s="1"/>
  <c r="F41" i="32"/>
  <c r="I36" i="32"/>
  <c r="I35" i="32"/>
  <c r="I37" i="32" s="1"/>
  <c r="C35" i="32"/>
  <c r="R34" i="32"/>
  <c r="F34" i="32"/>
  <c r="R29" i="32"/>
  <c r="R36" i="32" s="1"/>
  <c r="I29" i="32"/>
  <c r="I31" i="32" s="1"/>
  <c r="I28" i="32"/>
  <c r="I24" i="32"/>
  <c r="F23" i="32"/>
  <c r="C22" i="32"/>
  <c r="B22" i="32"/>
  <c r="R11" i="32" s="1"/>
  <c r="K19" i="32"/>
  <c r="N17" i="32"/>
  <c r="N24" i="32" s="1"/>
  <c r="L12" i="32"/>
  <c r="L11" i="32"/>
  <c r="R10" i="32"/>
  <c r="L10" i="32"/>
  <c r="R9" i="32"/>
  <c r="L9" i="32"/>
  <c r="L8" i="32"/>
  <c r="L7" i="32"/>
  <c r="L6" i="32"/>
  <c r="F6" i="32"/>
  <c r="N5" i="32"/>
  <c r="N7" i="32" s="1"/>
  <c r="L5" i="32"/>
  <c r="L13" i="32" s="1"/>
  <c r="L3" i="32"/>
  <c r="L2" i="32"/>
  <c r="V15" i="31"/>
  <c r="V10" i="31"/>
  <c r="U4" i="31"/>
  <c r="Y5" i="31" s="1"/>
  <c r="K19" i="31"/>
  <c r="I24" i="31"/>
  <c r="C26" i="33" l="1"/>
  <c r="K20" i="32"/>
  <c r="Z7" i="32"/>
  <c r="Z10" i="32" s="1"/>
  <c r="C24" i="32"/>
  <c r="C26" i="32" s="1"/>
  <c r="R13" i="32"/>
  <c r="I38" i="32"/>
  <c r="I39" i="32" s="1"/>
  <c r="I32" i="32"/>
  <c r="Y7" i="31"/>
  <c r="Y10" i="31" s="1"/>
  <c r="V13" i="31" s="1"/>
  <c r="V16" i="31" s="1"/>
  <c r="V19" i="31" s="1"/>
  <c r="C22" i="31"/>
  <c r="B22" i="31"/>
  <c r="F6" i="31"/>
  <c r="N5" i="31"/>
  <c r="N7" i="31" s="1"/>
  <c r="K20" i="31" s="1"/>
  <c r="R40" i="32" l="1"/>
  <c r="L11" i="31"/>
  <c r="L12" i="31"/>
  <c r="C35" i="31"/>
  <c r="C34" i="30"/>
  <c r="C22" i="30"/>
  <c r="B22" i="30"/>
  <c r="F41" i="31"/>
  <c r="I35" i="31"/>
  <c r="I36" i="31" s="1"/>
  <c r="I37" i="31" s="1"/>
  <c r="R34" i="31"/>
  <c r="F34" i="31"/>
  <c r="R29" i="31"/>
  <c r="R36" i="31" s="1"/>
  <c r="I28" i="31"/>
  <c r="I29" i="31" s="1"/>
  <c r="I31" i="31" s="1"/>
  <c r="I32" i="31" s="1"/>
  <c r="F23" i="31"/>
  <c r="R11" i="31"/>
  <c r="N17" i="31"/>
  <c r="N24" i="31" s="1"/>
  <c r="G13" i="31"/>
  <c r="F11" i="31"/>
  <c r="F13" i="31" s="1"/>
  <c r="F17" i="31" s="1"/>
  <c r="R10" i="31"/>
  <c r="L10" i="31"/>
  <c r="G10" i="31"/>
  <c r="R9" i="31"/>
  <c r="L9" i="31"/>
  <c r="L8" i="31"/>
  <c r="L7" i="31"/>
  <c r="L6" i="31"/>
  <c r="L5" i="31"/>
  <c r="L3" i="31"/>
  <c r="L2" i="31"/>
  <c r="L13" i="31" l="1"/>
  <c r="R13" i="31"/>
  <c r="C24" i="31"/>
  <c r="C26" i="31" s="1"/>
  <c r="I38" i="31"/>
  <c r="I39" i="31"/>
  <c r="L13" i="30"/>
  <c r="L3" i="30"/>
  <c r="L5" i="30"/>
  <c r="L6" i="30"/>
  <c r="L7" i="30"/>
  <c r="L8" i="30"/>
  <c r="L9" i="30"/>
  <c r="L10" i="30"/>
  <c r="L2" i="30"/>
  <c r="G4" i="30"/>
  <c r="R40" i="31" l="1"/>
  <c r="R10" i="30"/>
  <c r="F41" i="30"/>
  <c r="N38" i="30"/>
  <c r="N42" i="30" s="1"/>
  <c r="I35" i="30"/>
  <c r="I36" i="30" s="1"/>
  <c r="I37" i="30" s="1"/>
  <c r="R34" i="30"/>
  <c r="F34" i="30"/>
  <c r="R29" i="30"/>
  <c r="I28" i="30"/>
  <c r="I29" i="30" s="1"/>
  <c r="I31" i="30" s="1"/>
  <c r="I32" i="30" s="1"/>
  <c r="F23" i="30"/>
  <c r="N17" i="30"/>
  <c r="N24" i="30" s="1"/>
  <c r="C35" i="30"/>
  <c r="G13" i="30"/>
  <c r="F11" i="30"/>
  <c r="F13" i="30" s="1"/>
  <c r="F17" i="30" s="1"/>
  <c r="G10" i="30"/>
  <c r="F6" i="30"/>
  <c r="N27" i="30" s="1"/>
  <c r="N5" i="30"/>
  <c r="N7" i="30" s="1"/>
  <c r="R36" i="30" l="1"/>
  <c r="R9" i="30"/>
  <c r="R11" i="30"/>
  <c r="R13" i="30" s="1"/>
  <c r="C24" i="30"/>
  <c r="I38" i="30"/>
  <c r="I39" i="30" s="1"/>
  <c r="N10" i="30"/>
  <c r="F25" i="30"/>
  <c r="N25" i="30"/>
  <c r="N29" i="30" s="1"/>
  <c r="H13" i="29"/>
  <c r="K15" i="29"/>
  <c r="K17" i="29" s="1"/>
  <c r="C15" i="29" s="1"/>
  <c r="C34" i="29" s="1"/>
  <c r="R40" i="30" l="1"/>
  <c r="C26" i="30"/>
  <c r="B15" i="29"/>
  <c r="C35" i="29"/>
  <c r="C22" i="29"/>
  <c r="B22" i="29"/>
  <c r="G41" i="29" l="1"/>
  <c r="N38" i="29"/>
  <c r="N42" i="29" s="1"/>
  <c r="J35" i="29"/>
  <c r="J36" i="29" s="1"/>
  <c r="J37" i="29" s="1"/>
  <c r="R34" i="29"/>
  <c r="G34" i="29"/>
  <c r="R29" i="29"/>
  <c r="J28" i="29"/>
  <c r="J29" i="29" s="1"/>
  <c r="J31" i="29" s="1"/>
  <c r="J32" i="29" s="1"/>
  <c r="G23" i="29"/>
  <c r="R11" i="29"/>
  <c r="N17" i="29"/>
  <c r="N24" i="29" s="1"/>
  <c r="G11" i="29"/>
  <c r="G13" i="29" s="1"/>
  <c r="G17" i="29" s="1"/>
  <c r="R10" i="29"/>
  <c r="H10" i="29"/>
  <c r="R9" i="29"/>
  <c r="G6" i="29"/>
  <c r="N27" i="29" s="1"/>
  <c r="N5" i="29"/>
  <c r="N7" i="29" s="1"/>
  <c r="C33" i="28"/>
  <c r="C34" i="28" s="1"/>
  <c r="R36" i="29" l="1"/>
  <c r="N25" i="29"/>
  <c r="R13" i="29"/>
  <c r="C24" i="29"/>
  <c r="R40" i="29" s="1"/>
  <c r="G25" i="29"/>
  <c r="N10" i="29"/>
  <c r="J38" i="29"/>
  <c r="J39" i="29" s="1"/>
  <c r="N29" i="29"/>
  <c r="C26" i="29"/>
  <c r="G34" i="28"/>
  <c r="R29" i="28" l="1"/>
  <c r="G6" i="28"/>
  <c r="N27" i="28" s="1"/>
  <c r="R9" i="28"/>
  <c r="R10" i="28"/>
  <c r="G41" i="28"/>
  <c r="N38" i="28"/>
  <c r="N42" i="28" s="1"/>
  <c r="J35" i="28"/>
  <c r="R34" i="28"/>
  <c r="J28" i="28"/>
  <c r="G23" i="28"/>
  <c r="R22" i="28"/>
  <c r="C22" i="28"/>
  <c r="B22" i="28"/>
  <c r="C26" i="28" s="1"/>
  <c r="N17" i="28"/>
  <c r="N24" i="28" s="1"/>
  <c r="G11" i="28"/>
  <c r="G13" i="28" s="1"/>
  <c r="G17" i="28" s="1"/>
  <c r="H10" i="28"/>
  <c r="N5" i="28"/>
  <c r="G41" i="27"/>
  <c r="C32" i="27"/>
  <c r="R36" i="28" l="1"/>
  <c r="R11" i="28"/>
  <c r="R13" i="28" s="1"/>
  <c r="C24" i="28"/>
  <c r="R40" i="28" s="1"/>
  <c r="N25" i="28"/>
  <c r="N29" i="28" s="1"/>
  <c r="J29" i="28"/>
  <c r="J31" i="28" s="1"/>
  <c r="J32" i="28" s="1"/>
  <c r="N7" i="28"/>
  <c r="J36" i="28"/>
  <c r="J37" i="28" s="1"/>
  <c r="G35" i="27"/>
  <c r="G33" i="27"/>
  <c r="J36" i="27"/>
  <c r="J37" i="27" s="1"/>
  <c r="J35" i="27"/>
  <c r="C22" i="27"/>
  <c r="B22" i="27"/>
  <c r="J38" i="28" l="1"/>
  <c r="J39" i="28" s="1"/>
  <c r="N10" i="28"/>
  <c r="G25" i="28"/>
  <c r="J38" i="27"/>
  <c r="J39" i="27" s="1"/>
  <c r="I20" i="27"/>
  <c r="R8" i="27"/>
  <c r="R9" i="27" s="1"/>
  <c r="R11" i="27" s="1"/>
  <c r="R34" i="27"/>
  <c r="R29" i="27"/>
  <c r="R22" i="27"/>
  <c r="G6" i="27"/>
  <c r="N27" i="27" s="1"/>
  <c r="N29" i="27" s="1"/>
  <c r="R10" i="27"/>
  <c r="N38" i="27"/>
  <c r="N42" i="27" s="1"/>
  <c r="J28" i="27"/>
  <c r="J29" i="27" s="1"/>
  <c r="J31" i="27" s="1"/>
  <c r="J32" i="27" s="1"/>
  <c r="G23" i="27"/>
  <c r="N17" i="27"/>
  <c r="N24" i="27" s="1"/>
  <c r="G11" i="27"/>
  <c r="G13" i="27" s="1"/>
  <c r="G17" i="27" s="1"/>
  <c r="H10" i="27"/>
  <c r="N5" i="27"/>
  <c r="N7" i="27" s="1"/>
  <c r="I3" i="27"/>
  <c r="N24" i="26"/>
  <c r="C31" i="26"/>
  <c r="R36" i="27" l="1"/>
  <c r="R37" i="27"/>
  <c r="G25" i="27"/>
  <c r="N10" i="27"/>
  <c r="N25" i="27"/>
  <c r="C28" i="25"/>
  <c r="C33" i="26"/>
  <c r="N17" i="26"/>
  <c r="G6" i="25"/>
  <c r="G6" i="26"/>
  <c r="I3" i="26"/>
  <c r="N38" i="26"/>
  <c r="N42" i="26" s="1"/>
  <c r="J28" i="26"/>
  <c r="G23" i="26"/>
  <c r="C22" i="26"/>
  <c r="B22" i="26"/>
  <c r="C26" i="26" s="1"/>
  <c r="I20" i="26"/>
  <c r="N5" i="26"/>
  <c r="G11" i="26"/>
  <c r="G13" i="26" s="1"/>
  <c r="G17" i="26" s="1"/>
  <c r="H10" i="26"/>
  <c r="N38" i="25"/>
  <c r="N42" i="25" s="1"/>
  <c r="R17" i="25"/>
  <c r="N24" i="25"/>
  <c r="C22" i="25"/>
  <c r="I20" i="25"/>
  <c r="B22" i="25"/>
  <c r="C26" i="25" s="1"/>
  <c r="J29" i="25"/>
  <c r="J31" i="25" s="1"/>
  <c r="J32" i="25" s="1"/>
  <c r="J28" i="25"/>
  <c r="G23" i="25"/>
  <c r="R15" i="25"/>
  <c r="N25" i="26" l="1"/>
  <c r="N29" i="26" s="1"/>
  <c r="C24" i="26"/>
  <c r="J29" i="26"/>
  <c r="J31" i="26" s="1"/>
  <c r="J32" i="26" s="1"/>
  <c r="N7" i="26"/>
  <c r="P2" i="25"/>
  <c r="P3" i="25"/>
  <c r="N14" i="25"/>
  <c r="G11" i="25"/>
  <c r="G13" i="25" s="1"/>
  <c r="G17" i="25" s="1"/>
  <c r="H10" i="25"/>
  <c r="N6" i="25"/>
  <c r="N10" i="26" l="1"/>
  <c r="G25" i="26"/>
  <c r="N16" i="25"/>
  <c r="N19" i="25" s="1"/>
  <c r="N25" i="25"/>
  <c r="N29" i="25" s="1"/>
  <c r="P6" i="25"/>
  <c r="G25" i="25"/>
  <c r="C24" i="25"/>
  <c r="N6" i="23"/>
  <c r="H10" i="23"/>
  <c r="G11" i="23"/>
  <c r="G13" i="23" s="1"/>
  <c r="G17" i="23" s="1"/>
  <c r="C18" i="23"/>
  <c r="B18" i="23"/>
  <c r="G5" i="23"/>
  <c r="Q25" i="23"/>
  <c r="Q27" i="23" s="1"/>
  <c r="N14" i="23"/>
  <c r="N16" i="23" s="1"/>
  <c r="N19" i="23" s="1"/>
  <c r="D2" i="22"/>
  <c r="C16" i="22"/>
  <c r="B16" i="22"/>
  <c r="C20" i="23" l="1"/>
  <c r="C22" i="23" s="1"/>
  <c r="C18" i="22"/>
  <c r="F2" i="22"/>
  <c r="G22" i="23" l="1"/>
  <c r="C21" i="21"/>
  <c r="P24" i="21" l="1"/>
  <c r="B21" i="21"/>
  <c r="G15" i="21"/>
  <c r="V21" i="21"/>
  <c r="U21" i="21"/>
  <c r="U20" i="21"/>
  <c r="T20" i="21"/>
  <c r="Q11" i="21"/>
  <c r="Q15" i="21" s="1"/>
  <c r="D2" i="21"/>
  <c r="H17" i="22"/>
  <c r="H18" i="22"/>
  <c r="H20" i="22" s="1"/>
  <c r="G8" i="21"/>
  <c r="I18" i="21"/>
  <c r="G7" i="22"/>
  <c r="C20" i="22" s="1"/>
  <c r="K26" i="21"/>
  <c r="J26" i="21"/>
  <c r="I26" i="21"/>
  <c r="I15" i="21"/>
  <c r="K18" i="21"/>
  <c r="M10" i="21"/>
  <c r="M8" i="21"/>
  <c r="I13" i="21"/>
  <c r="C16" i="20"/>
  <c r="B16" i="20"/>
  <c r="P27" i="21" l="1"/>
  <c r="P30" i="21" s="1"/>
  <c r="P33" i="21" s="1"/>
  <c r="P36" i="21" s="1"/>
  <c r="C23" i="21"/>
  <c r="C25" i="21" s="1"/>
  <c r="C18" i="20"/>
  <c r="D18" i="20" s="1"/>
  <c r="C16" i="19"/>
  <c r="B16" i="19"/>
  <c r="C18" i="19" l="1"/>
  <c r="D18" i="19" s="1"/>
  <c r="C16" i="18"/>
  <c r="B16" i="18"/>
  <c r="F14" i="18"/>
  <c r="H11" i="18"/>
  <c r="L22" i="17"/>
  <c r="K24" i="17"/>
  <c r="L20" i="17"/>
  <c r="G24" i="17"/>
  <c r="H11" i="17"/>
  <c r="H14" i="18" l="1"/>
  <c r="C18" i="18"/>
  <c r="D18" i="18" s="1"/>
  <c r="L24" i="17"/>
  <c r="Q7" i="17"/>
  <c r="Q9" i="17" s="1"/>
  <c r="B16" i="17"/>
  <c r="N9" i="17"/>
  <c r="N11" i="17" s="1"/>
  <c r="C16" i="17"/>
  <c r="F14" i="17"/>
  <c r="H14" i="17" s="1"/>
  <c r="C18" i="17" l="1"/>
  <c r="D18" i="17" s="1"/>
  <c r="E6" i="16"/>
  <c r="B4" i="16"/>
  <c r="B3" i="16"/>
  <c r="B2" i="16"/>
  <c r="B1" i="16"/>
  <c r="B6" i="16" s="1"/>
  <c r="B8" i="16" l="1"/>
  <c r="B10" i="16" s="1"/>
  <c r="L23" i="15"/>
  <c r="L24" i="15"/>
  <c r="L25" i="15"/>
  <c r="M26" i="15" s="1"/>
  <c r="L26" i="15"/>
  <c r="L27" i="15"/>
  <c r="L28" i="15"/>
  <c r="L29" i="15"/>
  <c r="L30" i="15"/>
  <c r="M32" i="15" s="1"/>
  <c r="L31" i="15"/>
  <c r="L32" i="15"/>
  <c r="L33" i="15"/>
  <c r="L34" i="15"/>
  <c r="L35" i="15"/>
  <c r="L36" i="15"/>
  <c r="M38" i="15" s="1"/>
  <c r="L37" i="15"/>
  <c r="L38" i="15"/>
  <c r="L39" i="15"/>
  <c r="L40" i="15"/>
  <c r="L41" i="15"/>
  <c r="L42" i="15"/>
  <c r="L43" i="15"/>
  <c r="L44" i="15"/>
  <c r="L45" i="15"/>
  <c r="S25" i="15"/>
  <c r="S24" i="15"/>
  <c r="S23" i="15"/>
  <c r="S22" i="15"/>
  <c r="S27" i="15" s="1"/>
  <c r="L22" i="15"/>
  <c r="M29" i="15" l="1"/>
  <c r="M41" i="15"/>
  <c r="M44" i="15"/>
  <c r="M35" i="15"/>
  <c r="R21" i="14"/>
  <c r="R22" i="14" s="1"/>
  <c r="S21" i="14"/>
  <c r="N23" i="14"/>
  <c r="N25" i="14" s="1"/>
  <c r="P22" i="14" s="1"/>
  <c r="P25" i="14" s="1"/>
  <c r="O11" i="14" l="1"/>
  <c r="O12" i="14" s="1"/>
  <c r="B14" i="15" l="1"/>
  <c r="B18" i="15" s="1"/>
  <c r="G14" i="14"/>
  <c r="C16" i="14"/>
  <c r="K13" i="14" l="1"/>
  <c r="O13" i="14"/>
  <c r="S14" i="14"/>
  <c r="B16" i="14"/>
  <c r="G16" i="14" s="1"/>
  <c r="G7" i="14"/>
  <c r="C18" i="14" l="1"/>
  <c r="D18" i="14"/>
  <c r="P7" i="12"/>
  <c r="C16" i="13"/>
  <c r="B16" i="13"/>
  <c r="C18" i="13" s="1"/>
  <c r="G7" i="13"/>
  <c r="D18" i="13" l="1"/>
  <c r="S24" i="12"/>
  <c r="P10" i="12" l="1"/>
  <c r="S28" i="12"/>
  <c r="Q25" i="12" l="1"/>
  <c r="M24" i="12"/>
  <c r="M27" i="12" s="1"/>
  <c r="M30" i="12" s="1"/>
  <c r="Q23" i="12"/>
  <c r="O23" i="12"/>
  <c r="J19" i="12"/>
  <c r="J22" i="12" s="1"/>
  <c r="I19" i="12"/>
  <c r="I22" i="12" s="1"/>
  <c r="Q27" i="12" l="1"/>
  <c r="I6" i="12"/>
  <c r="C16" i="12"/>
  <c r="B16" i="12"/>
  <c r="C18" i="12" l="1"/>
  <c r="D18" i="12" s="1"/>
  <c r="P8" i="11"/>
  <c r="P10" i="11" s="1"/>
  <c r="P12" i="11" s="1"/>
  <c r="M8" i="11"/>
  <c r="C16" i="11" l="1"/>
  <c r="B16" i="11"/>
  <c r="C18" i="11" l="1"/>
  <c r="D18" i="11" s="1"/>
  <c r="T14" i="10"/>
  <c r="T15" i="10"/>
  <c r="T19" i="10"/>
  <c r="P14" i="10"/>
  <c r="P19" i="10" s="1"/>
  <c r="P15" i="10"/>
  <c r="P16" i="10"/>
  <c r="P17" i="10"/>
  <c r="L14" i="10"/>
  <c r="L15" i="10"/>
  <c r="L16" i="10"/>
  <c r="L17" i="10"/>
  <c r="L19" i="10"/>
  <c r="K9" i="10"/>
  <c r="G13" i="10"/>
  <c r="G15" i="10" s="1"/>
  <c r="C23" i="9"/>
  <c r="C16" i="10"/>
  <c r="C18" i="10" s="1"/>
  <c r="D18" i="10" s="1"/>
  <c r="B16" i="10"/>
  <c r="B23" i="9"/>
  <c r="H25" i="10"/>
  <c r="I25" i="10"/>
  <c r="E25" i="10"/>
  <c r="H12" i="9"/>
  <c r="H32" i="9"/>
  <c r="I32" i="9" s="1"/>
  <c r="E32" i="9"/>
  <c r="C25" i="9"/>
  <c r="D25" i="9"/>
  <c r="H30" i="8"/>
  <c r="I30" i="8"/>
  <c r="E30" i="8"/>
  <c r="C21" i="8"/>
  <c r="B21" i="8"/>
  <c r="C23" i="8"/>
  <c r="D23" i="8"/>
  <c r="H9" i="7"/>
  <c r="H29" i="7"/>
  <c r="I29" i="7" s="1"/>
  <c r="E29" i="7"/>
  <c r="C20" i="7"/>
  <c r="B20" i="7"/>
  <c r="C22" i="7"/>
  <c r="D22" i="7"/>
  <c r="L26" i="6"/>
  <c r="B37" i="6"/>
  <c r="C37" i="6"/>
  <c r="D37" i="6"/>
  <c r="B27" i="6"/>
  <c r="B28" i="6"/>
  <c r="H24" i="6"/>
  <c r="I24" i="6"/>
  <c r="E24" i="6"/>
  <c r="D17" i="6" s="1"/>
  <c r="C15" i="6"/>
  <c r="B15" i="6"/>
  <c r="C17" i="6"/>
  <c r="B27" i="5"/>
  <c r="B28" i="5"/>
  <c r="C15" i="5"/>
  <c r="C17" i="5" s="1"/>
  <c r="D17" i="5" s="1"/>
  <c r="B15" i="5"/>
  <c r="B37" i="5"/>
  <c r="D37" i="5" s="1"/>
  <c r="C37" i="5"/>
  <c r="H24" i="5"/>
  <c r="I24" i="5"/>
  <c r="E24" i="5"/>
  <c r="H24" i="4"/>
  <c r="I24" i="4" s="1"/>
  <c r="E24" i="4"/>
  <c r="C15" i="4"/>
  <c r="B15" i="4"/>
  <c r="C17" i="4"/>
  <c r="D17" i="4"/>
  <c r="E26" i="3"/>
  <c r="B17" i="3"/>
  <c r="C17" i="3"/>
  <c r="C19" i="3" s="1"/>
  <c r="D19" i="3" s="1"/>
  <c r="H26" i="3"/>
  <c r="I26" i="3"/>
  <c r="C16" i="2"/>
  <c r="F16" i="1"/>
  <c r="F18" i="1" s="1"/>
  <c r="F11" i="1"/>
  <c r="D13" i="1"/>
  <c r="C26" i="27" l="1"/>
  <c r="C33" i="27" s="1"/>
  <c r="C24" i="27"/>
  <c r="R40" i="27" s="1"/>
  <c r="R41" i="27" s="1"/>
  <c r="X36" i="58"/>
  <c r="AF29" i="59"/>
</calcChain>
</file>

<file path=xl/sharedStrings.xml><?xml version="1.0" encoding="utf-8"?>
<sst xmlns="http://schemas.openxmlformats.org/spreadsheetml/2006/main" count="5668" uniqueCount="580">
  <si>
    <t>AxisCC EMI’s</t>
  </si>
  <si>
    <t>Home</t>
  </si>
  <si>
    <t>Rent</t>
  </si>
  <si>
    <t>Maid</t>
  </si>
  <si>
    <t>toRaghu</t>
  </si>
  <si>
    <t>Total</t>
  </si>
  <si>
    <t>Savings</t>
  </si>
  <si>
    <t>Expenses</t>
  </si>
  <si>
    <t>Amount</t>
  </si>
  <si>
    <t>Electricity Bill</t>
  </si>
  <si>
    <t>Account Bal</t>
  </si>
  <si>
    <t>fromWife</t>
  </si>
  <si>
    <t>Grand Total</t>
  </si>
  <si>
    <t>WaterBill</t>
  </si>
  <si>
    <t xml:space="preserve">Account Bal </t>
  </si>
  <si>
    <t>Gold Scheme</t>
  </si>
  <si>
    <t>FromWife</t>
  </si>
  <si>
    <t>HomeWaterLine</t>
  </si>
  <si>
    <t>ICICIBank</t>
  </si>
  <si>
    <t>HDFCBank</t>
  </si>
  <si>
    <t>AXISBank</t>
  </si>
  <si>
    <t>CITIBank</t>
  </si>
  <si>
    <t>HKD</t>
  </si>
  <si>
    <t>INR</t>
  </si>
  <si>
    <t>Exchange rate</t>
  </si>
  <si>
    <t>Forex</t>
  </si>
  <si>
    <t>Paid</t>
  </si>
  <si>
    <t>One lifted in June with the Amount 10000</t>
  </si>
  <si>
    <t>Chit (4 x 10000)</t>
  </si>
  <si>
    <t>Pending Amount</t>
  </si>
  <si>
    <t>Gold (3 x2500)</t>
  </si>
  <si>
    <t xml:space="preserve">2 r started in June, 1 is started in August </t>
  </si>
  <si>
    <t>LICLoanInterestEMI</t>
  </si>
  <si>
    <t>LICPremium</t>
  </si>
  <si>
    <t>Gold Bangles Advc</t>
  </si>
  <si>
    <t>20 grams + 1 gram tarugu</t>
  </si>
  <si>
    <t>toRajib</t>
  </si>
  <si>
    <t>toFridge</t>
  </si>
  <si>
    <t>8 Months</t>
  </si>
  <si>
    <t>Drinks</t>
  </si>
  <si>
    <t>fromRajib</t>
  </si>
  <si>
    <t>fromRajib yet to send</t>
  </si>
  <si>
    <t>toFlightTickets</t>
  </si>
  <si>
    <t>toGrocery</t>
  </si>
  <si>
    <t>One lifted in June with the Amount 100000</t>
  </si>
  <si>
    <t>toInternet</t>
  </si>
  <si>
    <t>toMunnarTrip</t>
  </si>
  <si>
    <t>toBangles</t>
  </si>
  <si>
    <t>toGasRefill</t>
  </si>
  <si>
    <t>toFridge (Vasantha)</t>
  </si>
  <si>
    <t>Kerala Trip</t>
  </si>
  <si>
    <t>Flight Tickets</t>
  </si>
  <si>
    <t>CabHydAirport</t>
  </si>
  <si>
    <t>KochiStay</t>
  </si>
  <si>
    <t>ClubMahindraStay</t>
  </si>
  <si>
    <t>KochiToMunnarCab</t>
  </si>
  <si>
    <t>LakkamFallsCab</t>
  </si>
  <si>
    <t>WaterfallsEntry</t>
  </si>
  <si>
    <t>MunnarToKochiCab</t>
  </si>
  <si>
    <t>Breakfast</t>
  </si>
  <si>
    <t>Medicine</t>
  </si>
  <si>
    <t>Tea, Spices</t>
  </si>
  <si>
    <t>Chips, Halwa</t>
  </si>
  <si>
    <t>Ayurvedic Musium Entry</t>
  </si>
  <si>
    <t>Fruits</t>
  </si>
  <si>
    <t>Shopping</t>
  </si>
  <si>
    <t>Brandfactory</t>
  </si>
  <si>
    <t>Vodka</t>
  </si>
  <si>
    <t>Dinner</t>
  </si>
  <si>
    <t>AirportToHomeCab</t>
  </si>
  <si>
    <t>toFridgeEMI</t>
  </si>
  <si>
    <t>1/8 EMI</t>
  </si>
  <si>
    <t>toVasanthaEMI</t>
  </si>
  <si>
    <t>1/6 EMI</t>
  </si>
  <si>
    <t>Marriage Gift</t>
  </si>
  <si>
    <t>Cab</t>
  </si>
  <si>
    <t>Other Expenses</t>
  </si>
  <si>
    <t>Bottile</t>
  </si>
  <si>
    <t>toMom</t>
  </si>
  <si>
    <t>fromHome</t>
  </si>
  <si>
    <t>toHomeRiceBag</t>
  </si>
  <si>
    <t>toMadhu</t>
  </si>
  <si>
    <t>toOfficeParty</t>
  </si>
  <si>
    <t>toCP9Investment</t>
  </si>
  <si>
    <t>toVasanthaBuyOutAmount</t>
  </si>
  <si>
    <t>toVasantha</t>
  </si>
  <si>
    <t>2/8 EMI</t>
  </si>
  <si>
    <t>2/6 EMI</t>
  </si>
  <si>
    <t>toCP9DecOrdersAmount</t>
  </si>
  <si>
    <t>Home Loan</t>
  </si>
  <si>
    <t>toShopping</t>
  </si>
  <si>
    <t>Paid by Vasantha</t>
  </si>
  <si>
    <t>toVasanthaMBARegistrationFee</t>
  </si>
  <si>
    <t>toVasanthaMom</t>
  </si>
  <si>
    <t>toTeamLunch</t>
  </si>
  <si>
    <t>toTrainTicketsFromRJY</t>
  </si>
  <si>
    <t>3/8 EMI</t>
  </si>
  <si>
    <t>3/6 EMI</t>
  </si>
  <si>
    <t>toRJYTrip</t>
  </si>
  <si>
    <t>toMarriageDress</t>
  </si>
  <si>
    <t>toDrinks</t>
  </si>
  <si>
    <t>toHYDTrainTicket</t>
  </si>
  <si>
    <t>toCabFares</t>
  </si>
  <si>
    <t>toTowels</t>
  </si>
  <si>
    <t>toEatStreet</t>
  </si>
  <si>
    <t>toGiftSaree</t>
  </si>
  <si>
    <t>toMNIMSFee</t>
  </si>
  <si>
    <t>toActFibernet</t>
  </si>
  <si>
    <t>toWife</t>
  </si>
  <si>
    <t>toLICPremium</t>
  </si>
  <si>
    <t>toBikeServicing</t>
  </si>
  <si>
    <t>toPANNamCorrection</t>
  </si>
  <si>
    <t>toLICLoanInterestPay</t>
  </si>
  <si>
    <t>Skipped one EMI(7500)</t>
  </si>
  <si>
    <t>toJuicerMixer</t>
  </si>
  <si>
    <t>Salary</t>
  </si>
  <si>
    <t>toShatabdiPlotTokenAmt</t>
  </si>
  <si>
    <t>Shatabdi Plot</t>
  </si>
  <si>
    <t>146.6 x 3600</t>
  </si>
  <si>
    <t>Token Amount</t>
  </si>
  <si>
    <t>3 Chits Amount</t>
  </si>
  <si>
    <t>Passbook</t>
  </si>
  <si>
    <t>Total Plot Price</t>
  </si>
  <si>
    <t>toRoja</t>
  </si>
  <si>
    <t>AXIS CC</t>
  </si>
  <si>
    <t>From Roja</t>
  </si>
  <si>
    <t>Arranged Amount</t>
  </si>
  <si>
    <t>Balance Amount to Pay</t>
  </si>
  <si>
    <t>From Prashanth</t>
  </si>
  <si>
    <t>Count</t>
  </si>
  <si>
    <t>Currency</t>
  </si>
  <si>
    <t>Withdraw</t>
  </si>
  <si>
    <t xml:space="preserve">2 r started in June, 1 is started in August. </t>
  </si>
  <si>
    <t>One lifted in June with the Amount 100000 and 3 lifted in Mar 2020 with the amount 300000</t>
  </si>
  <si>
    <t>toShatabdiPlotTotalAmt</t>
  </si>
  <si>
    <t>Paid on 12 Mar 2020</t>
  </si>
  <si>
    <t>On 1st Mar 2020</t>
  </si>
  <si>
    <t>Paid on 1 Mar 2020</t>
  </si>
  <si>
    <t>3600 *146.6 01/03/2020</t>
  </si>
  <si>
    <t>toNewChit</t>
  </si>
  <si>
    <t xml:space="preserve">55,760.8‬ </t>
  </si>
  <si>
    <t>Advanced sal</t>
  </si>
  <si>
    <t>Due</t>
  </si>
  <si>
    <t>Balance</t>
  </si>
  <si>
    <t>Recovered</t>
  </si>
  <si>
    <t>Forex advance</t>
  </si>
  <si>
    <t>1000 USD</t>
  </si>
  <si>
    <t xml:space="preserve">Amount </t>
  </si>
  <si>
    <t xml:space="preserve">Submitted Date </t>
  </si>
  <si>
    <t>Recovered Amount</t>
  </si>
  <si>
    <t>Total Due</t>
  </si>
  <si>
    <t>toCarLoan</t>
  </si>
  <si>
    <t>toFunction</t>
  </si>
  <si>
    <t>toWifeMedical</t>
  </si>
  <si>
    <t>Vasantha</t>
  </si>
  <si>
    <t>Bro</t>
  </si>
  <si>
    <t>toFunciton</t>
  </si>
  <si>
    <t>Grocery</t>
  </si>
  <si>
    <t>Fuel</t>
  </si>
  <si>
    <t>Meat</t>
  </si>
  <si>
    <t>Tent+Cooking</t>
  </si>
  <si>
    <t>Dress</t>
  </si>
  <si>
    <t>LIC</t>
  </si>
  <si>
    <t>toHome</t>
  </si>
  <si>
    <t>CC</t>
  </si>
  <si>
    <t>toChit</t>
  </si>
  <si>
    <t>LIC Loan</t>
  </si>
  <si>
    <t>toRent</t>
  </si>
  <si>
    <t>Car Loan</t>
  </si>
  <si>
    <t>toHomeLoan</t>
  </si>
  <si>
    <t>House Rent</t>
  </si>
  <si>
    <t>toCC</t>
  </si>
  <si>
    <t>toMaid</t>
  </si>
  <si>
    <t>fromMadhu</t>
  </si>
  <si>
    <t>toFuel</t>
  </si>
  <si>
    <t>Previous Dues</t>
  </si>
  <si>
    <t>toLICLoan</t>
  </si>
  <si>
    <t>Chit</t>
  </si>
  <si>
    <t>HTax</t>
  </si>
  <si>
    <t>Car</t>
  </si>
  <si>
    <t>HomeTax</t>
  </si>
  <si>
    <t>CarAccessories</t>
  </si>
  <si>
    <t>toGold</t>
  </si>
  <si>
    <t>Sal</t>
  </si>
  <si>
    <t>VP</t>
  </si>
  <si>
    <t>Madhu</t>
  </si>
  <si>
    <t>Tax</t>
  </si>
  <si>
    <t>CarMilage</t>
  </si>
  <si>
    <t>Evening</t>
  </si>
  <si>
    <t>Morning</t>
  </si>
  <si>
    <t>Date</t>
  </si>
  <si>
    <t>HRA</t>
  </si>
  <si>
    <t>AR1</t>
  </si>
  <si>
    <t>AR2</t>
  </si>
  <si>
    <t>PT</t>
  </si>
  <si>
    <t>Insurance</t>
  </si>
  <si>
    <t>PF</t>
  </si>
  <si>
    <t>IT</t>
  </si>
  <si>
    <t>G + M</t>
  </si>
  <si>
    <t>Basic</t>
  </si>
  <si>
    <t>CC Pay</t>
  </si>
  <si>
    <t>Delivery</t>
  </si>
  <si>
    <t>toGoodCause</t>
  </si>
  <si>
    <t>fromBro</t>
  </si>
  <si>
    <t>HDFC</t>
  </si>
  <si>
    <t>ICICI</t>
  </si>
  <si>
    <t>Bal Pay</t>
  </si>
  <si>
    <t>Outstanding</t>
  </si>
  <si>
    <t>May month</t>
  </si>
  <si>
    <t>June month</t>
  </si>
  <si>
    <t>Txns</t>
  </si>
  <si>
    <t>EMIs</t>
  </si>
  <si>
    <t>May dues</t>
  </si>
  <si>
    <t>toKC</t>
  </si>
  <si>
    <t>Dues</t>
  </si>
  <si>
    <t>Mine</t>
  </si>
  <si>
    <t>Sravani</t>
  </si>
  <si>
    <t>Chit Amt</t>
  </si>
  <si>
    <t>fromChit</t>
  </si>
  <si>
    <t>fromGangadhar</t>
  </si>
  <si>
    <t>toNamingCerimony</t>
  </si>
  <si>
    <t>toLicLoan</t>
  </si>
  <si>
    <t>CCPay</t>
  </si>
  <si>
    <t>Bank Bal.</t>
  </si>
  <si>
    <t>Total Earnings</t>
  </si>
  <si>
    <t>Bal. Sheet</t>
  </si>
  <si>
    <t>Chit lift Amt</t>
  </si>
  <si>
    <t>Earnings - dues</t>
  </si>
  <si>
    <t>Pending Dues</t>
  </si>
  <si>
    <t>MyChitAmt</t>
  </si>
  <si>
    <t>Claims</t>
  </si>
  <si>
    <t>toTriptickets</t>
  </si>
  <si>
    <t>home exp</t>
  </si>
  <si>
    <t>gas</t>
  </si>
  <si>
    <t>shopping</t>
  </si>
  <si>
    <t>fuel</t>
  </si>
  <si>
    <t>gold</t>
  </si>
  <si>
    <t>function</t>
  </si>
  <si>
    <t>per plate</t>
  </si>
  <si>
    <t>members</t>
  </si>
  <si>
    <t>misllenious</t>
  </si>
  <si>
    <t>drinks</t>
  </si>
  <si>
    <t>toGas</t>
  </si>
  <si>
    <t>toKurtha</t>
  </si>
  <si>
    <t>toPhotos</t>
  </si>
  <si>
    <t>toMisllenious Exp.</t>
  </si>
  <si>
    <t>toMobileBill</t>
  </si>
  <si>
    <t>toRamu</t>
  </si>
  <si>
    <t>toLicPremium</t>
  </si>
  <si>
    <t>toBabySavings</t>
  </si>
  <si>
    <t>TOTAL EE BALANCE</t>
  </si>
  <si>
    <t>TOTAL ER BALANCE</t>
  </si>
  <si>
    <t>TOTAL BALANCE (as on date)</t>
  </si>
  <si>
    <t>Plot/Farm land Price</t>
  </si>
  <si>
    <t>Loan Amount</t>
  </si>
  <si>
    <t>Earnings</t>
  </si>
  <si>
    <t>toCarInsurance</t>
  </si>
  <si>
    <t>toPassportRenewal</t>
  </si>
  <si>
    <t>3000 EMI hike</t>
  </si>
  <si>
    <t>toSukanyaYojan</t>
  </si>
  <si>
    <t>Advance purpose</t>
  </si>
  <si>
    <t>New Chits</t>
  </si>
  <si>
    <t>Form Land Amt</t>
  </si>
  <si>
    <t>Gold (in Feb 22)</t>
  </si>
  <si>
    <t>Loan Amount (in Mar 22)</t>
  </si>
  <si>
    <t>AXIS</t>
  </si>
  <si>
    <t>FromKC</t>
  </si>
  <si>
    <t>toAxisSavings</t>
  </si>
  <si>
    <t>toLICLoanIntrst</t>
  </si>
  <si>
    <t>Balance Savings</t>
  </si>
  <si>
    <t>Hloan</t>
  </si>
  <si>
    <t>Electricity</t>
  </si>
  <si>
    <t>BabyExp</t>
  </si>
  <si>
    <t>toSukanyaScheme</t>
  </si>
  <si>
    <t>Total Pays</t>
  </si>
  <si>
    <t>Pending Payments</t>
  </si>
  <si>
    <t>OverDue Amount</t>
  </si>
  <si>
    <t>Accnt Bal</t>
  </si>
  <si>
    <t>49700*6</t>
  </si>
  <si>
    <t>Gold price per 10grms</t>
  </si>
  <si>
    <t>Tharugu</t>
  </si>
  <si>
    <t>Making charges</t>
  </si>
  <si>
    <t>Due Amt</t>
  </si>
  <si>
    <t>7th Feb</t>
  </si>
  <si>
    <t>toBabyVaddanamAdvc.</t>
  </si>
  <si>
    <t>toMilk</t>
  </si>
  <si>
    <t>toAdv.MobileBill</t>
  </si>
  <si>
    <t>toMutualFunds</t>
  </si>
  <si>
    <t>Account Balance</t>
  </si>
  <si>
    <t>toGoldAdv.</t>
  </si>
  <si>
    <t>Actual Savings</t>
  </si>
  <si>
    <t>Diff.</t>
  </si>
  <si>
    <t>toCarDriving</t>
  </si>
  <si>
    <t>Axis Savings</t>
  </si>
  <si>
    <t>toPersonal</t>
  </si>
  <si>
    <t>15th Mar</t>
  </si>
  <si>
    <t>toBabyVaddanamDue</t>
  </si>
  <si>
    <t>toStocks</t>
  </si>
  <si>
    <t>toHouseTax</t>
  </si>
  <si>
    <t>Jan &amp; Feb</t>
  </si>
  <si>
    <t>Navi Funds of Funds</t>
  </si>
  <si>
    <t>ref. G6</t>
  </si>
  <si>
    <t>febDues</t>
  </si>
  <si>
    <t>Borrowed from Savings</t>
  </si>
  <si>
    <t>In Feb</t>
  </si>
  <si>
    <t>In Mar</t>
  </si>
  <si>
    <t>toPPF</t>
  </si>
  <si>
    <t>toVaddanamBalPay</t>
  </si>
  <si>
    <t>toMiscellaneous</t>
  </si>
  <si>
    <t>fromVasanthaSavings</t>
  </si>
  <si>
    <t>51000 + 35000</t>
  </si>
  <si>
    <t>Bal.</t>
  </si>
  <si>
    <t>April Exp.</t>
  </si>
  <si>
    <t>DuesSavings</t>
  </si>
  <si>
    <t>PPF</t>
  </si>
  <si>
    <t>Salary (242000)</t>
  </si>
  <si>
    <t>HDFC till Mar 31</t>
  </si>
  <si>
    <t>Salary + Vpay</t>
  </si>
  <si>
    <t>Closing Bal.</t>
  </si>
  <si>
    <t>Prashanth</t>
  </si>
  <si>
    <t>Vaddanam Bal.</t>
  </si>
  <si>
    <t>GOLD</t>
  </si>
  <si>
    <t>Our gold 1 tula</t>
  </si>
  <si>
    <t>Vasantha Gold</t>
  </si>
  <si>
    <t>VasanthaSavings</t>
  </si>
  <si>
    <t>Radhamma</t>
  </si>
  <si>
    <t>Bal. Pay</t>
  </si>
  <si>
    <t>Total Pay</t>
  </si>
  <si>
    <t>Savings Bal.</t>
  </si>
  <si>
    <t>toWifeGold</t>
  </si>
  <si>
    <t>15th Apr</t>
  </si>
  <si>
    <t>Current Savings</t>
  </si>
  <si>
    <t>toMedaram</t>
  </si>
  <si>
    <t>GST</t>
  </si>
  <si>
    <t>Gold price per 10 grms (22)</t>
  </si>
  <si>
    <t>Gold price per 10grms (24)</t>
  </si>
  <si>
    <t>In Apr</t>
  </si>
  <si>
    <t>toRadhammaGoldAdv.</t>
  </si>
  <si>
    <t>Plot(8000)</t>
  </si>
  <si>
    <t>Cash</t>
  </si>
  <si>
    <t>Loan</t>
  </si>
  <si>
    <t>EMI (3 yrs)</t>
  </si>
  <si>
    <t>EMI (2 yrs)</t>
  </si>
  <si>
    <t>EMI (2.6 yrs)</t>
  </si>
  <si>
    <t>Sal. May</t>
  </si>
  <si>
    <t>May Exp.</t>
  </si>
  <si>
    <t>Cleared Dues</t>
  </si>
  <si>
    <t>Salary Bal.</t>
  </si>
  <si>
    <t>49700*6.23</t>
  </si>
  <si>
    <t>Vaddanam</t>
  </si>
  <si>
    <t>toWifeMobile</t>
  </si>
  <si>
    <t>toRadhammaGold</t>
  </si>
  <si>
    <t>fromRoja</t>
  </si>
  <si>
    <t>In May</t>
  </si>
  <si>
    <t>toD&amp;Dchallan</t>
  </si>
  <si>
    <t>1000 for Sis</t>
  </si>
  <si>
    <t>InJune</t>
  </si>
  <si>
    <t>Sal. June</t>
  </si>
  <si>
    <t>toTermPremium</t>
  </si>
  <si>
    <t>Wife paid</t>
  </si>
  <si>
    <t>Mobile</t>
  </si>
  <si>
    <t>Stocks</t>
  </si>
  <si>
    <t>Hind.Unileaver</t>
  </si>
  <si>
    <t>Sapphire Foods</t>
  </si>
  <si>
    <t>Ranbow</t>
  </si>
  <si>
    <t>Reliance</t>
  </si>
  <si>
    <t>20000 (Vasantha)</t>
  </si>
  <si>
    <t>11- rainbow + 4 infy</t>
  </si>
  <si>
    <t>Oldage Donation</t>
  </si>
  <si>
    <t>Lunch</t>
  </si>
  <si>
    <t>BdayDress</t>
  </si>
  <si>
    <t>toGruhapravesh</t>
  </si>
  <si>
    <t>toRadhammaBDay</t>
  </si>
  <si>
    <t>toTaxFiling</t>
  </si>
  <si>
    <t>June Exp.</t>
  </si>
  <si>
    <t>toVemulawada</t>
  </si>
  <si>
    <t>toCarServicing</t>
  </si>
  <si>
    <t>Infy</t>
  </si>
  <si>
    <t>toHLoanPartPay</t>
  </si>
  <si>
    <t>MutualFunds</t>
  </si>
  <si>
    <t>Voltas</t>
  </si>
  <si>
    <t>fromKP</t>
  </si>
  <si>
    <t>NAVI FoF</t>
  </si>
  <si>
    <t>toWglTrip</t>
  </si>
  <si>
    <t>Voltas(5), Zomato(50)</t>
  </si>
  <si>
    <t>Zomato</t>
  </si>
  <si>
    <t>fromAnusha</t>
  </si>
  <si>
    <t>HCL</t>
  </si>
  <si>
    <t>Farm land Price</t>
  </si>
  <si>
    <t>Fuel+Tolls</t>
  </si>
  <si>
    <t>Pollam Advance</t>
  </si>
  <si>
    <t>Dawat</t>
  </si>
  <si>
    <t>Radhamma Checkup</t>
  </si>
  <si>
    <t>toPollamAdvc2</t>
  </si>
  <si>
    <t>toPollamAdvc1</t>
  </si>
  <si>
    <t>1 Acre</t>
  </si>
  <si>
    <t>40 guntas</t>
  </si>
  <si>
    <t>1 gunta</t>
  </si>
  <si>
    <t>Commi. (2%)</t>
  </si>
  <si>
    <t>23 guntas</t>
  </si>
  <si>
    <t>Regi.</t>
  </si>
  <si>
    <t>Half acre</t>
  </si>
  <si>
    <t>September Exp.</t>
  </si>
  <si>
    <t>August Exp.</t>
  </si>
  <si>
    <t>July Exp.</t>
  </si>
  <si>
    <t>toLICLoanIntst.</t>
  </si>
  <si>
    <t>Roja+Anusha</t>
  </si>
  <si>
    <t>Adv Half Acre</t>
  </si>
  <si>
    <t>fromVasantha</t>
  </si>
  <si>
    <t>Loan Amout</t>
  </si>
  <si>
    <t>Dept.</t>
  </si>
  <si>
    <t>toBixapt</t>
  </si>
  <si>
    <t>Commi.</t>
  </si>
  <si>
    <t>Avail. Amt</t>
  </si>
  <si>
    <t>toPersonalLoan</t>
  </si>
  <si>
    <t>`</t>
  </si>
  <si>
    <t>toWarangalTrip</t>
  </si>
  <si>
    <t>toGoaTrip</t>
  </si>
  <si>
    <t>Nov</t>
  </si>
  <si>
    <t>36500+15000+5000</t>
  </si>
  <si>
    <t>10000(Lalitha)+10000(Kanti)</t>
  </si>
  <si>
    <t>toSruthi</t>
  </si>
  <si>
    <t>fromSruthi</t>
  </si>
  <si>
    <t>fromMe</t>
  </si>
  <si>
    <t>toGoa</t>
  </si>
  <si>
    <t>Bank Bal</t>
  </si>
  <si>
    <t>20000+10000+1500</t>
  </si>
  <si>
    <t>toLalitha</t>
  </si>
  <si>
    <t>November Exp.</t>
  </si>
  <si>
    <t>December Exp.</t>
  </si>
  <si>
    <t>October Exp.</t>
  </si>
  <si>
    <t>toTermPolicy</t>
  </si>
  <si>
    <t>toVasanthaDental</t>
  </si>
  <si>
    <t>toShares</t>
  </si>
  <si>
    <t>toSnithiShopping</t>
  </si>
  <si>
    <t>toTermInsurance</t>
  </si>
  <si>
    <t>January Exp.</t>
  </si>
  <si>
    <t>toFuel (RJYTrip)</t>
  </si>
  <si>
    <t>YesBank</t>
  </si>
  <si>
    <t>toHydRjyTickets</t>
  </si>
  <si>
    <t>toBeeAssistRegi</t>
  </si>
  <si>
    <t>Bee-assist.com</t>
  </si>
  <si>
    <t>beeassist.in</t>
  </si>
  <si>
    <t>GST Trade Licence</t>
  </si>
  <si>
    <t>toBeeAssistGSTRegi</t>
  </si>
  <si>
    <t>February Exp.</t>
  </si>
  <si>
    <t>toFuel + RJYTrip</t>
  </si>
  <si>
    <t>StarHealth</t>
  </si>
  <si>
    <t>Chappal+Shoes</t>
  </si>
  <si>
    <t>5th</t>
  </si>
  <si>
    <t>10th</t>
  </si>
  <si>
    <t>7th</t>
  </si>
  <si>
    <t>25th</t>
  </si>
  <si>
    <t>toH1BLotteryFee</t>
  </si>
  <si>
    <t>fromLalitha</t>
  </si>
  <si>
    <t>Firm Registration</t>
  </si>
  <si>
    <t>Firm PAN+Stamp</t>
  </si>
  <si>
    <t>toNaukri</t>
  </si>
  <si>
    <t>toTeleForce CRM</t>
  </si>
  <si>
    <t>WelcomeKit</t>
  </si>
  <si>
    <t>toBankCurrentAcnt</t>
  </si>
  <si>
    <t>toSalary</t>
  </si>
  <si>
    <t>toPooja</t>
  </si>
  <si>
    <t>toPartStamp</t>
  </si>
  <si>
    <t>toPrints</t>
  </si>
  <si>
    <t>toICards</t>
  </si>
  <si>
    <t>toOfcPurpose</t>
  </si>
  <si>
    <t>toFoundit</t>
  </si>
  <si>
    <t>toSalaries</t>
  </si>
  <si>
    <t>toLaptop</t>
  </si>
  <si>
    <t>toCCTV+Bio</t>
  </si>
  <si>
    <t>toDID's(8)</t>
  </si>
  <si>
    <t>toCurrentAcunt</t>
  </si>
  <si>
    <t>Withdraw in May 23</t>
  </si>
  <si>
    <t>toSnithiBday</t>
  </si>
  <si>
    <t>toBrother</t>
  </si>
  <si>
    <t>toNewCTIUsers</t>
  </si>
  <si>
    <t>toVZGTrip</t>
  </si>
  <si>
    <t>toLICPRemium</t>
  </si>
  <si>
    <t>Euros</t>
  </si>
  <si>
    <t>3x 100</t>
  </si>
  <si>
    <t>18x50</t>
  </si>
  <si>
    <t>1x10</t>
  </si>
  <si>
    <t>12x5</t>
  </si>
  <si>
    <t>4x5</t>
  </si>
  <si>
    <t>Rejected</t>
  </si>
  <si>
    <t>Accepted</t>
  </si>
  <si>
    <t>Conversion rate</t>
  </si>
  <si>
    <t>Online Txn</t>
  </si>
  <si>
    <t>toArtlRecharge</t>
  </si>
  <si>
    <t>Credit Card</t>
  </si>
  <si>
    <t>Cleared</t>
  </si>
  <si>
    <t>toMobileRecharge</t>
  </si>
  <si>
    <t>toSnithiEdu</t>
  </si>
  <si>
    <t>BAS</t>
  </si>
  <si>
    <t>CCPay+BAS</t>
  </si>
  <si>
    <t>toTrip</t>
  </si>
  <si>
    <t>toVizagTrip</t>
  </si>
  <si>
    <t>toRoja(RaithuBandu)</t>
  </si>
  <si>
    <t>CC Txn</t>
  </si>
  <si>
    <t>Tirupati tickets</t>
  </si>
  <si>
    <t>Vizag Trip</t>
  </si>
  <si>
    <t>toTirupathiTickets</t>
  </si>
  <si>
    <t>30000 Intst</t>
  </si>
  <si>
    <t>toLICIntrst</t>
  </si>
  <si>
    <t>toSnithiSchoolFee</t>
  </si>
  <si>
    <t>March Exp.</t>
  </si>
  <si>
    <t xml:space="preserve">Medical </t>
  </si>
  <si>
    <t>toBrother(Kalahasti)</t>
  </si>
  <si>
    <t>toBrother(Home purpose)</t>
  </si>
  <si>
    <t>fromBrother</t>
  </si>
  <si>
    <t>5000+10000</t>
  </si>
  <si>
    <t>Total Raithubandu Amount</t>
  </si>
  <si>
    <t>Share Amount</t>
  </si>
  <si>
    <t>1. Share Amount (for 23 guntas) on 27-June-2023</t>
  </si>
  <si>
    <t>2. Share Amount (for 23 guntas) on 20-Jan-2024</t>
  </si>
  <si>
    <t>Total Koulu Amount (for one year)</t>
  </si>
  <si>
    <t>Per Gunta</t>
  </si>
  <si>
    <t>toSnithiB'Day</t>
  </si>
  <si>
    <t>toChiralaTrip</t>
  </si>
  <si>
    <t>toTriCycle</t>
  </si>
  <si>
    <t>Jun &amp; Dec</t>
  </si>
  <si>
    <t>Feb &amp; Aug</t>
  </si>
  <si>
    <t>Jan</t>
  </si>
  <si>
    <t>toNewHouseTokenAmt</t>
  </si>
  <si>
    <t>Before Registration</t>
  </si>
  <si>
    <t>After Registration</t>
  </si>
  <si>
    <t>Clouser Personal Loan</t>
  </si>
  <si>
    <t>STMP duty charges</t>
  </si>
  <si>
    <t>Bank Loan
Processing Fee</t>
  </si>
  <si>
    <t>Govt challan (0.5 %)</t>
  </si>
  <si>
    <t>Interior</t>
  </si>
  <si>
    <t>Total Loan Amount</t>
  </si>
  <si>
    <t>Personal Loan</t>
  </si>
  <si>
    <t>Spil Over</t>
  </si>
  <si>
    <t>Sub-Total</t>
  </si>
  <si>
    <t>SSH</t>
  </si>
  <si>
    <t>GGH</t>
  </si>
  <si>
    <t>Exp</t>
  </si>
  <si>
    <t>Builder Balance Amount</t>
  </si>
  <si>
    <t>1st</t>
  </si>
  <si>
    <t>2ed</t>
  </si>
  <si>
    <t>G+R</t>
  </si>
  <si>
    <t>F STAR</t>
  </si>
  <si>
    <t>LKP</t>
  </si>
  <si>
    <t>KC</t>
  </si>
  <si>
    <t>Ln</t>
  </si>
  <si>
    <t>toPropertyValuationFee</t>
  </si>
  <si>
    <t>toLegalFee</t>
  </si>
  <si>
    <t>toSBIAcctOpening</t>
  </si>
  <si>
    <t>Login (legal + other + Account Opening)</t>
  </si>
  <si>
    <t>Barrow Amount</t>
  </si>
  <si>
    <t>Vasantha's frd</t>
  </si>
  <si>
    <t>Roja</t>
  </si>
  <si>
    <t>Lalitha</t>
  </si>
  <si>
    <t>Builder</t>
  </si>
  <si>
    <t>Gold Loan</t>
  </si>
  <si>
    <t>Registration (7.6 %)</t>
  </si>
  <si>
    <t>Builder GST (5 %)</t>
  </si>
  <si>
    <t>1st Token Amount (Builder)</t>
  </si>
  <si>
    <t>2ed Token Amount (Builder)</t>
  </si>
  <si>
    <t>Document Writer Fee</t>
  </si>
  <si>
    <t>Registration</t>
  </si>
  <si>
    <t>Total Flat Cost</t>
  </si>
  <si>
    <t>toNewHomeLoan</t>
  </si>
  <si>
    <t>fromKC</t>
  </si>
  <si>
    <t>EMI starts from</t>
  </si>
  <si>
    <t>5th first EMI</t>
  </si>
  <si>
    <t>Annam</t>
  </si>
  <si>
    <t>Month</t>
  </si>
  <si>
    <t>toGruhaPravesham</t>
  </si>
  <si>
    <t>Legal Advice (Anila Krishnan)</t>
  </si>
  <si>
    <t>toHLoanGeneralPropInsurance</t>
  </si>
  <si>
    <t>toVemulawadaTrip</t>
  </si>
  <si>
    <t>SnithiSchoolFees</t>
  </si>
  <si>
    <t>Hometrip</t>
  </si>
  <si>
    <t>SBI</t>
  </si>
  <si>
    <t>toBAS</t>
  </si>
  <si>
    <t>7th (82018.18)</t>
  </si>
  <si>
    <t>7th (35300)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</si>
</sst>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₹&quot;\ #,##0;[Red]&quot;₹&quot;\ \-#,##0"/>
    <numFmt numFmtId="43" formatCode="_ * #,##0.00_ ;_ * \-#,##0.00_ ;_ * &quot;-&quot;??_ ;_ @_ "/>
    <numFmt numFmtId="164" formatCode="#,##0.0"/>
    <numFmt numFmtId="165" formatCode="_ * #,##0_ ;_ * \-#,##0_ ;_ * &quot;-&quot;??_ ;_ @_ "/>
    <numFmt numFmtId="166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rgb="FFFF0000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7"/>
      <color rgb="FF333333"/>
      <name val="Arial"/>
      <family val="2"/>
    </font>
    <font>
      <sz val="7"/>
      <color rgb="FFFF000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CE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29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" fontId="0" fillId="0" borderId="1" xfId="0" applyNumberFormat="1" applyBorder="1"/>
    <xf numFmtId="0" fontId="0" fillId="3" borderId="1" xfId="0" applyFill="1" applyBorder="1"/>
    <xf numFmtId="4" fontId="0" fillId="3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  <xf numFmtId="0" fontId="0" fillId="6" borderId="1" xfId="0" applyFill="1" applyBorder="1"/>
    <xf numFmtId="4" fontId="0" fillId="0" borderId="0" xfId="0" applyNumberFormat="1"/>
    <xf numFmtId="4" fontId="2" fillId="0" borderId="0" xfId="0" applyNumberFormat="1" applyFont="1"/>
    <xf numFmtId="0" fontId="0" fillId="0" borderId="1" xfId="0" applyBorder="1" applyAlignment="1">
      <alignment wrapText="1"/>
    </xf>
    <xf numFmtId="3" fontId="0" fillId="3" borderId="1" xfId="0" applyNumberFormat="1" applyFill="1" applyBorder="1"/>
    <xf numFmtId="3" fontId="0" fillId="0" borderId="1" xfId="0" applyNumberFormat="1" applyBorder="1"/>
    <xf numFmtId="0" fontId="0" fillId="7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2" xfId="0" applyFill="1" applyBorder="1"/>
    <xf numFmtId="3" fontId="0" fillId="3" borderId="5" xfId="0" applyNumberFormat="1" applyFill="1" applyBorder="1"/>
    <xf numFmtId="3" fontId="0" fillId="0" borderId="5" xfId="0" applyNumberFormat="1" applyBorder="1"/>
    <xf numFmtId="4" fontId="0" fillId="0" borderId="2" xfId="0" applyNumberFormat="1" applyBorder="1"/>
    <xf numFmtId="0" fontId="0" fillId="3" borderId="0" xfId="0" applyFill="1"/>
    <xf numFmtId="3" fontId="0" fillId="0" borderId="2" xfId="0" applyNumberFormat="1" applyBorder="1"/>
    <xf numFmtId="3" fontId="0" fillId="3" borderId="2" xfId="0" applyNumberFormat="1" applyFill="1" applyBorder="1"/>
    <xf numFmtId="4" fontId="0" fillId="3" borderId="2" xfId="0" applyNumberFormat="1" applyFill="1" applyBorder="1"/>
    <xf numFmtId="0" fontId="0" fillId="3" borderId="3" xfId="0" applyFill="1" applyBorder="1"/>
    <xf numFmtId="4" fontId="0" fillId="0" borderId="10" xfId="0" applyNumberFormat="1" applyBorder="1"/>
    <xf numFmtId="3" fontId="0" fillId="5" borderId="1" xfId="0" applyNumberFormat="1" applyFill="1" applyBorder="1"/>
    <xf numFmtId="3" fontId="0" fillId="0" borderId="0" xfId="0" applyNumberFormat="1"/>
    <xf numFmtId="0" fontId="0" fillId="3" borderId="10" xfId="0" applyFill="1" applyBorder="1"/>
    <xf numFmtId="0" fontId="0" fillId="0" borderId="10" xfId="0" applyBorder="1"/>
    <xf numFmtId="0" fontId="0" fillId="0" borderId="3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2" fontId="0" fillId="0" borderId="1" xfId="0" applyNumberFormat="1" applyBorder="1"/>
    <xf numFmtId="0" fontId="1" fillId="0" borderId="3" xfId="0" applyFont="1" applyBorder="1"/>
    <xf numFmtId="0" fontId="1" fillId="0" borderId="11" xfId="0" applyFont="1" applyBorder="1"/>
    <xf numFmtId="0" fontId="0" fillId="3" borderId="11" xfId="0" applyFill="1" applyBorder="1"/>
    <xf numFmtId="0" fontId="0" fillId="0" borderId="1" xfId="0" applyBorder="1" applyAlignment="1">
      <alignment horizontal="left" vertical="top" wrapText="1"/>
    </xf>
    <xf numFmtId="0" fontId="0" fillId="0" borderId="13" xfId="0" applyBorder="1"/>
    <xf numFmtId="4" fontId="0" fillId="0" borderId="13" xfId="0" applyNumberFormat="1" applyBorder="1"/>
    <xf numFmtId="0" fontId="4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15" fontId="3" fillId="0" borderId="14" xfId="0" applyNumberFormat="1" applyFont="1" applyBorder="1" applyAlignment="1">
      <alignment vertical="center" wrapText="1"/>
    </xf>
    <xf numFmtId="0" fontId="0" fillId="10" borderId="0" xfId="0" applyFill="1"/>
    <xf numFmtId="0" fontId="5" fillId="0" borderId="0" xfId="0" applyFont="1"/>
    <xf numFmtId="0" fontId="0" fillId="11" borderId="0" xfId="0" applyFill="1"/>
    <xf numFmtId="15" fontId="0" fillId="0" borderId="0" xfId="0" applyNumberFormat="1"/>
    <xf numFmtId="15" fontId="0" fillId="0" borderId="13" xfId="0" applyNumberFormat="1" applyBorder="1"/>
    <xf numFmtId="0" fontId="0" fillId="12" borderId="13" xfId="0" applyFill="1" applyBorder="1"/>
    <xf numFmtId="15" fontId="1" fillId="0" borderId="13" xfId="0" applyNumberFormat="1" applyFont="1" applyBorder="1"/>
    <xf numFmtId="0" fontId="1" fillId="8" borderId="13" xfId="0" applyFont="1" applyFill="1" applyBorder="1"/>
    <xf numFmtId="0" fontId="0" fillId="12" borderId="0" xfId="0" applyFill="1"/>
    <xf numFmtId="0" fontId="0" fillId="9" borderId="0" xfId="0" applyFill="1"/>
    <xf numFmtId="0" fontId="0" fillId="13" borderId="0" xfId="0" applyFill="1"/>
    <xf numFmtId="0" fontId="0" fillId="10" borderId="13" xfId="0" applyFill="1" applyBorder="1"/>
    <xf numFmtId="0" fontId="0" fillId="3" borderId="13" xfId="0" applyFill="1" applyBorder="1"/>
    <xf numFmtId="0" fontId="0" fillId="0" borderId="15" xfId="0" applyBorder="1"/>
    <xf numFmtId="4" fontId="2" fillId="0" borderId="13" xfId="0" applyNumberFormat="1" applyFont="1" applyBorder="1"/>
    <xf numFmtId="4" fontId="0" fillId="14" borderId="13" xfId="0" applyNumberFormat="1" applyFill="1" applyBorder="1"/>
    <xf numFmtId="0" fontId="1" fillId="0" borderId="13" xfId="0" applyFont="1" applyBorder="1"/>
    <xf numFmtId="0" fontId="1" fillId="0" borderId="0" xfId="0" applyFont="1"/>
    <xf numFmtId="0" fontId="1" fillId="10" borderId="13" xfId="0" applyFont="1" applyFill="1" applyBorder="1"/>
    <xf numFmtId="0" fontId="0" fillId="15" borderId="17" xfId="0" applyFill="1" applyBorder="1"/>
    <xf numFmtId="0" fontId="1" fillId="10" borderId="16" xfId="0" applyFont="1" applyFill="1" applyBorder="1"/>
    <xf numFmtId="0" fontId="0" fillId="0" borderId="18" xfId="0" applyBorder="1"/>
    <xf numFmtId="0" fontId="0" fillId="0" borderId="19" xfId="0" applyBorder="1"/>
    <xf numFmtId="0" fontId="5" fillId="10" borderId="0" xfId="0" applyFont="1" applyFill="1"/>
    <xf numFmtId="0" fontId="5" fillId="0" borderId="13" xfId="0" applyFont="1" applyBorder="1"/>
    <xf numFmtId="3" fontId="0" fillId="0" borderId="13" xfId="0" applyNumberFormat="1" applyBorder="1"/>
    <xf numFmtId="0" fontId="6" fillId="16" borderId="20" xfId="0" applyFont="1" applyFill="1" applyBorder="1" applyAlignment="1">
      <alignment vertical="center" wrapText="1"/>
    </xf>
    <xf numFmtId="6" fontId="6" fillId="17" borderId="20" xfId="0" applyNumberFormat="1" applyFont="1" applyFill="1" applyBorder="1" applyAlignment="1">
      <alignment horizontal="right" vertical="center" wrapText="1"/>
    </xf>
    <xf numFmtId="3" fontId="6" fillId="17" borderId="20" xfId="0" applyNumberFormat="1" applyFont="1" applyFill="1" applyBorder="1" applyAlignment="1">
      <alignment horizontal="right" vertical="center"/>
    </xf>
    <xf numFmtId="3" fontId="6" fillId="0" borderId="0" xfId="0" applyNumberFormat="1" applyFont="1"/>
    <xf numFmtId="3" fontId="7" fillId="17" borderId="20" xfId="0" applyNumberFormat="1" applyFont="1" applyFill="1" applyBorder="1" applyAlignment="1">
      <alignment horizontal="right" vertical="center"/>
    </xf>
    <xf numFmtId="4" fontId="0" fillId="18" borderId="0" xfId="0" applyNumberFormat="1" applyFill="1"/>
    <xf numFmtId="0" fontId="0" fillId="19" borderId="13" xfId="0" applyFill="1" applyBorder="1"/>
    <xf numFmtId="3" fontId="7" fillId="17" borderId="21" xfId="0" applyNumberFormat="1" applyFont="1" applyFill="1" applyBorder="1" applyAlignment="1">
      <alignment horizontal="right" vertical="center"/>
    </xf>
    <xf numFmtId="0" fontId="0" fillId="0" borderId="22" xfId="0" applyBorder="1"/>
    <xf numFmtId="0" fontId="0" fillId="0" borderId="24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1" fillId="18" borderId="29" xfId="0" applyFont="1" applyFill="1" applyBorder="1"/>
    <xf numFmtId="3" fontId="0" fillId="0" borderId="31" xfId="0" applyNumberFormat="1" applyBorder="1"/>
    <xf numFmtId="3" fontId="1" fillId="18" borderId="30" xfId="0" applyNumberFormat="1" applyFont="1" applyFill="1" applyBorder="1"/>
    <xf numFmtId="3" fontId="0" fillId="0" borderId="28" xfId="0" applyNumberFormat="1" applyBorder="1"/>
    <xf numFmtId="3" fontId="1" fillId="4" borderId="30" xfId="0" applyNumberFormat="1" applyFont="1" applyFill="1" applyBorder="1"/>
    <xf numFmtId="3" fontId="0" fillId="0" borderId="25" xfId="0" applyNumberFormat="1" applyBorder="1"/>
    <xf numFmtId="3" fontId="0" fillId="12" borderId="27" xfId="0" applyNumberFormat="1" applyFill="1" applyBorder="1"/>
    <xf numFmtId="3" fontId="0" fillId="0" borderId="27" xfId="0" applyNumberFormat="1" applyBorder="1"/>
    <xf numFmtId="3" fontId="1" fillId="18" borderId="27" xfId="0" applyNumberFormat="1" applyFont="1" applyFill="1" applyBorder="1"/>
    <xf numFmtId="3" fontId="0" fillId="0" borderId="23" xfId="0" applyNumberFormat="1" applyBorder="1"/>
    <xf numFmtId="3" fontId="1" fillId="4" borderId="19" xfId="0" applyNumberFormat="1" applyFont="1" applyFill="1" applyBorder="1"/>
    <xf numFmtId="0" fontId="0" fillId="0" borderId="32" xfId="0" applyBorder="1"/>
    <xf numFmtId="3" fontId="0" fillId="0" borderId="33" xfId="0" applyNumberFormat="1" applyBorder="1"/>
    <xf numFmtId="3" fontId="0" fillId="0" borderId="34" xfId="0" applyNumberFormat="1" applyBorder="1"/>
    <xf numFmtId="0" fontId="1" fillId="18" borderId="26" xfId="0" applyFont="1" applyFill="1" applyBorder="1"/>
    <xf numFmtId="0" fontId="1" fillId="4" borderId="29" xfId="0" applyFont="1" applyFill="1" applyBorder="1"/>
    <xf numFmtId="0" fontId="0" fillId="0" borderId="17" xfId="0" applyBorder="1"/>
    <xf numFmtId="3" fontId="1" fillId="4" borderId="16" xfId="0" applyNumberFormat="1" applyFont="1" applyFill="1" applyBorder="1"/>
    <xf numFmtId="3" fontId="1" fillId="0" borderId="13" xfId="0" applyNumberFormat="1" applyFont="1" applyBorder="1"/>
    <xf numFmtId="0" fontId="6" fillId="16" borderId="38" xfId="0" applyFont="1" applyFill="1" applyBorder="1" applyAlignment="1">
      <alignment vertical="center" wrapText="1"/>
    </xf>
    <xf numFmtId="3" fontId="0" fillId="12" borderId="13" xfId="0" applyNumberFormat="1" applyFill="1" applyBorder="1"/>
    <xf numFmtId="3" fontId="1" fillId="0" borderId="27" xfId="0" applyNumberFormat="1" applyFont="1" applyBorder="1"/>
    <xf numFmtId="0" fontId="1" fillId="0" borderId="26" xfId="0" applyFont="1" applyBorder="1"/>
    <xf numFmtId="0" fontId="1" fillId="19" borderId="13" xfId="0" applyFont="1" applyFill="1" applyBorder="1"/>
    <xf numFmtId="3" fontId="1" fillId="19" borderId="13" xfId="0" applyNumberFormat="1" applyFont="1" applyFill="1" applyBorder="1"/>
    <xf numFmtId="17" fontId="0" fillId="0" borderId="13" xfId="0" applyNumberFormat="1" applyBorder="1"/>
    <xf numFmtId="0" fontId="0" fillId="0" borderId="13" xfId="0" applyBorder="1" applyAlignment="1">
      <alignment horizontal="right"/>
    </xf>
    <xf numFmtId="0" fontId="1" fillId="18" borderId="13" xfId="0" applyFont="1" applyFill="1" applyBorder="1"/>
    <xf numFmtId="3" fontId="1" fillId="18" borderId="13" xfId="0" applyNumberFormat="1" applyFont="1" applyFill="1" applyBorder="1"/>
    <xf numFmtId="0" fontId="1" fillId="19" borderId="30" xfId="0" applyFont="1" applyFill="1" applyBorder="1"/>
    <xf numFmtId="3" fontId="1" fillId="19" borderId="35" xfId="0" applyNumberFormat="1" applyFont="1" applyFill="1" applyBorder="1"/>
    <xf numFmtId="0" fontId="0" fillId="0" borderId="27" xfId="0" applyBorder="1"/>
    <xf numFmtId="0" fontId="0" fillId="0" borderId="41" xfId="0" applyBorder="1"/>
    <xf numFmtId="0" fontId="0" fillId="0" borderId="42" xfId="0" applyBorder="1"/>
    <xf numFmtId="0" fontId="1" fillId="19" borderId="16" xfId="0" applyFont="1" applyFill="1" applyBorder="1"/>
    <xf numFmtId="3" fontId="0" fillId="19" borderId="13" xfId="0" applyNumberFormat="1" applyFill="1" applyBorder="1"/>
    <xf numFmtId="0" fontId="0" fillId="19" borderId="35" xfId="0" applyFill="1" applyBorder="1"/>
    <xf numFmtId="17" fontId="0" fillId="0" borderId="0" xfId="0" applyNumberFormat="1"/>
    <xf numFmtId="3" fontId="0" fillId="0" borderId="26" xfId="0" applyNumberFormat="1" applyBorder="1"/>
    <xf numFmtId="0" fontId="0" fillId="0" borderId="23" xfId="0" applyBorder="1"/>
    <xf numFmtId="3" fontId="0" fillId="0" borderId="45" xfId="0" applyNumberFormat="1" applyBorder="1"/>
    <xf numFmtId="0" fontId="0" fillId="0" borderId="17" xfId="0" applyBorder="1" applyAlignment="1">
      <alignment horizontal="right"/>
    </xf>
    <xf numFmtId="0" fontId="0" fillId="18" borderId="32" xfId="0" applyFill="1" applyBorder="1"/>
    <xf numFmtId="3" fontId="1" fillId="18" borderId="45" xfId="0" applyNumberFormat="1" applyFont="1" applyFill="1" applyBorder="1"/>
    <xf numFmtId="0" fontId="0" fillId="18" borderId="13" xfId="0" applyFill="1" applyBorder="1"/>
    <xf numFmtId="0" fontId="0" fillId="12" borderId="26" xfId="0" applyFill="1" applyBorder="1"/>
    <xf numFmtId="3" fontId="0" fillId="18" borderId="13" xfId="0" applyNumberFormat="1" applyFill="1" applyBorder="1"/>
    <xf numFmtId="0" fontId="1" fillId="20" borderId="18" xfId="0" applyFont="1" applyFill="1" applyBorder="1"/>
    <xf numFmtId="4" fontId="0" fillId="0" borderId="46" xfId="0" applyNumberFormat="1" applyBorder="1"/>
    <xf numFmtId="4" fontId="1" fillId="20" borderId="19" xfId="0" applyNumberFormat="1" applyFont="1" applyFill="1" applyBorder="1"/>
    <xf numFmtId="3" fontId="0" fillId="0" borderId="42" xfId="0" applyNumberFormat="1" applyBorder="1"/>
    <xf numFmtId="0" fontId="8" fillId="0" borderId="27" xfId="0" applyFont="1" applyBorder="1"/>
    <xf numFmtId="3" fontId="1" fillId="19" borderId="16" xfId="0" applyNumberFormat="1" applyFont="1" applyFill="1" applyBorder="1"/>
    <xf numFmtId="0" fontId="9" fillId="0" borderId="13" xfId="0" applyFont="1" applyBorder="1"/>
    <xf numFmtId="3" fontId="9" fillId="0" borderId="13" xfId="0" applyNumberFormat="1" applyFont="1" applyBorder="1"/>
    <xf numFmtId="0" fontId="5" fillId="5" borderId="13" xfId="0" applyFont="1" applyFill="1" applyBorder="1"/>
    <xf numFmtId="0" fontId="5" fillId="5" borderId="28" xfId="0" applyFont="1" applyFill="1" applyBorder="1"/>
    <xf numFmtId="0" fontId="0" fillId="5" borderId="13" xfId="0" applyFill="1" applyBorder="1"/>
    <xf numFmtId="4" fontId="0" fillId="0" borderId="27" xfId="0" applyNumberFormat="1" applyBorder="1"/>
    <xf numFmtId="3" fontId="8" fillId="19" borderId="26" xfId="0" applyNumberFormat="1" applyFont="1" applyFill="1" applyBorder="1"/>
    <xf numFmtId="3" fontId="8" fillId="19" borderId="27" xfId="0" applyNumberFormat="1" applyFont="1" applyFill="1" applyBorder="1"/>
    <xf numFmtId="0" fontId="8" fillId="0" borderId="47" xfId="0" applyFont="1" applyBorder="1"/>
    <xf numFmtId="3" fontId="5" fillId="0" borderId="27" xfId="0" applyNumberFormat="1" applyFont="1" applyBorder="1"/>
    <xf numFmtId="0" fontId="0" fillId="0" borderId="48" xfId="0" applyBorder="1"/>
    <xf numFmtId="0" fontId="0" fillId="0" borderId="49" xfId="0" applyBorder="1"/>
    <xf numFmtId="3" fontId="1" fillId="19" borderId="50" xfId="0" applyNumberFormat="1" applyFont="1" applyFill="1" applyBorder="1"/>
    <xf numFmtId="3" fontId="5" fillId="0" borderId="13" xfId="0" applyNumberFormat="1" applyFont="1" applyBorder="1"/>
    <xf numFmtId="0" fontId="0" fillId="0" borderId="51" xfId="0" applyBorder="1"/>
    <xf numFmtId="0" fontId="1" fillId="0" borderId="15" xfId="0" applyFont="1" applyBorder="1"/>
    <xf numFmtId="0" fontId="0" fillId="0" borderId="13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0" borderId="45" xfId="0" applyBorder="1"/>
    <xf numFmtId="0" fontId="0" fillId="0" borderId="46" xfId="0" applyBorder="1"/>
    <xf numFmtId="0" fontId="0" fillId="0" borderId="50" xfId="0" applyBorder="1"/>
    <xf numFmtId="0" fontId="0" fillId="0" borderId="30" xfId="0" applyBorder="1"/>
    <xf numFmtId="3" fontId="0" fillId="19" borderId="35" xfId="0" applyNumberFormat="1" applyFill="1" applyBorder="1"/>
    <xf numFmtId="3" fontId="0" fillId="19" borderId="27" xfId="0" applyNumberFormat="1" applyFill="1" applyBorder="1"/>
    <xf numFmtId="6" fontId="6" fillId="17" borderId="53" xfId="0" applyNumberFormat="1" applyFont="1" applyFill="1" applyBorder="1" applyAlignment="1">
      <alignment horizontal="right" vertical="center" wrapText="1"/>
    </xf>
    <xf numFmtId="0" fontId="1" fillId="18" borderId="15" xfId="0" applyFont="1" applyFill="1" applyBorder="1"/>
    <xf numFmtId="3" fontId="0" fillId="0" borderId="0" xfId="0" applyNumberFormat="1" applyAlignment="1">
      <alignment horizontal="left"/>
    </xf>
    <xf numFmtId="0" fontId="1" fillId="0" borderId="32" xfId="0" applyFont="1" applyBorder="1"/>
    <xf numFmtId="0" fontId="0" fillId="0" borderId="52" xfId="0" applyBorder="1"/>
    <xf numFmtId="0" fontId="0" fillId="0" borderId="45" xfId="0" applyBorder="1" applyAlignment="1">
      <alignment horizontal="left"/>
    </xf>
    <xf numFmtId="3" fontId="10" fillId="18" borderId="13" xfId="0" applyNumberFormat="1" applyFont="1" applyFill="1" applyBorder="1"/>
    <xf numFmtId="0" fontId="0" fillId="0" borderId="52" xfId="0" applyBorder="1" applyAlignment="1">
      <alignment horizontal="left"/>
    </xf>
    <xf numFmtId="0" fontId="0" fillId="4" borderId="27" xfId="0" applyFill="1" applyBorder="1" applyAlignment="1">
      <alignment horizontal="left"/>
    </xf>
    <xf numFmtId="0" fontId="0" fillId="0" borderId="16" xfId="0" applyBorder="1" applyAlignment="1">
      <alignment horizontal="left"/>
    </xf>
    <xf numFmtId="3" fontId="1" fillId="0" borderId="19" xfId="0" applyNumberFormat="1" applyFont="1" applyBorder="1"/>
    <xf numFmtId="3" fontId="0" fillId="0" borderId="16" xfId="0" applyNumberFormat="1" applyBorder="1"/>
    <xf numFmtId="0" fontId="0" fillId="0" borderId="35" xfId="0" applyBorder="1"/>
    <xf numFmtId="3" fontId="0" fillId="0" borderId="35" xfId="0" applyNumberFormat="1" applyBorder="1"/>
    <xf numFmtId="17" fontId="0" fillId="0" borderId="13" xfId="0" applyNumberFormat="1" applyBorder="1" applyAlignment="1">
      <alignment horizontal="right"/>
    </xf>
    <xf numFmtId="0" fontId="0" fillId="19" borderId="15" xfId="0" applyFill="1" applyBorder="1"/>
    <xf numFmtId="3" fontId="0" fillId="12" borderId="35" xfId="0" applyNumberFormat="1" applyFill="1" applyBorder="1"/>
    <xf numFmtId="4" fontId="11" fillId="0" borderId="0" xfId="0" applyNumberFormat="1" applyFont="1"/>
    <xf numFmtId="0" fontId="0" fillId="0" borderId="50" xfId="0" applyBorder="1" applyAlignment="1">
      <alignment horizontal="left"/>
    </xf>
    <xf numFmtId="3" fontId="0" fillId="0" borderId="13" xfId="0" applyNumberFormat="1" applyBorder="1" applyAlignment="1">
      <alignment horizontal="left"/>
    </xf>
    <xf numFmtId="164" fontId="0" fillId="0" borderId="13" xfId="0" applyNumberFormat="1" applyBorder="1"/>
    <xf numFmtId="164" fontId="0" fillId="0" borderId="35" xfId="0" applyNumberFormat="1" applyBorder="1"/>
    <xf numFmtId="164" fontId="0" fillId="18" borderId="13" xfId="0" applyNumberFormat="1" applyFill="1" applyBorder="1"/>
    <xf numFmtId="164" fontId="0" fillId="19" borderId="13" xfId="0" applyNumberFormat="1" applyFill="1" applyBorder="1"/>
    <xf numFmtId="164" fontId="1" fillId="18" borderId="13" xfId="0" applyNumberFormat="1" applyFont="1" applyFill="1" applyBorder="1"/>
    <xf numFmtId="164" fontId="0" fillId="12" borderId="13" xfId="0" applyNumberFormat="1" applyFill="1" applyBorder="1"/>
    <xf numFmtId="17" fontId="0" fillId="0" borderId="15" xfId="0" applyNumberFormat="1" applyBorder="1" applyAlignment="1">
      <alignment horizontal="left"/>
    </xf>
    <xf numFmtId="164" fontId="0" fillId="0" borderId="31" xfId="0" applyNumberFormat="1" applyBorder="1" applyAlignment="1">
      <alignment horizontal="left"/>
    </xf>
    <xf numFmtId="164" fontId="0" fillId="0" borderId="27" xfId="0" applyNumberFormat="1" applyBorder="1" applyAlignment="1">
      <alignment horizontal="left"/>
    </xf>
    <xf numFmtId="164" fontId="0" fillId="0" borderId="45" xfId="0" applyNumberFormat="1" applyBorder="1" applyAlignment="1">
      <alignment horizontal="left"/>
    </xf>
    <xf numFmtId="15" fontId="12" fillId="0" borderId="0" xfId="0" applyNumberFormat="1" applyFont="1"/>
    <xf numFmtId="164" fontId="1" fillId="0" borderId="13" xfId="0" applyNumberFormat="1" applyFont="1" applyBorder="1"/>
    <xf numFmtId="14" fontId="0" fillId="0" borderId="0" xfId="0" applyNumberFormat="1"/>
    <xf numFmtId="4" fontId="11" fillId="0" borderId="13" xfId="0" applyNumberFormat="1" applyFont="1" applyBorder="1"/>
    <xf numFmtId="3" fontId="0" fillId="11" borderId="13" xfId="0" applyNumberFormat="1" applyFill="1" applyBorder="1"/>
    <xf numFmtId="0" fontId="13" fillId="18" borderId="13" xfId="0" applyFont="1" applyFill="1" applyBorder="1"/>
    <xf numFmtId="0" fontId="13" fillId="0" borderId="13" xfId="0" applyFont="1" applyBorder="1"/>
    <xf numFmtId="164" fontId="0" fillId="0" borderId="28" xfId="0" applyNumberFormat="1" applyBorder="1"/>
    <xf numFmtId="164" fontId="0" fillId="12" borderId="28" xfId="0" applyNumberFormat="1" applyFill="1" applyBorder="1"/>
    <xf numFmtId="164" fontId="0" fillId="0" borderId="31" xfId="0" applyNumberFormat="1" applyBorder="1"/>
    <xf numFmtId="0" fontId="0" fillId="0" borderId="57" xfId="0" applyBorder="1"/>
    <xf numFmtId="0" fontId="0" fillId="0" borderId="58" xfId="0" applyBorder="1"/>
    <xf numFmtId="164" fontId="1" fillId="12" borderId="13" xfId="0" applyNumberFormat="1" applyFont="1" applyFill="1" applyBorder="1"/>
    <xf numFmtId="0" fontId="0" fillId="4" borderId="52" xfId="0" applyFill="1" applyBorder="1" applyAlignment="1">
      <alignment horizontal="left"/>
    </xf>
    <xf numFmtId="164" fontId="0" fillId="4" borderId="45" xfId="0" applyNumberFormat="1" applyFill="1" applyBorder="1" applyAlignment="1">
      <alignment horizontal="left"/>
    </xf>
    <xf numFmtId="164" fontId="0" fillId="4" borderId="27" xfId="0" applyNumberFormat="1" applyFill="1" applyBorder="1" applyAlignment="1">
      <alignment horizontal="left"/>
    </xf>
    <xf numFmtId="165" fontId="0" fillId="0" borderId="0" xfId="0" applyNumberFormat="1"/>
    <xf numFmtId="165" fontId="0" fillId="0" borderId="13" xfId="1" applyNumberFormat="1" applyFont="1" applyBorder="1"/>
    <xf numFmtId="165" fontId="1" fillId="0" borderId="13" xfId="1" applyNumberFormat="1" applyFont="1" applyBorder="1"/>
    <xf numFmtId="0" fontId="0" fillId="0" borderId="40" xfId="0" applyBorder="1"/>
    <xf numFmtId="0" fontId="0" fillId="0" borderId="25" xfId="0" applyBorder="1"/>
    <xf numFmtId="165" fontId="1" fillId="0" borderId="27" xfId="0" applyNumberFormat="1" applyFont="1" applyBorder="1"/>
    <xf numFmtId="0" fontId="0" fillId="0" borderId="26" xfId="0" applyBorder="1" applyAlignment="1">
      <alignment horizontal="left" indent="1"/>
    </xf>
    <xf numFmtId="165" fontId="1" fillId="12" borderId="52" xfId="0" applyNumberFormat="1" applyFont="1" applyFill="1" applyBorder="1"/>
    <xf numFmtId="165" fontId="0" fillId="12" borderId="0" xfId="0" applyNumberFormat="1" applyFill="1"/>
    <xf numFmtId="14" fontId="0" fillId="0" borderId="13" xfId="0" applyNumberFormat="1" applyBorder="1"/>
    <xf numFmtId="43" fontId="0" fillId="0" borderId="13" xfId="1" applyFont="1" applyBorder="1"/>
    <xf numFmtId="43" fontId="0" fillId="0" borderId="13" xfId="0" applyNumberFormat="1" applyBorder="1"/>
    <xf numFmtId="43" fontId="0" fillId="22" borderId="13" xfId="0" applyNumberFormat="1" applyFill="1" applyBorder="1"/>
    <xf numFmtId="43" fontId="15" fillId="12" borderId="13" xfId="0" applyNumberFormat="1" applyFont="1" applyFill="1" applyBorder="1"/>
    <xf numFmtId="0" fontId="15" fillId="0" borderId="13" xfId="0" applyFont="1" applyBorder="1"/>
    <xf numFmtId="43" fontId="15" fillId="22" borderId="28" xfId="0" applyNumberFormat="1" applyFont="1" applyFill="1" applyBorder="1"/>
    <xf numFmtId="43" fontId="1" fillId="10" borderId="13" xfId="0" applyNumberFormat="1" applyFont="1" applyFill="1" applyBorder="1"/>
    <xf numFmtId="0" fontId="1" fillId="13" borderId="28" xfId="0" applyFont="1" applyFill="1" applyBorder="1" applyAlignment="1">
      <alignment horizontal="center"/>
    </xf>
    <xf numFmtId="43" fontId="0" fillId="11" borderId="13" xfId="1" applyFont="1" applyFill="1" applyBorder="1" applyAlignment="1">
      <alignment horizontal="left"/>
    </xf>
    <xf numFmtId="43" fontId="0" fillId="11" borderId="13" xfId="1" applyFont="1" applyFill="1" applyBorder="1"/>
    <xf numFmtId="0" fontId="1" fillId="13" borderId="13" xfId="0" applyFont="1" applyFill="1" applyBorder="1" applyAlignment="1">
      <alignment horizontal="center"/>
    </xf>
    <xf numFmtId="43" fontId="0" fillId="0" borderId="0" xfId="0" applyNumberFormat="1"/>
    <xf numFmtId="43" fontId="0" fillId="0" borderId="13" xfId="1" applyFont="1" applyFill="1" applyBorder="1"/>
    <xf numFmtId="43" fontId="0" fillId="0" borderId="0" xfId="1" applyFont="1" applyBorder="1"/>
    <xf numFmtId="43" fontId="0" fillId="22" borderId="0" xfId="0" applyNumberFormat="1" applyFill="1"/>
    <xf numFmtId="43" fontId="15" fillId="22" borderId="0" xfId="0" applyNumberFormat="1" applyFont="1" applyFill="1"/>
    <xf numFmtId="43" fontId="1" fillId="10" borderId="0" xfId="0" applyNumberFormat="1" applyFont="1" applyFill="1"/>
    <xf numFmtId="0" fontId="0" fillId="0" borderId="13" xfId="0" applyBorder="1" applyAlignment="1">
      <alignment vertical="center"/>
    </xf>
    <xf numFmtId="43" fontId="1" fillId="11" borderId="19" xfId="1" applyFont="1" applyFill="1" applyBorder="1"/>
    <xf numFmtId="0" fontId="1" fillId="11" borderId="18" xfId="0" applyFont="1" applyFill="1" applyBorder="1"/>
    <xf numFmtId="43" fontId="0" fillId="12" borderId="13" xfId="1" applyFont="1" applyFill="1" applyBorder="1"/>
    <xf numFmtId="43" fontId="15" fillId="11" borderId="13" xfId="0" applyNumberFormat="1" applyFont="1" applyFill="1" applyBorder="1"/>
    <xf numFmtId="0" fontId="0" fillId="0" borderId="17" xfId="0" applyBorder="1" applyAlignment="1">
      <alignment horizontal="left"/>
    </xf>
    <xf numFmtId="43" fontId="0" fillId="0" borderId="28" xfId="1" applyFont="1" applyBorder="1"/>
    <xf numFmtId="43" fontId="0" fillId="0" borderId="0" xfId="1" applyFont="1"/>
    <xf numFmtId="166" fontId="0" fillId="0" borderId="0" xfId="0" applyNumberFormat="1"/>
    <xf numFmtId="14" fontId="0" fillId="0" borderId="31" xfId="0" applyNumberFormat="1" applyBorder="1"/>
    <xf numFmtId="43" fontId="0" fillId="0" borderId="35" xfId="1" applyFont="1" applyFill="1" applyBorder="1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6" borderId="13" xfId="0" applyFont="1" applyFill="1" applyBorder="1" applyAlignment="1">
      <alignment horizontal="center"/>
    </xf>
    <xf numFmtId="0" fontId="1" fillId="18" borderId="36" xfId="0" applyFont="1" applyFill="1" applyBorder="1" applyAlignment="1">
      <alignment horizontal="center"/>
    </xf>
    <xf numFmtId="0" fontId="1" fillId="18" borderId="37" xfId="0" applyFont="1" applyFill="1" applyBorder="1" applyAlignment="1">
      <alignment horizontal="center"/>
    </xf>
    <xf numFmtId="0" fontId="1" fillId="19" borderId="18" xfId="0" applyFont="1" applyFill="1" applyBorder="1" applyAlignment="1">
      <alignment horizontal="left"/>
    </xf>
    <xf numFmtId="0" fontId="1" fillId="19" borderId="39" xfId="0" applyFont="1" applyFill="1" applyBorder="1" applyAlignment="1">
      <alignment horizontal="left"/>
    </xf>
    <xf numFmtId="0" fontId="1" fillId="19" borderId="24" xfId="0" applyFont="1" applyFill="1" applyBorder="1" applyAlignment="1">
      <alignment horizontal="center"/>
    </xf>
    <xf numFmtId="0" fontId="1" fillId="19" borderId="40" xfId="0" applyFont="1" applyFill="1" applyBorder="1" applyAlignment="1">
      <alignment horizontal="center"/>
    </xf>
    <xf numFmtId="0" fontId="1" fillId="19" borderId="25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10" borderId="25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18" borderId="24" xfId="0" applyFont="1" applyFill="1" applyBorder="1" applyAlignment="1">
      <alignment horizontal="center"/>
    </xf>
    <xf numFmtId="0" fontId="1" fillId="18" borderId="40" xfId="0" applyFont="1" applyFill="1" applyBorder="1" applyAlignment="1">
      <alignment horizontal="center"/>
    </xf>
    <xf numFmtId="0" fontId="1" fillId="18" borderId="25" xfId="0" applyFont="1" applyFill="1" applyBorder="1" applyAlignment="1">
      <alignment horizontal="center"/>
    </xf>
    <xf numFmtId="0" fontId="1" fillId="21" borderId="24" xfId="0" applyFont="1" applyFill="1" applyBorder="1" applyAlignment="1">
      <alignment horizontal="center"/>
    </xf>
    <xf numFmtId="0" fontId="1" fillId="21" borderId="25" xfId="0" applyFont="1" applyFill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54" xfId="0" applyNumberFormat="1" applyBorder="1" applyAlignment="1">
      <alignment horizontal="center"/>
    </xf>
    <xf numFmtId="164" fontId="0" fillId="0" borderId="55" xfId="0" applyNumberFormat="1" applyBorder="1" applyAlignment="1">
      <alignment horizontal="center"/>
    </xf>
    <xf numFmtId="0" fontId="0" fillId="0" borderId="22" xfId="0" applyBorder="1" applyAlignment="1">
      <alignment horizontal="left" vertical="center"/>
    </xf>
    <xf numFmtId="0" fontId="1" fillId="0" borderId="36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164" fontId="0" fillId="4" borderId="17" xfId="0" applyNumberFormat="1" applyFill="1" applyBorder="1" applyAlignment="1">
      <alignment horizontal="center"/>
    </xf>
    <xf numFmtId="164" fontId="0" fillId="4" borderId="54" xfId="0" applyNumberFormat="1" applyFill="1" applyBorder="1" applyAlignment="1">
      <alignment horizontal="center"/>
    </xf>
    <xf numFmtId="164" fontId="0" fillId="4" borderId="55" xfId="0" applyNumberFormat="1" applyFill="1" applyBorder="1" applyAlignment="1">
      <alignment horizontal="center"/>
    </xf>
    <xf numFmtId="0" fontId="1" fillId="13" borderId="28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1" fillId="13" borderId="1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18"/>
  <sheetViews>
    <sheetView zoomScaleNormal="100" zoomScaleSheetLayoutView="100" workbookViewId="0">
      <selection activeCell="G27" sqref="G27"/>
    </sheetView>
  </sheetViews>
  <sheetFormatPr defaultRowHeight="14.4" x14ac:dyDescent="0.3"/>
  <cols>
    <col min="3" max="3" width="11.44140625" bestFit="1" customWidth="1"/>
    <col min="4" max="5" width="10.6640625" bestFit="1" customWidth="1"/>
  </cols>
  <sheetData>
    <row r="1" spans="3:6" x14ac:dyDescent="0.3">
      <c r="C1" s="1" t="s">
        <v>7</v>
      </c>
      <c r="D1" s="1" t="s">
        <v>8</v>
      </c>
    </row>
    <row r="2" spans="3:6" ht="13.5" customHeight="1" x14ac:dyDescent="0.3">
      <c r="C2" s="2" t="s">
        <v>6</v>
      </c>
      <c r="D2" s="6">
        <v>10000</v>
      </c>
    </row>
    <row r="3" spans="3:6" x14ac:dyDescent="0.3">
      <c r="C3" s="2" t="s">
        <v>0</v>
      </c>
      <c r="D3" s="5">
        <v>10113</v>
      </c>
    </row>
    <row r="4" spans="3:6" x14ac:dyDescent="0.3">
      <c r="C4" s="2" t="s">
        <v>1</v>
      </c>
      <c r="D4" s="4">
        <v>25000</v>
      </c>
    </row>
    <row r="5" spans="3:6" x14ac:dyDescent="0.3">
      <c r="C5" s="2" t="s">
        <v>2</v>
      </c>
      <c r="D5" s="4">
        <v>15000</v>
      </c>
    </row>
    <row r="6" spans="3:6" x14ac:dyDescent="0.3">
      <c r="C6" s="2" t="s">
        <v>89</v>
      </c>
      <c r="D6" s="4">
        <v>30000</v>
      </c>
    </row>
    <row r="7" spans="3:6" x14ac:dyDescent="0.3">
      <c r="C7" s="2" t="s">
        <v>3</v>
      </c>
      <c r="D7" s="4">
        <v>1500</v>
      </c>
    </row>
    <row r="8" spans="3:6" x14ac:dyDescent="0.3">
      <c r="C8" s="2" t="s">
        <v>9</v>
      </c>
      <c r="D8" s="4">
        <v>1572</v>
      </c>
    </row>
    <row r="9" spans="3:6" x14ac:dyDescent="0.3">
      <c r="C9" s="2" t="s">
        <v>4</v>
      </c>
      <c r="D9" s="4">
        <v>13500</v>
      </c>
    </row>
    <row r="10" spans="3:6" x14ac:dyDescent="0.3">
      <c r="C10" s="2" t="s">
        <v>13</v>
      </c>
      <c r="D10" s="4">
        <v>1500</v>
      </c>
    </row>
    <row r="11" spans="3:6" x14ac:dyDescent="0.3">
      <c r="C11" s="2"/>
      <c r="D11" s="2"/>
      <c r="E11" t="s">
        <v>5</v>
      </c>
      <c r="F11">
        <f>SUM(F8:F9)</f>
        <v>0</v>
      </c>
    </row>
    <row r="12" spans="3:6" x14ac:dyDescent="0.3">
      <c r="C12" s="2"/>
      <c r="D12" s="2"/>
    </row>
    <row r="13" spans="3:6" x14ac:dyDescent="0.3">
      <c r="C13" s="2" t="s">
        <v>5</v>
      </c>
      <c r="D13" s="3">
        <f>SUM(D2:D10)</f>
        <v>108185</v>
      </c>
      <c r="E13" t="s">
        <v>10</v>
      </c>
      <c r="F13">
        <v>6000</v>
      </c>
    </row>
    <row r="14" spans="3:6" x14ac:dyDescent="0.3">
      <c r="E14" t="s">
        <v>11</v>
      </c>
      <c r="F14">
        <v>15000</v>
      </c>
    </row>
    <row r="16" spans="3:6" x14ac:dyDescent="0.3">
      <c r="E16" t="s">
        <v>5</v>
      </c>
      <c r="F16">
        <f>SUM(F13)</f>
        <v>6000</v>
      </c>
    </row>
    <row r="18" spans="5:6" x14ac:dyDescent="0.3">
      <c r="E18" t="s">
        <v>12</v>
      </c>
      <c r="F18">
        <f>(F16-F11)</f>
        <v>6000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31"/>
  <sheetViews>
    <sheetView zoomScaleNormal="100" zoomScaleSheetLayoutView="100" workbookViewId="0">
      <selection activeCell="A14" sqref="A14"/>
    </sheetView>
  </sheetViews>
  <sheetFormatPr defaultRowHeight="14.4" x14ac:dyDescent="0.3"/>
  <cols>
    <col min="1" max="1" width="21.6640625" bestFit="1" customWidth="1"/>
    <col min="2" max="2" width="10.6640625" bestFit="1" customWidth="1"/>
    <col min="3" max="3" width="11.33203125" bestFit="1" customWidth="1"/>
    <col min="4" max="4" width="18.109375" bestFit="1" customWidth="1"/>
    <col min="5" max="5" width="9.6640625" bestFit="1" customWidth="1"/>
    <col min="6" max="6" width="20.33203125" bestFit="1" customWidth="1"/>
    <col min="7" max="7" width="12.6640625" bestFit="1" customWidth="1"/>
    <col min="8" max="8" width="14.6640625" bestFit="1" customWidth="1"/>
    <col min="9" max="9" width="8.6640625" bestFit="1" customWidth="1"/>
    <col min="10" max="10" width="10.33203125" bestFit="1" customWidth="1"/>
    <col min="11" max="11" width="10.6640625" bestFit="1" customWidth="1"/>
  </cols>
  <sheetData>
    <row r="1" spans="1:20" x14ac:dyDescent="0.3">
      <c r="A1" s="2" t="s">
        <v>6</v>
      </c>
      <c r="B1" s="4">
        <v>21000</v>
      </c>
      <c r="C1" s="17">
        <v>21000</v>
      </c>
    </row>
    <row r="2" spans="1:20" x14ac:dyDescent="0.3">
      <c r="A2" s="2" t="s">
        <v>0</v>
      </c>
      <c r="B2" s="23">
        <v>3073.8</v>
      </c>
      <c r="C2" s="2">
        <v>3073.8</v>
      </c>
      <c r="D2">
        <v>0</v>
      </c>
    </row>
    <row r="3" spans="1:20" x14ac:dyDescent="0.3">
      <c r="A3" s="2" t="s">
        <v>1</v>
      </c>
      <c r="B3" s="4">
        <v>15000</v>
      </c>
      <c r="C3" s="18">
        <v>15000</v>
      </c>
      <c r="J3" s="259" t="s">
        <v>85</v>
      </c>
      <c r="K3" s="259"/>
    </row>
    <row r="4" spans="1:20" x14ac:dyDescent="0.3">
      <c r="A4" s="2" t="s">
        <v>2</v>
      </c>
      <c r="B4" s="4">
        <v>16500</v>
      </c>
      <c r="C4" s="2">
        <v>16500</v>
      </c>
      <c r="F4" s="8" t="s">
        <v>122</v>
      </c>
      <c r="G4" s="8">
        <v>527760</v>
      </c>
      <c r="H4" s="39" t="s">
        <v>118</v>
      </c>
      <c r="J4" s="2" t="s">
        <v>6</v>
      </c>
      <c r="K4" s="2">
        <v>23000</v>
      </c>
    </row>
    <row r="5" spans="1:20" x14ac:dyDescent="0.3">
      <c r="A5" s="2" t="s">
        <v>89</v>
      </c>
      <c r="B5" s="13">
        <v>29706</v>
      </c>
      <c r="C5" s="29">
        <v>29706</v>
      </c>
      <c r="F5" s="8" t="s">
        <v>121</v>
      </c>
      <c r="G5" s="40">
        <v>200</v>
      </c>
      <c r="H5" s="8"/>
      <c r="J5" s="2" t="s">
        <v>6</v>
      </c>
      <c r="K5" s="2">
        <v>40000</v>
      </c>
    </row>
    <row r="6" spans="1:20" x14ac:dyDescent="0.3">
      <c r="A6" s="2" t="s">
        <v>3</v>
      </c>
      <c r="B6" s="4">
        <v>1500</v>
      </c>
      <c r="C6" s="2">
        <v>1500</v>
      </c>
      <c r="D6" t="s">
        <v>91</v>
      </c>
      <c r="J6" s="17" t="s">
        <v>6</v>
      </c>
      <c r="K6" s="17">
        <v>25000</v>
      </c>
    </row>
    <row r="7" spans="1:20" x14ac:dyDescent="0.3">
      <c r="A7" s="2" t="s">
        <v>9</v>
      </c>
      <c r="B7" s="4">
        <v>650</v>
      </c>
      <c r="C7" s="2">
        <v>650</v>
      </c>
      <c r="F7" s="2" t="s">
        <v>119</v>
      </c>
      <c r="G7" s="41">
        <v>100000</v>
      </c>
      <c r="H7" s="2" t="s">
        <v>136</v>
      </c>
      <c r="J7" s="2" t="s">
        <v>123</v>
      </c>
      <c r="K7" s="2">
        <v>100000</v>
      </c>
    </row>
    <row r="8" spans="1:20" x14ac:dyDescent="0.3">
      <c r="A8" s="2" t="s">
        <v>15</v>
      </c>
      <c r="B8" s="4">
        <v>7500</v>
      </c>
      <c r="C8" s="2">
        <v>7500</v>
      </c>
      <c r="D8" t="s">
        <v>91</v>
      </c>
      <c r="F8" s="2" t="s">
        <v>120</v>
      </c>
      <c r="G8" s="4">
        <v>279000</v>
      </c>
      <c r="H8" s="18"/>
    </row>
    <row r="9" spans="1:20" x14ac:dyDescent="0.3">
      <c r="A9" s="2" t="s">
        <v>70</v>
      </c>
      <c r="B9" s="4">
        <v>2209</v>
      </c>
      <c r="C9" s="2">
        <v>2209</v>
      </c>
      <c r="D9" t="s">
        <v>96</v>
      </c>
      <c r="F9" s="17" t="s">
        <v>125</v>
      </c>
      <c r="G9" s="27">
        <v>100000</v>
      </c>
      <c r="H9" s="2"/>
      <c r="J9" s="2" t="s">
        <v>5</v>
      </c>
      <c r="K9" s="2">
        <f>SUM(K4:K7)</f>
        <v>188000</v>
      </c>
    </row>
    <row r="10" spans="1:20" x14ac:dyDescent="0.3">
      <c r="A10" s="2" t="s">
        <v>72</v>
      </c>
      <c r="B10" s="7">
        <v>23000</v>
      </c>
      <c r="C10" s="2"/>
      <c r="D10" t="s">
        <v>97</v>
      </c>
      <c r="F10" s="2" t="s">
        <v>128</v>
      </c>
      <c r="G10" s="4">
        <v>5000</v>
      </c>
      <c r="H10" s="17"/>
    </row>
    <row r="11" spans="1:20" x14ac:dyDescent="0.3">
      <c r="A11" s="2" t="s">
        <v>43</v>
      </c>
      <c r="B11" s="2">
        <v>1863.46</v>
      </c>
      <c r="C11" s="2"/>
      <c r="F11" s="2" t="s">
        <v>124</v>
      </c>
      <c r="G11" s="4">
        <v>43760</v>
      </c>
      <c r="H11" s="2"/>
    </row>
    <row r="12" spans="1:20" x14ac:dyDescent="0.3">
      <c r="A12" s="18" t="s">
        <v>107</v>
      </c>
      <c r="B12" s="31">
        <v>501.5</v>
      </c>
      <c r="C12" s="18">
        <v>501.5</v>
      </c>
      <c r="J12" s="260" t="s">
        <v>131</v>
      </c>
      <c r="K12" s="260"/>
      <c r="L12" s="260"/>
      <c r="N12" s="260" t="s">
        <v>131</v>
      </c>
      <c r="O12" s="260"/>
      <c r="P12" s="260"/>
      <c r="R12" s="260" t="s">
        <v>131</v>
      </c>
      <c r="S12" s="260"/>
      <c r="T12" s="260"/>
    </row>
    <row r="13" spans="1:20" x14ac:dyDescent="0.3">
      <c r="A13" s="18" t="s">
        <v>108</v>
      </c>
      <c r="B13" s="32">
        <v>40000</v>
      </c>
      <c r="C13" s="18"/>
      <c r="F13" s="2" t="s">
        <v>126</v>
      </c>
      <c r="G13" s="2">
        <f>SUM(G7:G11)</f>
        <v>527760</v>
      </c>
      <c r="H13" s="2"/>
      <c r="J13" s="8" t="s">
        <v>129</v>
      </c>
      <c r="K13" s="8" t="s">
        <v>130</v>
      </c>
      <c r="L13" s="8" t="s">
        <v>8</v>
      </c>
      <c r="N13" s="8" t="s">
        <v>129</v>
      </c>
      <c r="O13" s="8" t="s">
        <v>130</v>
      </c>
      <c r="P13" s="8" t="s">
        <v>8</v>
      </c>
      <c r="R13" s="8" t="s">
        <v>129</v>
      </c>
      <c r="S13" s="8" t="s">
        <v>130</v>
      </c>
      <c r="T13" s="8" t="s">
        <v>8</v>
      </c>
    </row>
    <row r="14" spans="1:20" x14ac:dyDescent="0.3">
      <c r="A14" s="18" t="s">
        <v>116</v>
      </c>
      <c r="B14" s="31">
        <v>100000</v>
      </c>
      <c r="C14" s="18">
        <v>100000</v>
      </c>
      <c r="D14" t="s">
        <v>137</v>
      </c>
      <c r="J14" s="2">
        <v>60</v>
      </c>
      <c r="K14" s="2">
        <v>2000</v>
      </c>
      <c r="L14" s="2">
        <f>(J14*K14)</f>
        <v>120000</v>
      </c>
      <c r="N14" s="2">
        <v>1</v>
      </c>
      <c r="O14" s="2">
        <v>2000</v>
      </c>
      <c r="P14" s="2">
        <f>(N14*O14)</f>
        <v>2000</v>
      </c>
      <c r="R14" s="17">
        <v>164</v>
      </c>
      <c r="S14" s="17">
        <v>500</v>
      </c>
      <c r="T14" s="17">
        <f>(R14*S14)</f>
        <v>82000</v>
      </c>
    </row>
    <row r="15" spans="1:20" x14ac:dyDescent="0.3">
      <c r="A15" s="18" t="s">
        <v>134</v>
      </c>
      <c r="B15" s="31">
        <v>427760</v>
      </c>
      <c r="C15" s="18">
        <v>427760</v>
      </c>
      <c r="D15" t="s">
        <v>135</v>
      </c>
      <c r="F15" s="8" t="s">
        <v>127</v>
      </c>
      <c r="G15" s="8">
        <f>(G4-G13)</f>
        <v>0</v>
      </c>
      <c r="H15" s="2"/>
      <c r="J15" s="2">
        <v>76</v>
      </c>
      <c r="K15" s="2">
        <v>500</v>
      </c>
      <c r="L15" s="2">
        <f>(J15*K15)</f>
        <v>38000</v>
      </c>
      <c r="N15" s="2">
        <v>274</v>
      </c>
      <c r="O15" s="2">
        <v>500</v>
      </c>
      <c r="P15" s="2">
        <f>(N15*O15)</f>
        <v>137000</v>
      </c>
      <c r="R15" s="17">
        <v>20</v>
      </c>
      <c r="S15" s="17">
        <v>100</v>
      </c>
      <c r="T15" s="17">
        <f>(R15*S15)</f>
        <v>2000</v>
      </c>
    </row>
    <row r="16" spans="1:20" x14ac:dyDescent="0.3">
      <c r="A16" s="18" t="s">
        <v>5</v>
      </c>
      <c r="B16" s="28">
        <f>SUM(B1:B15)</f>
        <v>690263.76</v>
      </c>
      <c r="C16" s="18">
        <f>SUM(C1:C15)</f>
        <v>625400.30000000005</v>
      </c>
      <c r="J16" s="2">
        <v>4</v>
      </c>
      <c r="K16" s="2">
        <v>200</v>
      </c>
      <c r="L16" s="2">
        <f>(J16*K16)</f>
        <v>800</v>
      </c>
      <c r="N16" s="2">
        <v>4</v>
      </c>
      <c r="O16" s="2">
        <v>200</v>
      </c>
      <c r="P16" s="2">
        <f>(N16*O16)</f>
        <v>800</v>
      </c>
      <c r="R16" s="2"/>
      <c r="S16" s="2"/>
      <c r="T16" s="2"/>
    </row>
    <row r="17" spans="1:20" x14ac:dyDescent="0.3">
      <c r="B17" s="10"/>
      <c r="J17" s="2">
        <v>10</v>
      </c>
      <c r="K17" s="2">
        <v>100</v>
      </c>
      <c r="L17" s="2">
        <f>(J17*K17)</f>
        <v>1000</v>
      </c>
      <c r="N17" s="2">
        <v>2</v>
      </c>
      <c r="O17" s="2">
        <v>100</v>
      </c>
      <c r="P17" s="2">
        <f>(N17*O17)</f>
        <v>200</v>
      </c>
      <c r="R17" s="2"/>
      <c r="S17" s="2"/>
      <c r="T17" s="2"/>
    </row>
    <row r="18" spans="1:20" x14ac:dyDescent="0.3">
      <c r="A18" t="s">
        <v>29</v>
      </c>
      <c r="B18" s="10"/>
      <c r="C18" s="11">
        <f>(C16-B16)</f>
        <v>-64863.459999999963</v>
      </c>
      <c r="D18" s="11">
        <f>SUM(C18,E25)</f>
        <v>-62864.469999999965</v>
      </c>
    </row>
    <row r="19" spans="1:20" x14ac:dyDescent="0.3">
      <c r="B19" s="10"/>
      <c r="L19" s="8">
        <f>SUM(L14:L17)</f>
        <v>159800</v>
      </c>
      <c r="P19" s="8">
        <f>SUM(P14:P17)</f>
        <v>140000</v>
      </c>
      <c r="T19" s="8">
        <f>SUM(T14:T16)</f>
        <v>84000</v>
      </c>
    </row>
    <row r="20" spans="1:20" x14ac:dyDescent="0.3">
      <c r="D20" s="8" t="s">
        <v>16</v>
      </c>
      <c r="E20" s="2">
        <v>10000</v>
      </c>
      <c r="F20" s="2"/>
      <c r="G20" s="2"/>
      <c r="H20" s="1" t="s">
        <v>22</v>
      </c>
      <c r="I20" s="1" t="s">
        <v>23</v>
      </c>
    </row>
    <row r="21" spans="1:20" x14ac:dyDescent="0.3">
      <c r="D21" s="8" t="s">
        <v>18</v>
      </c>
      <c r="E21" s="2">
        <v>1658.72</v>
      </c>
      <c r="F21" s="2"/>
      <c r="G21" s="254" t="s">
        <v>21</v>
      </c>
      <c r="H21" s="2">
        <v>13.15</v>
      </c>
      <c r="I21" s="2"/>
    </row>
    <row r="22" spans="1:20" x14ac:dyDescent="0.3">
      <c r="D22" s="8" t="s">
        <v>19</v>
      </c>
      <c r="E22" s="38">
        <v>340.27</v>
      </c>
      <c r="F22" s="2"/>
      <c r="G22" s="254"/>
      <c r="H22" s="2">
        <v>0</v>
      </c>
      <c r="I22" s="2"/>
    </row>
    <row r="23" spans="1:20" x14ac:dyDescent="0.3">
      <c r="D23" s="8" t="s">
        <v>20</v>
      </c>
      <c r="E23" s="2">
        <v>91.15</v>
      </c>
      <c r="F23" s="2"/>
      <c r="G23" s="8" t="s">
        <v>25</v>
      </c>
      <c r="H23" s="2">
        <v>32.840000000000003</v>
      </c>
      <c r="I23" s="2"/>
    </row>
    <row r="24" spans="1:20" x14ac:dyDescent="0.3">
      <c r="A24" t="s">
        <v>79</v>
      </c>
      <c r="B24">
        <v>10000</v>
      </c>
      <c r="D24" s="8"/>
      <c r="E24" s="2"/>
      <c r="F24" s="2"/>
      <c r="G24" s="8" t="s">
        <v>24</v>
      </c>
      <c r="H24" s="2"/>
      <c r="I24" s="2">
        <v>9.14</v>
      </c>
    </row>
    <row r="25" spans="1:20" x14ac:dyDescent="0.3">
      <c r="A25" t="s">
        <v>40</v>
      </c>
      <c r="B25">
        <v>450</v>
      </c>
      <c r="C25" t="s">
        <v>22</v>
      </c>
      <c r="D25" s="8" t="s">
        <v>10</v>
      </c>
      <c r="E25" s="2">
        <f>SUM(E21:E22)</f>
        <v>1998.99</v>
      </c>
      <c r="F25" s="2"/>
      <c r="G25" s="8" t="s">
        <v>10</v>
      </c>
      <c r="H25" s="2">
        <f>SUM(H21:H23)</f>
        <v>45.99</v>
      </c>
      <c r="I25" s="2">
        <f>(H25*I24)</f>
        <v>420.34860000000003</v>
      </c>
    </row>
    <row r="29" spans="1:20" ht="115.2" x14ac:dyDescent="0.3">
      <c r="D29" s="34" t="s">
        <v>28</v>
      </c>
      <c r="E29" s="36">
        <v>21000</v>
      </c>
      <c r="F29" s="36">
        <v>300000</v>
      </c>
      <c r="G29" s="12" t="s">
        <v>133</v>
      </c>
    </row>
    <row r="30" spans="1:20" ht="57.6" x14ac:dyDescent="0.3">
      <c r="D30" s="35" t="s">
        <v>30</v>
      </c>
      <c r="E30" s="37">
        <v>7500</v>
      </c>
      <c r="F30" s="17"/>
      <c r="G30" s="33" t="s">
        <v>132</v>
      </c>
    </row>
    <row r="31" spans="1:20" ht="28.8" x14ac:dyDescent="0.3">
      <c r="D31" s="34" t="s">
        <v>117</v>
      </c>
      <c r="E31" s="36">
        <v>527760</v>
      </c>
      <c r="F31" s="36">
        <v>428000</v>
      </c>
      <c r="G31" s="42" t="s">
        <v>138</v>
      </c>
    </row>
  </sheetData>
  <mergeCells count="5">
    <mergeCell ref="G21:G22"/>
    <mergeCell ref="J3:K3"/>
    <mergeCell ref="J12:L12"/>
    <mergeCell ref="N12:P12"/>
    <mergeCell ref="R12:T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8"/>
  <sheetViews>
    <sheetView workbookViewId="0">
      <selection activeCell="G27" sqref="G27"/>
    </sheetView>
  </sheetViews>
  <sheetFormatPr defaultRowHeight="14.4" x14ac:dyDescent="0.3"/>
  <cols>
    <col min="1" max="1" width="21.6640625" bestFit="1" customWidth="1"/>
    <col min="2" max="2" width="10.44140625" bestFit="1" customWidth="1"/>
    <col min="3" max="3" width="11.109375" bestFit="1" customWidth="1"/>
    <col min="4" max="4" width="17.88671875" bestFit="1" customWidth="1"/>
    <col min="6" max="6" width="15.44140625" bestFit="1" customWidth="1"/>
    <col min="11" max="11" width="10.33203125" bestFit="1" customWidth="1"/>
    <col min="12" max="12" width="18.33203125" customWidth="1"/>
    <col min="13" max="13" width="10.33203125" bestFit="1" customWidth="1"/>
    <col min="15" max="15" width="12.6640625" bestFit="1" customWidth="1"/>
  </cols>
  <sheetData>
    <row r="1" spans="1:17" x14ac:dyDescent="0.3">
      <c r="A1" s="2" t="s">
        <v>6</v>
      </c>
      <c r="B1" s="2">
        <v>24000</v>
      </c>
      <c r="C1" s="17"/>
    </row>
    <row r="2" spans="1:17" x14ac:dyDescent="0.3">
      <c r="A2" s="2" t="s">
        <v>0</v>
      </c>
      <c r="B2">
        <v>3073.8</v>
      </c>
      <c r="C2" s="2"/>
      <c r="D2" s="30">
        <v>44635</v>
      </c>
    </row>
    <row r="3" spans="1:17" x14ac:dyDescent="0.3">
      <c r="A3" s="2" t="s">
        <v>1</v>
      </c>
      <c r="B3" s="2">
        <v>10000</v>
      </c>
      <c r="C3" s="18"/>
      <c r="F3" s="43" t="s">
        <v>145</v>
      </c>
      <c r="G3" s="43">
        <v>75152.38</v>
      </c>
      <c r="H3" s="43" t="s">
        <v>23</v>
      </c>
      <c r="I3" s="43">
        <v>7822</v>
      </c>
      <c r="J3" t="s">
        <v>146</v>
      </c>
      <c r="L3" s="45" t="s">
        <v>148</v>
      </c>
      <c r="M3" s="45" t="s">
        <v>147</v>
      </c>
    </row>
    <row r="4" spans="1:17" x14ac:dyDescent="0.3">
      <c r="A4" s="2" t="s">
        <v>2</v>
      </c>
      <c r="B4" s="2">
        <v>16500</v>
      </c>
      <c r="C4" s="2"/>
      <c r="F4" s="43"/>
      <c r="G4" s="43"/>
      <c r="H4" s="43"/>
      <c r="I4" s="43"/>
      <c r="L4" s="47">
        <v>43738</v>
      </c>
      <c r="M4" s="46">
        <v>2000</v>
      </c>
      <c r="O4" s="43" t="s">
        <v>145</v>
      </c>
      <c r="P4" s="43">
        <v>7822</v>
      </c>
      <c r="Q4" s="43" t="s">
        <v>22</v>
      </c>
    </row>
    <row r="5" spans="1:17" x14ac:dyDescent="0.3">
      <c r="A5" s="2" t="s">
        <v>89</v>
      </c>
      <c r="B5" s="14">
        <v>29706</v>
      </c>
      <c r="C5" s="29"/>
      <c r="F5" s="43" t="s">
        <v>144</v>
      </c>
      <c r="G5" s="43">
        <v>19391.580000000002</v>
      </c>
      <c r="H5" s="43" t="s">
        <v>23</v>
      </c>
      <c r="I5" s="43">
        <v>2000</v>
      </c>
      <c r="L5" s="47">
        <v>43769</v>
      </c>
      <c r="M5" s="46">
        <v>20475.57</v>
      </c>
    </row>
    <row r="6" spans="1:17" x14ac:dyDescent="0.3">
      <c r="A6" s="2" t="s">
        <v>3</v>
      </c>
      <c r="B6" s="2"/>
      <c r="C6" s="2"/>
      <c r="D6" t="s">
        <v>91</v>
      </c>
      <c r="F6" s="43"/>
      <c r="G6" s="43"/>
      <c r="H6" s="43"/>
      <c r="I6" s="43"/>
      <c r="L6" s="47">
        <v>43951</v>
      </c>
      <c r="M6" s="46">
        <v>1000</v>
      </c>
      <c r="O6" s="43" t="s">
        <v>141</v>
      </c>
      <c r="P6" s="43">
        <v>23000</v>
      </c>
      <c r="Q6" s="43" t="s">
        <v>22</v>
      </c>
    </row>
    <row r="7" spans="1:17" x14ac:dyDescent="0.3">
      <c r="A7" s="2" t="s">
        <v>9</v>
      </c>
      <c r="B7" s="2">
        <v>650</v>
      </c>
      <c r="C7" s="2"/>
      <c r="F7" s="43" t="s">
        <v>143</v>
      </c>
      <c r="G7" s="43" t="s">
        <v>140</v>
      </c>
      <c r="H7" s="43" t="s">
        <v>23</v>
      </c>
      <c r="I7" s="43"/>
    </row>
    <row r="8" spans="1:17" x14ac:dyDescent="0.3">
      <c r="A8" s="2" t="s">
        <v>15</v>
      </c>
      <c r="B8" s="2"/>
      <c r="C8" s="2"/>
      <c r="D8" t="s">
        <v>91</v>
      </c>
      <c r="F8" s="43"/>
      <c r="G8" s="43"/>
      <c r="H8" s="43"/>
      <c r="I8" s="43"/>
      <c r="L8" s="43" t="s">
        <v>149</v>
      </c>
      <c r="M8" s="43">
        <f>SUM(M4:M6)</f>
        <v>23475.57</v>
      </c>
      <c r="O8" s="43" t="s">
        <v>150</v>
      </c>
      <c r="P8" s="43">
        <f>SUM(P4,P6)</f>
        <v>30822</v>
      </c>
      <c r="Q8" s="43" t="s">
        <v>22</v>
      </c>
    </row>
    <row r="9" spans="1:17" x14ac:dyDescent="0.3">
      <c r="A9" s="2" t="s">
        <v>70</v>
      </c>
      <c r="B9" s="2">
        <v>2209</v>
      </c>
      <c r="C9" s="2"/>
      <c r="D9" t="s">
        <v>96</v>
      </c>
      <c r="F9" s="43" t="s">
        <v>141</v>
      </c>
      <c r="G9" s="43">
        <v>23000</v>
      </c>
      <c r="H9" s="43" t="s">
        <v>22</v>
      </c>
      <c r="I9" s="43"/>
    </row>
    <row r="10" spans="1:17" x14ac:dyDescent="0.3">
      <c r="A10" s="2" t="s">
        <v>72</v>
      </c>
      <c r="B10" s="2"/>
      <c r="C10" s="2"/>
      <c r="D10" t="s">
        <v>97</v>
      </c>
      <c r="F10" s="43"/>
      <c r="G10" s="43"/>
      <c r="H10" s="43"/>
      <c r="I10" s="43"/>
      <c r="O10" s="43" t="s">
        <v>142</v>
      </c>
      <c r="P10" s="43">
        <f>(P8-M8)</f>
        <v>7346.43</v>
      </c>
      <c r="Q10" s="43" t="s">
        <v>22</v>
      </c>
    </row>
    <row r="11" spans="1:17" x14ac:dyDescent="0.3">
      <c r="A11" s="2" t="s">
        <v>43</v>
      </c>
      <c r="B11" s="2">
        <v>1863.46</v>
      </c>
      <c r="C11" s="2"/>
      <c r="F11" s="43" t="s">
        <v>142</v>
      </c>
      <c r="G11" s="44">
        <v>20475.57</v>
      </c>
      <c r="H11" s="43" t="s">
        <v>22</v>
      </c>
      <c r="I11" s="43"/>
    </row>
    <row r="12" spans="1:17" x14ac:dyDescent="0.3">
      <c r="A12" s="18" t="s">
        <v>107</v>
      </c>
      <c r="B12" s="32">
        <v>501.5</v>
      </c>
      <c r="C12" s="18"/>
      <c r="P12">
        <f>(P10*9.79)</f>
        <v>71921.549700000003</v>
      </c>
      <c r="Q12" t="s">
        <v>23</v>
      </c>
    </row>
    <row r="13" spans="1:17" x14ac:dyDescent="0.3">
      <c r="A13" s="18" t="s">
        <v>139</v>
      </c>
      <c r="B13" s="32">
        <v>15000</v>
      </c>
      <c r="C13" s="18"/>
    </row>
    <row r="14" spans="1:17" x14ac:dyDescent="0.3">
      <c r="A14" s="18"/>
      <c r="B14" s="32"/>
      <c r="C14" s="18"/>
    </row>
    <row r="15" spans="1:17" x14ac:dyDescent="0.3">
      <c r="A15" s="18"/>
      <c r="B15" s="32"/>
      <c r="C15" s="18"/>
    </row>
    <row r="16" spans="1:17" x14ac:dyDescent="0.3">
      <c r="A16" s="18" t="s">
        <v>5</v>
      </c>
      <c r="B16" s="28">
        <f>SUM(B1:B15)</f>
        <v>103503.76000000001</v>
      </c>
      <c r="C16" s="18">
        <f>SUM(C1:C15)</f>
        <v>0</v>
      </c>
    </row>
    <row r="17" spans="1:4" x14ac:dyDescent="0.3">
      <c r="B17" s="10"/>
    </row>
    <row r="18" spans="1:4" x14ac:dyDescent="0.3">
      <c r="A18" t="s">
        <v>29</v>
      </c>
      <c r="B18" s="10"/>
      <c r="C18" s="11">
        <f>(C16-B16)</f>
        <v>-103503.76000000001</v>
      </c>
      <c r="D18" s="11">
        <f>SUM(C18,E25)</f>
        <v>-103503.76000000001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0"/>
  <sheetViews>
    <sheetView workbookViewId="0">
      <selection activeCell="M17" sqref="M17"/>
    </sheetView>
  </sheetViews>
  <sheetFormatPr defaultRowHeight="14.4" x14ac:dyDescent="0.3"/>
  <cols>
    <col min="1" max="1" width="14.33203125" bestFit="1" customWidth="1"/>
    <col min="2" max="2" width="10.44140625" bestFit="1" customWidth="1"/>
    <col min="3" max="3" width="11.109375" bestFit="1" customWidth="1"/>
    <col min="4" max="4" width="14.88671875" bestFit="1" customWidth="1"/>
    <col min="7" max="7" width="12.33203125" bestFit="1" customWidth="1"/>
    <col min="8" max="8" width="10.6640625" bestFit="1" customWidth="1"/>
    <col min="12" max="12" width="13.33203125" bestFit="1" customWidth="1"/>
  </cols>
  <sheetData>
    <row r="1" spans="1:16" x14ac:dyDescent="0.3">
      <c r="A1" s="2" t="s">
        <v>6</v>
      </c>
      <c r="B1" s="2">
        <v>40000</v>
      </c>
      <c r="C1" s="17"/>
    </row>
    <row r="2" spans="1:16" x14ac:dyDescent="0.3">
      <c r="A2" s="2" t="s">
        <v>0</v>
      </c>
      <c r="B2">
        <v>17757</v>
      </c>
      <c r="C2" s="2"/>
      <c r="D2" s="30"/>
    </row>
    <row r="3" spans="1:16" x14ac:dyDescent="0.3">
      <c r="A3" s="2" t="s">
        <v>1</v>
      </c>
      <c r="B3" s="2"/>
      <c r="C3" s="18"/>
      <c r="D3">
        <v>10000</v>
      </c>
      <c r="E3" t="s">
        <v>155</v>
      </c>
    </row>
    <row r="4" spans="1:16" x14ac:dyDescent="0.3">
      <c r="A4" s="2" t="s">
        <v>2</v>
      </c>
      <c r="B4" s="2">
        <v>17000</v>
      </c>
      <c r="C4" s="2"/>
      <c r="G4" t="s">
        <v>156</v>
      </c>
      <c r="H4">
        <v>25000</v>
      </c>
      <c r="P4">
        <v>20000</v>
      </c>
    </row>
    <row r="5" spans="1:16" x14ac:dyDescent="0.3">
      <c r="A5" s="2" t="s">
        <v>89</v>
      </c>
      <c r="B5" s="14">
        <v>29706</v>
      </c>
      <c r="C5" s="29"/>
      <c r="G5" t="s">
        <v>157</v>
      </c>
      <c r="H5">
        <v>6000</v>
      </c>
      <c r="I5">
        <v>5000</v>
      </c>
      <c r="P5">
        <v>1200</v>
      </c>
    </row>
    <row r="6" spans="1:16" x14ac:dyDescent="0.3">
      <c r="A6" s="2" t="s">
        <v>3</v>
      </c>
      <c r="B6" s="2">
        <v>1700</v>
      </c>
      <c r="C6" s="2"/>
      <c r="G6" t="s">
        <v>159</v>
      </c>
      <c r="H6">
        <v>10000</v>
      </c>
      <c r="I6">
        <f>(420*20)</f>
        <v>8400</v>
      </c>
    </row>
    <row r="7" spans="1:16" x14ac:dyDescent="0.3">
      <c r="A7" s="2" t="s">
        <v>9</v>
      </c>
      <c r="B7" s="2">
        <v>500</v>
      </c>
      <c r="C7" s="2"/>
      <c r="G7" t="s">
        <v>158</v>
      </c>
      <c r="H7">
        <v>4000</v>
      </c>
      <c r="I7">
        <v>4000</v>
      </c>
      <c r="P7">
        <f>SUM(P4:P5)</f>
        <v>21200</v>
      </c>
    </row>
    <row r="8" spans="1:16" x14ac:dyDescent="0.3">
      <c r="A8" s="2" t="s">
        <v>151</v>
      </c>
      <c r="B8" s="2">
        <v>11745</v>
      </c>
      <c r="C8" s="2"/>
      <c r="G8" t="s">
        <v>160</v>
      </c>
      <c r="H8">
        <v>5000</v>
      </c>
      <c r="I8">
        <v>3000</v>
      </c>
      <c r="P8">
        <v>17500</v>
      </c>
    </row>
    <row r="9" spans="1:16" x14ac:dyDescent="0.3">
      <c r="A9" s="18" t="s">
        <v>107</v>
      </c>
      <c r="B9" s="32">
        <v>501.5</v>
      </c>
      <c r="C9" s="2"/>
      <c r="G9" t="s">
        <v>161</v>
      </c>
      <c r="H9">
        <v>1000</v>
      </c>
      <c r="I9">
        <v>1000</v>
      </c>
    </row>
    <row r="10" spans="1:16" x14ac:dyDescent="0.3">
      <c r="A10" s="2" t="s">
        <v>152</v>
      </c>
      <c r="C10" s="2"/>
      <c r="D10" s="2">
        <v>25000</v>
      </c>
      <c r="E10" t="s">
        <v>154</v>
      </c>
      <c r="P10" s="50">
        <f>(P7-P8)</f>
        <v>3700</v>
      </c>
    </row>
    <row r="11" spans="1:16" x14ac:dyDescent="0.3">
      <c r="A11" s="17" t="s">
        <v>153</v>
      </c>
      <c r="B11" s="17">
        <v>5000</v>
      </c>
      <c r="C11" s="2"/>
      <c r="D11">
        <v>10000</v>
      </c>
    </row>
    <row r="12" spans="1:16" x14ac:dyDescent="0.3">
      <c r="A12" s="43"/>
      <c r="B12" s="43"/>
      <c r="C12" s="32"/>
    </row>
    <row r="13" spans="1:16" x14ac:dyDescent="0.3">
      <c r="A13" s="43"/>
      <c r="B13" s="43"/>
      <c r="C13" s="32"/>
      <c r="H13" t="s">
        <v>162</v>
      </c>
      <c r="I13">
        <v>37409.519999999997</v>
      </c>
      <c r="J13" s="48">
        <v>18190</v>
      </c>
      <c r="L13" t="s">
        <v>163</v>
      </c>
      <c r="M13">
        <v>10000</v>
      </c>
    </row>
    <row r="14" spans="1:16" x14ac:dyDescent="0.3">
      <c r="A14" s="18"/>
      <c r="B14" s="32"/>
      <c r="C14" s="18"/>
      <c r="H14" t="s">
        <v>164</v>
      </c>
      <c r="I14">
        <v>45000</v>
      </c>
      <c r="J14" s="48">
        <v>25000</v>
      </c>
      <c r="L14" t="s">
        <v>165</v>
      </c>
      <c r="M14">
        <v>40000</v>
      </c>
    </row>
    <row r="15" spans="1:16" x14ac:dyDescent="0.3">
      <c r="A15" s="18"/>
      <c r="B15" s="32"/>
      <c r="C15" s="18"/>
      <c r="H15" t="s">
        <v>166</v>
      </c>
      <c r="I15">
        <v>10526</v>
      </c>
      <c r="J15">
        <v>10526</v>
      </c>
      <c r="L15" t="s">
        <v>167</v>
      </c>
      <c r="M15">
        <v>17500</v>
      </c>
    </row>
    <row r="16" spans="1:16" x14ac:dyDescent="0.3">
      <c r="A16" s="18" t="s">
        <v>5</v>
      </c>
      <c r="B16" s="28">
        <f>SUM(B1:B15)</f>
        <v>123909.5</v>
      </c>
      <c r="C16" s="18">
        <f>SUM(C1:C15)</f>
        <v>0</v>
      </c>
      <c r="H16" t="s">
        <v>168</v>
      </c>
      <c r="I16">
        <v>12500</v>
      </c>
      <c r="J16">
        <v>11420</v>
      </c>
      <c r="L16" t="s">
        <v>169</v>
      </c>
      <c r="M16">
        <v>29706</v>
      </c>
    </row>
    <row r="17" spans="1:19" x14ac:dyDescent="0.3">
      <c r="B17" s="10"/>
      <c r="H17" t="s">
        <v>170</v>
      </c>
      <c r="I17">
        <v>17500</v>
      </c>
      <c r="J17">
        <v>17500</v>
      </c>
      <c r="L17" t="s">
        <v>151</v>
      </c>
      <c r="M17">
        <v>11419</v>
      </c>
    </row>
    <row r="18" spans="1:19" x14ac:dyDescent="0.3">
      <c r="A18" t="s">
        <v>29</v>
      </c>
      <c r="B18" s="10"/>
      <c r="C18" s="11">
        <f>(C16-B16)</f>
        <v>-123909.5</v>
      </c>
      <c r="D18" s="11">
        <f>SUM(C18,E25)</f>
        <v>-123909.5</v>
      </c>
      <c r="L18" t="s">
        <v>171</v>
      </c>
      <c r="M18">
        <v>18000</v>
      </c>
      <c r="Q18">
        <v>250000</v>
      </c>
    </row>
    <row r="19" spans="1:19" x14ac:dyDescent="0.3">
      <c r="I19">
        <f>SUM(I13:I17)</f>
        <v>122935.51999999999</v>
      </c>
      <c r="J19">
        <f>SUM(J13:J17)</f>
        <v>82636</v>
      </c>
      <c r="L19" t="s">
        <v>172</v>
      </c>
      <c r="M19">
        <v>1700</v>
      </c>
      <c r="S19">
        <v>25000</v>
      </c>
    </row>
    <row r="20" spans="1:19" x14ac:dyDescent="0.3">
      <c r="H20" t="s">
        <v>173</v>
      </c>
      <c r="I20">
        <v>78000</v>
      </c>
      <c r="J20">
        <v>78000</v>
      </c>
      <c r="L20" t="s">
        <v>153</v>
      </c>
      <c r="M20">
        <v>5000</v>
      </c>
      <c r="O20">
        <v>82409</v>
      </c>
      <c r="Q20">
        <v>130086.63</v>
      </c>
      <c r="S20">
        <v>18190</v>
      </c>
    </row>
    <row r="21" spans="1:19" x14ac:dyDescent="0.3">
      <c r="L21" t="s">
        <v>174</v>
      </c>
      <c r="M21">
        <v>4000</v>
      </c>
      <c r="O21">
        <v>43190</v>
      </c>
      <c r="Q21">
        <v>173276.63</v>
      </c>
      <c r="S21">
        <v>17500</v>
      </c>
    </row>
    <row r="22" spans="1:19" x14ac:dyDescent="0.3">
      <c r="I22">
        <f>(I19-I20)</f>
        <v>44935.51999999999</v>
      </c>
      <c r="J22" s="49">
        <f>(J19-J20)</f>
        <v>4636</v>
      </c>
      <c r="L22" t="s">
        <v>175</v>
      </c>
      <c r="M22">
        <v>10526</v>
      </c>
      <c r="S22">
        <v>11420</v>
      </c>
    </row>
    <row r="23" spans="1:19" x14ac:dyDescent="0.3">
      <c r="O23">
        <f>(O20-O21)</f>
        <v>39219</v>
      </c>
      <c r="Q23">
        <f>(Q21-Q20)</f>
        <v>43190</v>
      </c>
      <c r="S23">
        <v>2950</v>
      </c>
    </row>
    <row r="24" spans="1:19" x14ac:dyDescent="0.3">
      <c r="M24">
        <f>SUM(M13:M22)</f>
        <v>147851</v>
      </c>
      <c r="S24">
        <f>SUM(S19:S23)</f>
        <v>75060</v>
      </c>
    </row>
    <row r="25" spans="1:19" x14ac:dyDescent="0.3">
      <c r="M25">
        <v>20000</v>
      </c>
      <c r="Q25">
        <f>(Q18-Q21)</f>
        <v>76723.37</v>
      </c>
    </row>
    <row r="26" spans="1:19" x14ac:dyDescent="0.3">
      <c r="S26">
        <v>78000</v>
      </c>
    </row>
    <row r="27" spans="1:19" x14ac:dyDescent="0.3">
      <c r="M27">
        <f>(M24-M25)</f>
        <v>127851</v>
      </c>
      <c r="Q27">
        <f>(Q25-O23)</f>
        <v>37504.369999999995</v>
      </c>
    </row>
    <row r="28" spans="1:19" x14ac:dyDescent="0.3">
      <c r="M28">
        <v>106000</v>
      </c>
      <c r="S28">
        <f>(S26-S24)</f>
        <v>2940</v>
      </c>
    </row>
    <row r="30" spans="1:19" x14ac:dyDescent="0.3">
      <c r="M30" s="49">
        <f>(M28-M27)</f>
        <v>-21851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8"/>
  <sheetViews>
    <sheetView workbookViewId="0">
      <selection activeCell="B8" sqref="B8"/>
    </sheetView>
  </sheetViews>
  <sheetFormatPr defaultRowHeight="14.4" x14ac:dyDescent="0.3"/>
  <cols>
    <col min="1" max="1" width="14.33203125" bestFit="1" customWidth="1"/>
    <col min="3" max="4" width="11.109375" bestFit="1" customWidth="1"/>
    <col min="6" max="6" width="11" bestFit="1" customWidth="1"/>
  </cols>
  <sheetData>
    <row r="1" spans="1:7" x14ac:dyDescent="0.3">
      <c r="A1" t="s">
        <v>6</v>
      </c>
      <c r="B1">
        <v>40000</v>
      </c>
      <c r="D1">
        <v>5000</v>
      </c>
    </row>
    <row r="2" spans="1:7" x14ac:dyDescent="0.3">
      <c r="A2" t="s">
        <v>0</v>
      </c>
      <c r="B2">
        <v>22925</v>
      </c>
      <c r="C2">
        <v>17925</v>
      </c>
      <c r="D2">
        <v>5526</v>
      </c>
      <c r="F2" s="8" t="s">
        <v>16</v>
      </c>
      <c r="G2" s="2"/>
    </row>
    <row r="3" spans="1:7" x14ac:dyDescent="0.3">
      <c r="A3" t="s">
        <v>1</v>
      </c>
      <c r="B3">
        <v>10000</v>
      </c>
      <c r="C3">
        <v>5000</v>
      </c>
      <c r="F3" s="8" t="s">
        <v>18</v>
      </c>
      <c r="G3" s="2">
        <v>15000</v>
      </c>
    </row>
    <row r="4" spans="1:7" x14ac:dyDescent="0.3">
      <c r="A4" t="s">
        <v>2</v>
      </c>
      <c r="B4">
        <v>17500</v>
      </c>
      <c r="F4" s="8" t="s">
        <v>19</v>
      </c>
      <c r="G4" s="38">
        <v>80000</v>
      </c>
    </row>
    <row r="5" spans="1:7" x14ac:dyDescent="0.3">
      <c r="A5" t="s">
        <v>89</v>
      </c>
      <c r="B5">
        <v>29706</v>
      </c>
      <c r="F5" s="8" t="s">
        <v>20</v>
      </c>
      <c r="G5" s="2">
        <v>15000.15</v>
      </c>
    </row>
    <row r="6" spans="1:7" x14ac:dyDescent="0.3">
      <c r="A6" t="s">
        <v>3</v>
      </c>
      <c r="B6">
        <v>1700</v>
      </c>
      <c r="F6" s="8"/>
      <c r="G6" s="2"/>
    </row>
    <row r="7" spans="1:7" x14ac:dyDescent="0.3">
      <c r="A7" t="s">
        <v>9</v>
      </c>
      <c r="B7">
        <v>500</v>
      </c>
      <c r="F7" s="8" t="s">
        <v>10</v>
      </c>
      <c r="G7" s="2">
        <f>SUM(G2:G5)</f>
        <v>110000.15</v>
      </c>
    </row>
    <row r="8" spans="1:7" x14ac:dyDescent="0.3">
      <c r="A8" t="s">
        <v>151</v>
      </c>
      <c r="B8">
        <v>11745</v>
      </c>
    </row>
    <row r="9" spans="1:7" x14ac:dyDescent="0.3">
      <c r="A9" t="s">
        <v>107</v>
      </c>
      <c r="B9">
        <v>590</v>
      </c>
    </row>
    <row r="10" spans="1:7" x14ac:dyDescent="0.3">
      <c r="A10" t="s">
        <v>176</v>
      </c>
    </row>
    <row r="11" spans="1:7" x14ac:dyDescent="0.3">
      <c r="A11" t="s">
        <v>153</v>
      </c>
      <c r="B11">
        <v>5000</v>
      </c>
    </row>
    <row r="12" spans="1:7" x14ac:dyDescent="0.3">
      <c r="A12" t="s">
        <v>174</v>
      </c>
      <c r="B12">
        <v>4000</v>
      </c>
      <c r="C12">
        <v>1500</v>
      </c>
    </row>
    <row r="16" spans="1:7" x14ac:dyDescent="0.3">
      <c r="A16" t="s">
        <v>5</v>
      </c>
      <c r="B16">
        <f>SUM(B1:B14)</f>
        <v>143666</v>
      </c>
      <c r="C16">
        <f>SUM(C1:C14)</f>
        <v>24425</v>
      </c>
    </row>
    <row r="18" spans="1:4" x14ac:dyDescent="0.3">
      <c r="A18" t="s">
        <v>29</v>
      </c>
      <c r="C18" s="11">
        <f>(C16-B16)</f>
        <v>-119241</v>
      </c>
      <c r="D18" s="11">
        <f>SUM(C18,G7)</f>
        <v>-9240.8500000000058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5"/>
  <sheetViews>
    <sheetView workbookViewId="0">
      <selection activeCell="B13" sqref="B13"/>
    </sheetView>
  </sheetViews>
  <sheetFormatPr defaultRowHeight="14.4" x14ac:dyDescent="0.3"/>
  <cols>
    <col min="1" max="1" width="14.33203125" bestFit="1" customWidth="1"/>
    <col min="2" max="2" width="10" bestFit="1" customWidth="1"/>
    <col min="3" max="4" width="11.109375" bestFit="1" customWidth="1"/>
    <col min="6" max="6" width="11" bestFit="1" customWidth="1"/>
    <col min="7" max="7" width="10" bestFit="1" customWidth="1"/>
    <col min="14" max="14" width="10.44140625" bestFit="1" customWidth="1"/>
    <col min="16" max="16" width="10.44140625" bestFit="1" customWidth="1"/>
    <col min="18" max="18" width="10.44140625" bestFit="1" customWidth="1"/>
  </cols>
  <sheetData>
    <row r="1" spans="1:19" x14ac:dyDescent="0.3">
      <c r="A1" t="s">
        <v>6</v>
      </c>
      <c r="B1">
        <v>45000</v>
      </c>
      <c r="D1">
        <v>5000</v>
      </c>
    </row>
    <row r="2" spans="1:19" x14ac:dyDescent="0.3">
      <c r="A2" t="s">
        <v>0</v>
      </c>
      <c r="B2">
        <v>3727.25</v>
      </c>
      <c r="C2">
        <v>17925</v>
      </c>
      <c r="D2">
        <v>15440</v>
      </c>
      <c r="F2" s="8" t="s">
        <v>16</v>
      </c>
      <c r="G2" s="2"/>
    </row>
    <row r="3" spans="1:19" x14ac:dyDescent="0.3">
      <c r="A3" t="s">
        <v>1</v>
      </c>
      <c r="B3">
        <v>10000</v>
      </c>
      <c r="C3">
        <v>5000</v>
      </c>
      <c r="D3">
        <v>5000</v>
      </c>
      <c r="F3" s="8" t="s">
        <v>18</v>
      </c>
      <c r="G3" s="2">
        <v>15000</v>
      </c>
    </row>
    <row r="4" spans="1:19" x14ac:dyDescent="0.3">
      <c r="A4" t="s">
        <v>2</v>
      </c>
      <c r="B4">
        <v>17500</v>
      </c>
      <c r="D4">
        <v>4300</v>
      </c>
      <c r="F4" s="8" t="s">
        <v>19</v>
      </c>
      <c r="G4" s="38">
        <v>80000</v>
      </c>
    </row>
    <row r="5" spans="1:19" x14ac:dyDescent="0.3">
      <c r="A5" t="s">
        <v>89</v>
      </c>
      <c r="B5">
        <v>29706</v>
      </c>
      <c r="D5">
        <v>10000</v>
      </c>
      <c r="F5" s="8" t="s">
        <v>20</v>
      </c>
      <c r="G5" s="2">
        <v>15000.15</v>
      </c>
      <c r="J5" t="s">
        <v>185</v>
      </c>
      <c r="K5">
        <v>70000</v>
      </c>
    </row>
    <row r="6" spans="1:19" x14ac:dyDescent="0.3">
      <c r="A6" t="s">
        <v>3</v>
      </c>
      <c r="B6">
        <v>1700</v>
      </c>
      <c r="F6" s="8"/>
      <c r="G6" s="2"/>
      <c r="J6" t="s">
        <v>177</v>
      </c>
      <c r="K6">
        <v>5000</v>
      </c>
    </row>
    <row r="7" spans="1:19" x14ac:dyDescent="0.3">
      <c r="A7" t="s">
        <v>9</v>
      </c>
      <c r="B7">
        <v>500</v>
      </c>
      <c r="F7" s="8" t="s">
        <v>10</v>
      </c>
      <c r="G7" s="2">
        <f>SUM(G2:G5)</f>
        <v>110000.15</v>
      </c>
      <c r="J7" t="s">
        <v>164</v>
      </c>
      <c r="K7">
        <v>15440</v>
      </c>
    </row>
    <row r="8" spans="1:19" x14ac:dyDescent="0.3">
      <c r="A8" t="s">
        <v>151</v>
      </c>
      <c r="B8">
        <v>11745</v>
      </c>
      <c r="J8" t="s">
        <v>1</v>
      </c>
      <c r="K8">
        <v>5000</v>
      </c>
    </row>
    <row r="9" spans="1:19" x14ac:dyDescent="0.3">
      <c r="A9" t="s">
        <v>107</v>
      </c>
      <c r="B9">
        <v>590</v>
      </c>
      <c r="J9" t="s">
        <v>178</v>
      </c>
      <c r="K9">
        <v>4300</v>
      </c>
    </row>
    <row r="10" spans="1:19" x14ac:dyDescent="0.3">
      <c r="A10" t="s">
        <v>180</v>
      </c>
      <c r="G10">
        <v>15000</v>
      </c>
      <c r="J10" t="s">
        <v>179</v>
      </c>
      <c r="K10">
        <v>10000</v>
      </c>
    </row>
    <row r="11" spans="1:19" x14ac:dyDescent="0.3">
      <c r="A11" t="s">
        <v>153</v>
      </c>
      <c r="B11">
        <v>1000</v>
      </c>
      <c r="F11" t="s">
        <v>183</v>
      </c>
      <c r="G11">
        <v>96000</v>
      </c>
      <c r="N11" s="10">
        <v>145683</v>
      </c>
      <c r="O11">
        <f>(N11*0.8)</f>
        <v>116546.40000000001</v>
      </c>
    </row>
    <row r="12" spans="1:19" x14ac:dyDescent="0.3">
      <c r="A12" t="s">
        <v>174</v>
      </c>
      <c r="B12">
        <v>4000</v>
      </c>
      <c r="C12">
        <v>1500</v>
      </c>
      <c r="F12" t="s">
        <v>184</v>
      </c>
      <c r="G12">
        <v>93237.12000000001</v>
      </c>
      <c r="O12">
        <f>(O11*0.2)</f>
        <v>23309.280000000002</v>
      </c>
    </row>
    <row r="13" spans="1:19" x14ac:dyDescent="0.3">
      <c r="A13" t="s">
        <v>181</v>
      </c>
      <c r="B13">
        <v>10000</v>
      </c>
      <c r="K13">
        <f>(K5+K7+K10)</f>
        <v>95440</v>
      </c>
      <c r="O13">
        <f>(O11-O12)</f>
        <v>93237.12000000001</v>
      </c>
    </row>
    <row r="14" spans="1:19" x14ac:dyDescent="0.3">
      <c r="A14" t="s">
        <v>182</v>
      </c>
      <c r="B14">
        <v>5000</v>
      </c>
      <c r="G14">
        <f>SUM(G10:G12)</f>
        <v>204237.12</v>
      </c>
      <c r="R14" s="10">
        <v>133554</v>
      </c>
      <c r="S14">
        <f>(R14*0.1)</f>
        <v>13355.400000000001</v>
      </c>
    </row>
    <row r="15" spans="1:19" x14ac:dyDescent="0.3">
      <c r="A15" t="s">
        <v>81</v>
      </c>
      <c r="B15">
        <v>70000</v>
      </c>
    </row>
    <row r="16" spans="1:19" x14ac:dyDescent="0.3">
      <c r="A16" t="s">
        <v>5</v>
      </c>
      <c r="B16">
        <f>SUM(B1:B15)</f>
        <v>210468.25</v>
      </c>
      <c r="C16">
        <f>SUM(C1:C14)</f>
        <v>24425</v>
      </c>
      <c r="G16">
        <f>(G14-B16)</f>
        <v>-6231.1300000000047</v>
      </c>
    </row>
    <row r="18" spans="1:19" x14ac:dyDescent="0.3">
      <c r="A18" t="s">
        <v>29</v>
      </c>
      <c r="C18" s="11">
        <f>(C16-B16)</f>
        <v>-186043.25</v>
      </c>
      <c r="D18" s="11">
        <f>SUM(C18,G7)</f>
        <v>-76043.100000000006</v>
      </c>
      <c r="R18">
        <v>147000</v>
      </c>
    </row>
    <row r="19" spans="1:19" x14ac:dyDescent="0.3">
      <c r="R19">
        <v>36000</v>
      </c>
    </row>
    <row r="20" spans="1:19" x14ac:dyDescent="0.3">
      <c r="S20">
        <v>36000</v>
      </c>
    </row>
    <row r="21" spans="1:19" x14ac:dyDescent="0.3">
      <c r="N21" s="30">
        <v>147992</v>
      </c>
      <c r="P21" s="10">
        <v>218923</v>
      </c>
      <c r="R21">
        <f>(R18+R19)</f>
        <v>183000</v>
      </c>
      <c r="S21">
        <f>(S20*0.2)</f>
        <v>7200</v>
      </c>
    </row>
    <row r="22" spans="1:19" x14ac:dyDescent="0.3">
      <c r="P22" s="10">
        <f>(P21-N25)</f>
        <v>102009.32</v>
      </c>
      <c r="R22">
        <f>(R21*0.28)</f>
        <v>51240.000000000007</v>
      </c>
    </row>
    <row r="23" spans="1:19" x14ac:dyDescent="0.3">
      <c r="M23" t="s">
        <v>186</v>
      </c>
      <c r="N23">
        <f>(N21*0.21)</f>
        <v>31078.32</v>
      </c>
    </row>
    <row r="25" spans="1:19" x14ac:dyDescent="0.3">
      <c r="N25" s="30">
        <f>(N21-N23)</f>
        <v>116913.68</v>
      </c>
      <c r="P25" s="10">
        <f>(P22-P23)</f>
        <v>102009.32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46"/>
  <sheetViews>
    <sheetView workbookViewId="0">
      <selection activeCell="B3" sqref="B3"/>
    </sheetView>
  </sheetViews>
  <sheetFormatPr defaultRowHeight="14.4" x14ac:dyDescent="0.3"/>
  <cols>
    <col min="1" max="1" width="13.33203125" bestFit="1" customWidth="1"/>
    <col min="7" max="7" width="9.88671875" bestFit="1" customWidth="1"/>
    <col min="13" max="13" width="12" bestFit="1" customWidth="1"/>
  </cols>
  <sheetData>
    <row r="1" spans="1:2" x14ac:dyDescent="0.3">
      <c r="A1" t="s">
        <v>6</v>
      </c>
      <c r="B1">
        <v>39000</v>
      </c>
    </row>
    <row r="2" spans="1:2" x14ac:dyDescent="0.3">
      <c r="A2" t="s">
        <v>0</v>
      </c>
      <c r="B2">
        <v>18855.310000000001</v>
      </c>
    </row>
    <row r="3" spans="1:2" x14ac:dyDescent="0.3">
      <c r="A3" t="s">
        <v>1</v>
      </c>
      <c r="B3">
        <v>10000</v>
      </c>
    </row>
    <row r="4" spans="1:2" x14ac:dyDescent="0.3">
      <c r="A4" t="s">
        <v>2</v>
      </c>
      <c r="B4">
        <v>17500</v>
      </c>
    </row>
    <row r="5" spans="1:2" x14ac:dyDescent="0.3">
      <c r="A5" t="s">
        <v>89</v>
      </c>
      <c r="B5">
        <v>29706</v>
      </c>
    </row>
    <row r="6" spans="1:2" x14ac:dyDescent="0.3">
      <c r="A6" t="s">
        <v>3</v>
      </c>
      <c r="B6">
        <v>1700</v>
      </c>
    </row>
    <row r="7" spans="1:2" x14ac:dyDescent="0.3">
      <c r="A7" t="s">
        <v>9</v>
      </c>
      <c r="B7">
        <v>700</v>
      </c>
    </row>
    <row r="8" spans="1:2" x14ac:dyDescent="0.3">
      <c r="A8" t="s">
        <v>151</v>
      </c>
      <c r="B8">
        <v>11419</v>
      </c>
    </row>
    <row r="9" spans="1:2" x14ac:dyDescent="0.3">
      <c r="A9" t="s">
        <v>107</v>
      </c>
      <c r="B9">
        <v>590</v>
      </c>
    </row>
    <row r="10" spans="1:2" x14ac:dyDescent="0.3">
      <c r="A10" t="s">
        <v>153</v>
      </c>
      <c r="B10">
        <v>5000</v>
      </c>
    </row>
    <row r="11" spans="1:2" x14ac:dyDescent="0.3">
      <c r="A11" t="s">
        <v>174</v>
      </c>
      <c r="B11">
        <v>4000</v>
      </c>
    </row>
    <row r="14" spans="1:2" x14ac:dyDescent="0.3">
      <c r="A14" t="s">
        <v>5</v>
      </c>
      <c r="B14">
        <f>SUM(B1:B13)</f>
        <v>138470.31</v>
      </c>
    </row>
    <row r="16" spans="1:2" x14ac:dyDescent="0.3">
      <c r="A16" t="s">
        <v>11</v>
      </c>
      <c r="B16">
        <v>15000</v>
      </c>
    </row>
    <row r="18" spans="2:19" x14ac:dyDescent="0.3">
      <c r="B18">
        <f>(B14-B16)</f>
        <v>123470.31</v>
      </c>
    </row>
    <row r="21" spans="2:19" x14ac:dyDescent="0.3">
      <c r="G21" s="55" t="s">
        <v>190</v>
      </c>
      <c r="H21" s="261" t="s">
        <v>189</v>
      </c>
      <c r="I21" s="261"/>
      <c r="J21" s="261" t="s">
        <v>188</v>
      </c>
      <c r="K21" s="261"/>
      <c r="L21" s="55"/>
      <c r="M21" s="55" t="s">
        <v>187</v>
      </c>
    </row>
    <row r="22" spans="2:19" x14ac:dyDescent="0.3">
      <c r="G22" s="52">
        <v>44305</v>
      </c>
      <c r="H22" s="43"/>
      <c r="I22" s="43"/>
      <c r="J22" s="43">
        <v>11.2</v>
      </c>
      <c r="K22" s="43">
        <v>12.2</v>
      </c>
      <c r="L22" s="43">
        <f>SUM(H22:K22)</f>
        <v>23.4</v>
      </c>
      <c r="M22" s="43"/>
      <c r="O22">
        <v>6.6</v>
      </c>
      <c r="P22">
        <v>7.6</v>
      </c>
      <c r="Q22">
        <v>11.2</v>
      </c>
      <c r="R22">
        <v>12.2</v>
      </c>
      <c r="S22">
        <f>SUM(O22:R22)</f>
        <v>37.599999999999994</v>
      </c>
    </row>
    <row r="23" spans="2:19" x14ac:dyDescent="0.3">
      <c r="G23" s="54">
        <v>44306</v>
      </c>
      <c r="H23" s="43">
        <v>11.2</v>
      </c>
      <c r="I23" s="43">
        <v>12.2</v>
      </c>
      <c r="J23" s="43">
        <v>11.2</v>
      </c>
      <c r="K23" s="53">
        <v>12.2</v>
      </c>
      <c r="L23" s="43">
        <f>SUM(H23:K23)</f>
        <v>46.8</v>
      </c>
      <c r="M23" s="43"/>
      <c r="O23">
        <v>6.6</v>
      </c>
      <c r="P23">
        <v>7.6</v>
      </c>
      <c r="Q23">
        <v>11.2</v>
      </c>
      <c r="R23">
        <v>12.2</v>
      </c>
      <c r="S23">
        <f>SUM(O23:R23)</f>
        <v>37.599999999999994</v>
      </c>
    </row>
    <row r="24" spans="2:19" x14ac:dyDescent="0.3">
      <c r="G24" s="52">
        <v>44307</v>
      </c>
      <c r="H24" s="43">
        <v>11.2</v>
      </c>
      <c r="I24" s="43">
        <v>12.2</v>
      </c>
      <c r="J24" s="43">
        <v>11.2</v>
      </c>
      <c r="K24" s="43">
        <v>12.2</v>
      </c>
      <c r="L24" s="43">
        <f>SUM(H24:K24)</f>
        <v>46.8</v>
      </c>
      <c r="M24" s="43"/>
      <c r="O24">
        <v>6.6</v>
      </c>
      <c r="P24">
        <v>7.6</v>
      </c>
      <c r="Q24">
        <v>11.2</v>
      </c>
      <c r="R24">
        <v>12.2</v>
      </c>
      <c r="S24">
        <f>SUM(O24:R24)</f>
        <v>37.599999999999994</v>
      </c>
    </row>
    <row r="25" spans="2:19" x14ac:dyDescent="0.3">
      <c r="G25" s="52">
        <v>44308</v>
      </c>
      <c r="H25" s="43">
        <v>11.2</v>
      </c>
      <c r="I25" s="43">
        <v>12.2</v>
      </c>
      <c r="J25" s="43">
        <v>11.2</v>
      </c>
      <c r="K25" s="43">
        <v>12.2</v>
      </c>
      <c r="L25" s="43">
        <f t="shared" ref="L25:L27" si="0">SUM(H25:K25)</f>
        <v>46.8</v>
      </c>
      <c r="M25" s="43"/>
      <c r="O25">
        <v>6.6</v>
      </c>
      <c r="P25">
        <v>7.6</v>
      </c>
      <c r="Q25">
        <v>11.2</v>
      </c>
      <c r="S25">
        <f>SUM(O25:R25)</f>
        <v>25.4</v>
      </c>
    </row>
    <row r="26" spans="2:19" x14ac:dyDescent="0.3">
      <c r="G26" s="54">
        <v>44309</v>
      </c>
      <c r="H26" s="43">
        <v>11.2</v>
      </c>
      <c r="I26" s="43">
        <v>12.2</v>
      </c>
      <c r="J26" s="43">
        <v>11.2</v>
      </c>
      <c r="K26" s="53">
        <v>12.2</v>
      </c>
      <c r="L26" s="43">
        <f t="shared" si="0"/>
        <v>46.8</v>
      </c>
      <c r="M26" s="43">
        <f>(SUM(L24:L26)/10.62)</f>
        <v>13.220338983050846</v>
      </c>
    </row>
    <row r="27" spans="2:19" x14ac:dyDescent="0.3">
      <c r="G27" s="52">
        <v>44310</v>
      </c>
      <c r="H27" s="43">
        <v>11.2</v>
      </c>
      <c r="I27" s="43">
        <v>12.2</v>
      </c>
      <c r="J27" s="43">
        <v>11.2</v>
      </c>
      <c r="K27" s="43">
        <v>12.2</v>
      </c>
      <c r="L27" s="43">
        <f t="shared" si="0"/>
        <v>46.8</v>
      </c>
      <c r="M27" s="43"/>
      <c r="S27">
        <f>SUM(S22:S25)</f>
        <v>138.19999999999999</v>
      </c>
    </row>
    <row r="28" spans="2:19" x14ac:dyDescent="0.3">
      <c r="G28" s="52">
        <v>44312</v>
      </c>
      <c r="H28" s="43">
        <v>11.2</v>
      </c>
      <c r="I28" s="43">
        <v>12.2</v>
      </c>
      <c r="J28" s="43">
        <v>11.2</v>
      </c>
      <c r="K28" s="43">
        <v>12.2</v>
      </c>
      <c r="L28" s="43">
        <f t="shared" ref="L28:L29" si="1">SUM(H28:K28)</f>
        <v>46.8</v>
      </c>
      <c r="M28" s="43"/>
    </row>
    <row r="29" spans="2:19" x14ac:dyDescent="0.3">
      <c r="G29" s="54">
        <v>44313</v>
      </c>
      <c r="H29" s="43">
        <v>11.2</v>
      </c>
      <c r="I29" s="43">
        <v>12.2</v>
      </c>
      <c r="J29" s="43">
        <v>11.2</v>
      </c>
      <c r="K29" s="53">
        <v>12.2</v>
      </c>
      <c r="L29" s="43">
        <f t="shared" si="1"/>
        <v>46.8</v>
      </c>
      <c r="M29" s="43">
        <f>(SUM(L27:L29)/10.62)</f>
        <v>13.220338983050846</v>
      </c>
    </row>
    <row r="30" spans="2:19" x14ac:dyDescent="0.3">
      <c r="G30" s="52">
        <v>44314</v>
      </c>
      <c r="H30" s="43">
        <v>11.2</v>
      </c>
      <c r="I30" s="43">
        <v>12.2</v>
      </c>
      <c r="J30" s="43">
        <v>11.2</v>
      </c>
      <c r="K30" s="43">
        <v>12.2</v>
      </c>
      <c r="L30" s="43">
        <f t="shared" ref="L30:L33" si="2">SUM(H30:K30)</f>
        <v>46.8</v>
      </c>
      <c r="M30" s="43"/>
    </row>
    <row r="31" spans="2:19" x14ac:dyDescent="0.3">
      <c r="G31" s="52">
        <v>44315</v>
      </c>
      <c r="H31" s="43">
        <v>11.2</v>
      </c>
      <c r="I31" s="43">
        <v>12.2</v>
      </c>
      <c r="J31" s="43">
        <v>11.2</v>
      </c>
      <c r="K31" s="43">
        <v>12.2</v>
      </c>
      <c r="L31" s="43">
        <f t="shared" si="2"/>
        <v>46.8</v>
      </c>
      <c r="M31" s="43"/>
    </row>
    <row r="32" spans="2:19" x14ac:dyDescent="0.3">
      <c r="G32" s="54">
        <v>44316</v>
      </c>
      <c r="H32" s="43">
        <v>11.2</v>
      </c>
      <c r="I32" s="43">
        <v>12.2</v>
      </c>
      <c r="J32" s="43">
        <v>11.2</v>
      </c>
      <c r="K32" s="53">
        <v>12.2</v>
      </c>
      <c r="L32" s="43">
        <f t="shared" si="2"/>
        <v>46.8</v>
      </c>
      <c r="M32" s="43">
        <f>(SUM(L30:L32)/10.62)</f>
        <v>13.220338983050846</v>
      </c>
    </row>
    <row r="33" spans="7:13" x14ac:dyDescent="0.3">
      <c r="G33" s="52">
        <v>44317</v>
      </c>
      <c r="H33" s="43">
        <v>11.2</v>
      </c>
      <c r="I33" s="43">
        <v>12.2</v>
      </c>
      <c r="J33" s="43">
        <v>11.2</v>
      </c>
      <c r="K33" s="43">
        <v>12.2</v>
      </c>
      <c r="L33" s="43">
        <f t="shared" si="2"/>
        <v>46.8</v>
      </c>
      <c r="M33" s="43"/>
    </row>
    <row r="34" spans="7:13" x14ac:dyDescent="0.3">
      <c r="G34" s="52">
        <v>44319</v>
      </c>
      <c r="H34" s="43">
        <v>11.2</v>
      </c>
      <c r="I34" s="43">
        <v>12.2</v>
      </c>
      <c r="J34" s="43">
        <v>11.2</v>
      </c>
      <c r="K34" s="43">
        <v>12.2</v>
      </c>
      <c r="L34" s="43">
        <f t="shared" ref="L34:L45" si="3">SUM(H34:K34)</f>
        <v>46.8</v>
      </c>
      <c r="M34" s="43"/>
    </row>
    <row r="35" spans="7:13" x14ac:dyDescent="0.3">
      <c r="G35" s="54">
        <v>44320</v>
      </c>
      <c r="H35" s="43">
        <v>11.2</v>
      </c>
      <c r="I35" s="43">
        <v>12.2</v>
      </c>
      <c r="J35" s="43">
        <v>11.2</v>
      </c>
      <c r="K35" s="53">
        <v>12.2</v>
      </c>
      <c r="L35" s="43">
        <f t="shared" si="3"/>
        <v>46.8</v>
      </c>
      <c r="M35" s="43">
        <f>(SUM(L33:L35)/10.62)</f>
        <v>13.220338983050846</v>
      </c>
    </row>
    <row r="36" spans="7:13" x14ac:dyDescent="0.3">
      <c r="G36" s="52">
        <v>44321</v>
      </c>
      <c r="H36" s="43">
        <v>11.2</v>
      </c>
      <c r="I36" s="43">
        <v>12.2</v>
      </c>
      <c r="J36" s="43">
        <v>11.2</v>
      </c>
      <c r="K36" s="43">
        <v>12.2</v>
      </c>
      <c r="L36" s="43">
        <f t="shared" si="3"/>
        <v>46.8</v>
      </c>
      <c r="M36" s="43"/>
    </row>
    <row r="37" spans="7:13" x14ac:dyDescent="0.3">
      <c r="G37" s="52">
        <v>44322</v>
      </c>
      <c r="H37" s="43">
        <v>11.2</v>
      </c>
      <c r="I37" s="43">
        <v>12.2</v>
      </c>
      <c r="J37" s="43">
        <v>11.2</v>
      </c>
      <c r="K37" s="43">
        <v>12.2</v>
      </c>
      <c r="L37" s="43">
        <f t="shared" si="3"/>
        <v>46.8</v>
      </c>
      <c r="M37" s="43"/>
    </row>
    <row r="38" spans="7:13" x14ac:dyDescent="0.3">
      <c r="G38" s="54">
        <v>44323</v>
      </c>
      <c r="H38" s="43">
        <v>11.2</v>
      </c>
      <c r="I38" s="43">
        <v>12.2</v>
      </c>
      <c r="J38" s="43">
        <v>11.2</v>
      </c>
      <c r="K38" s="53">
        <v>12.2</v>
      </c>
      <c r="L38" s="43">
        <f t="shared" si="3"/>
        <v>46.8</v>
      </c>
      <c r="M38" s="43">
        <f>(SUM(L36:L38)/10.62)</f>
        <v>13.220338983050846</v>
      </c>
    </row>
    <row r="39" spans="7:13" x14ac:dyDescent="0.3">
      <c r="G39" s="52">
        <v>44324</v>
      </c>
      <c r="H39" s="43">
        <v>11.2</v>
      </c>
      <c r="I39" s="43">
        <v>12.2</v>
      </c>
      <c r="J39" s="43">
        <v>11.2</v>
      </c>
      <c r="K39" s="43">
        <v>12.2</v>
      </c>
      <c r="L39" s="43">
        <f t="shared" si="3"/>
        <v>46.8</v>
      </c>
      <c r="M39" s="43"/>
    </row>
    <row r="40" spans="7:13" x14ac:dyDescent="0.3">
      <c r="G40" s="52">
        <v>44325</v>
      </c>
      <c r="H40" s="43">
        <v>11.2</v>
      </c>
      <c r="I40" s="43">
        <v>12.2</v>
      </c>
      <c r="J40" s="43">
        <v>11.2</v>
      </c>
      <c r="K40" s="43">
        <v>12.2</v>
      </c>
      <c r="L40" s="43">
        <f t="shared" si="3"/>
        <v>46.8</v>
      </c>
      <c r="M40" s="43"/>
    </row>
    <row r="41" spans="7:13" x14ac:dyDescent="0.3">
      <c r="G41" s="54">
        <v>44326</v>
      </c>
      <c r="H41" s="43">
        <v>11.2</v>
      </c>
      <c r="I41" s="43">
        <v>12.2</v>
      </c>
      <c r="J41" s="43">
        <v>11.2</v>
      </c>
      <c r="K41" s="53">
        <v>12.2</v>
      </c>
      <c r="L41" s="43">
        <f t="shared" si="3"/>
        <v>46.8</v>
      </c>
      <c r="M41" s="43">
        <f>(SUM(L39:L41)/10.62)</f>
        <v>13.220338983050846</v>
      </c>
    </row>
    <row r="42" spans="7:13" x14ac:dyDescent="0.3">
      <c r="G42" s="52">
        <v>44327</v>
      </c>
      <c r="H42" s="43">
        <v>11.2</v>
      </c>
      <c r="I42" s="43">
        <v>12.2</v>
      </c>
      <c r="J42" s="43">
        <v>11.2</v>
      </c>
      <c r="K42" s="43">
        <v>12.2</v>
      </c>
      <c r="L42" s="43">
        <f t="shared" si="3"/>
        <v>46.8</v>
      </c>
      <c r="M42" s="43"/>
    </row>
    <row r="43" spans="7:13" x14ac:dyDescent="0.3">
      <c r="G43" s="52">
        <v>44328</v>
      </c>
      <c r="H43" s="43">
        <v>11.2</v>
      </c>
      <c r="I43" s="43">
        <v>12.2</v>
      </c>
      <c r="J43" s="43">
        <v>11.2</v>
      </c>
      <c r="K43" s="43">
        <v>12.2</v>
      </c>
      <c r="L43" s="43">
        <f t="shared" si="3"/>
        <v>46.8</v>
      </c>
      <c r="M43" s="43"/>
    </row>
    <row r="44" spans="7:13" x14ac:dyDescent="0.3">
      <c r="G44" s="54">
        <v>44329</v>
      </c>
      <c r="H44" s="43">
        <v>11.2</v>
      </c>
      <c r="I44" s="43">
        <v>12.2</v>
      </c>
      <c r="J44" s="43">
        <v>11.2</v>
      </c>
      <c r="K44" s="53">
        <v>12.2</v>
      </c>
      <c r="L44" s="43">
        <f t="shared" si="3"/>
        <v>46.8</v>
      </c>
      <c r="M44" s="43">
        <f>(SUM(L42:L44)/10.62)</f>
        <v>13.220338983050846</v>
      </c>
    </row>
    <row r="45" spans="7:13" x14ac:dyDescent="0.3">
      <c r="G45" s="52">
        <v>44331</v>
      </c>
      <c r="H45" s="43">
        <v>11.2</v>
      </c>
      <c r="I45" s="43">
        <v>12.2</v>
      </c>
      <c r="J45" s="43">
        <v>11.2</v>
      </c>
      <c r="K45" s="43">
        <v>12.2</v>
      </c>
      <c r="L45" s="43">
        <f t="shared" si="3"/>
        <v>46.8</v>
      </c>
      <c r="M45" s="43"/>
    </row>
    <row r="46" spans="7:13" x14ac:dyDescent="0.3">
      <c r="G46" s="51"/>
    </row>
  </sheetData>
  <mergeCells count="2">
    <mergeCell ref="J21:K21"/>
    <mergeCell ref="H21:I2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0"/>
  <sheetViews>
    <sheetView workbookViewId="0">
      <selection activeCell="G27" sqref="G27"/>
    </sheetView>
  </sheetViews>
  <sheetFormatPr defaultRowHeight="14.4" x14ac:dyDescent="0.3"/>
  <sheetData>
    <row r="1" spans="1:5" x14ac:dyDescent="0.3">
      <c r="A1" t="s">
        <v>199</v>
      </c>
      <c r="B1">
        <f>(530284/12)</f>
        <v>44190.333333333336</v>
      </c>
      <c r="D1" t="s">
        <v>194</v>
      </c>
      <c r="E1">
        <v>200</v>
      </c>
    </row>
    <row r="2" spans="1:5" x14ac:dyDescent="0.3">
      <c r="A2" t="s">
        <v>191</v>
      </c>
      <c r="B2">
        <f>(318170/12)</f>
        <v>26514.166666666668</v>
      </c>
      <c r="D2" t="s">
        <v>195</v>
      </c>
      <c r="E2" s="10">
        <v>4499</v>
      </c>
    </row>
    <row r="3" spans="1:5" x14ac:dyDescent="0.3">
      <c r="A3" t="s">
        <v>192</v>
      </c>
      <c r="B3">
        <f>(339600/12)</f>
        <v>28300</v>
      </c>
      <c r="D3" t="s">
        <v>196</v>
      </c>
      <c r="E3">
        <v>5303</v>
      </c>
    </row>
    <row r="4" spans="1:5" x14ac:dyDescent="0.3">
      <c r="A4" t="s">
        <v>193</v>
      </c>
      <c r="B4">
        <f>(237903/12)</f>
        <v>19825.25</v>
      </c>
      <c r="D4" t="s">
        <v>197</v>
      </c>
      <c r="E4">
        <v>5000</v>
      </c>
    </row>
    <row r="6" spans="1:5" x14ac:dyDescent="0.3">
      <c r="B6">
        <f>SUM(B1:B4)</f>
        <v>118829.75</v>
      </c>
      <c r="E6">
        <f>SUM(E1:E4)</f>
        <v>15002</v>
      </c>
    </row>
    <row r="8" spans="1:5" x14ac:dyDescent="0.3">
      <c r="B8">
        <f>(B6-E6)</f>
        <v>103827.75</v>
      </c>
    </row>
    <row r="9" spans="1:5" x14ac:dyDescent="0.3">
      <c r="A9" t="s">
        <v>198</v>
      </c>
      <c r="B9">
        <v>1000</v>
      </c>
    </row>
    <row r="10" spans="1:5" x14ac:dyDescent="0.3">
      <c r="B10">
        <f>(B8-B9)</f>
        <v>102827.75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6"/>
  <sheetViews>
    <sheetView workbookViewId="0">
      <selection activeCell="G27" sqref="G27"/>
    </sheetView>
  </sheetViews>
  <sheetFormatPr defaultRowHeight="14.4" x14ac:dyDescent="0.3"/>
  <cols>
    <col min="1" max="1" width="14.33203125" bestFit="1" customWidth="1"/>
    <col min="2" max="2" width="10" bestFit="1" customWidth="1"/>
    <col min="3" max="4" width="11.109375" bestFit="1" customWidth="1"/>
    <col min="6" max="6" width="9" bestFit="1" customWidth="1"/>
    <col min="8" max="8" width="9" bestFit="1" customWidth="1"/>
    <col min="9" max="9" width="4.44140625" bestFit="1" customWidth="1"/>
    <col min="10" max="12" width="10.6640625" bestFit="1" customWidth="1"/>
  </cols>
  <sheetData>
    <row r="1" spans="1:17" x14ac:dyDescent="0.3">
      <c r="A1" t="s">
        <v>6</v>
      </c>
      <c r="B1">
        <v>39000</v>
      </c>
      <c r="D1">
        <v>5000</v>
      </c>
    </row>
    <row r="2" spans="1:17" x14ac:dyDescent="0.3">
      <c r="A2" t="s">
        <v>0</v>
      </c>
      <c r="B2" s="56">
        <v>40145</v>
      </c>
      <c r="C2">
        <v>15145</v>
      </c>
      <c r="D2">
        <v>15440</v>
      </c>
      <c r="F2">
        <v>4073.33</v>
      </c>
      <c r="H2">
        <v>9999</v>
      </c>
      <c r="I2" t="s">
        <v>26</v>
      </c>
    </row>
    <row r="3" spans="1:17" x14ac:dyDescent="0.3">
      <c r="A3" t="s">
        <v>1</v>
      </c>
      <c r="B3" s="56">
        <v>10000</v>
      </c>
      <c r="C3">
        <v>10000</v>
      </c>
      <c r="D3">
        <v>5000</v>
      </c>
      <c r="F3">
        <v>56.66</v>
      </c>
      <c r="H3" s="57">
        <v>26900</v>
      </c>
    </row>
    <row r="4" spans="1:17" x14ac:dyDescent="0.3">
      <c r="A4" t="s">
        <v>2</v>
      </c>
      <c r="B4">
        <v>17500</v>
      </c>
      <c r="D4">
        <v>4300</v>
      </c>
      <c r="F4">
        <v>314.8</v>
      </c>
      <c r="H4" s="57">
        <v>1350</v>
      </c>
    </row>
    <row r="5" spans="1:17" x14ac:dyDescent="0.3">
      <c r="A5" t="s">
        <v>89</v>
      </c>
      <c r="B5">
        <v>29706</v>
      </c>
      <c r="D5">
        <v>10000</v>
      </c>
      <c r="F5">
        <v>6095.24</v>
      </c>
      <c r="H5" s="57">
        <v>12442</v>
      </c>
      <c r="Q5">
        <v>107000</v>
      </c>
    </row>
    <row r="6" spans="1:17" x14ac:dyDescent="0.3">
      <c r="A6" t="s">
        <v>3</v>
      </c>
      <c r="B6">
        <v>500</v>
      </c>
      <c r="F6">
        <v>84.79</v>
      </c>
      <c r="H6" s="57">
        <v>805</v>
      </c>
      <c r="P6" t="s">
        <v>200</v>
      </c>
      <c r="Q6">
        <v>30000</v>
      </c>
    </row>
    <row r="7" spans="1:17" x14ac:dyDescent="0.3">
      <c r="A7" t="s">
        <v>9</v>
      </c>
      <c r="B7">
        <v>600</v>
      </c>
      <c r="F7">
        <v>471.07</v>
      </c>
      <c r="H7" s="58">
        <v>3600</v>
      </c>
      <c r="Q7">
        <f>(Q5-Q6)</f>
        <v>77000</v>
      </c>
    </row>
    <row r="8" spans="1:17" x14ac:dyDescent="0.3">
      <c r="A8" t="s">
        <v>151</v>
      </c>
      <c r="B8">
        <v>11419</v>
      </c>
      <c r="F8">
        <v>3977.42</v>
      </c>
      <c r="H8" s="58">
        <v>800</v>
      </c>
      <c r="P8" t="s">
        <v>201</v>
      </c>
      <c r="Q8">
        <v>30000</v>
      </c>
    </row>
    <row r="9" spans="1:17" x14ac:dyDescent="0.3">
      <c r="A9" t="s">
        <v>107</v>
      </c>
      <c r="B9">
        <v>590</v>
      </c>
      <c r="F9">
        <v>10.74</v>
      </c>
      <c r="H9" s="58">
        <v>3600</v>
      </c>
      <c r="N9">
        <f>(2*11419)</f>
        <v>22838</v>
      </c>
      <c r="Q9">
        <f>(Q7-Q8)</f>
        <v>47000</v>
      </c>
    </row>
    <row r="10" spans="1:17" x14ac:dyDescent="0.3">
      <c r="A10" t="s">
        <v>180</v>
      </c>
      <c r="F10">
        <v>59.66</v>
      </c>
      <c r="N10">
        <v>6000</v>
      </c>
    </row>
    <row r="11" spans="1:17" x14ac:dyDescent="0.3">
      <c r="A11" t="s">
        <v>153</v>
      </c>
      <c r="H11">
        <f>SUM(H3:H9)</f>
        <v>49497</v>
      </c>
      <c r="N11">
        <f>(N9-N10)</f>
        <v>16838</v>
      </c>
    </row>
    <row r="12" spans="1:17" x14ac:dyDescent="0.3">
      <c r="A12" t="s">
        <v>174</v>
      </c>
      <c r="B12">
        <v>4000</v>
      </c>
    </row>
    <row r="13" spans="1:17" x14ac:dyDescent="0.3">
      <c r="A13" t="s">
        <v>202</v>
      </c>
      <c r="B13" s="56">
        <v>5000</v>
      </c>
      <c r="C13">
        <v>5000</v>
      </c>
    </row>
    <row r="14" spans="1:17" x14ac:dyDescent="0.3">
      <c r="F14">
        <f>SUM(F2:F10)</f>
        <v>15143.71</v>
      </c>
      <c r="H14">
        <f>(F14+H11)</f>
        <v>64640.71</v>
      </c>
    </row>
    <row r="16" spans="1:17" x14ac:dyDescent="0.3">
      <c r="A16" t="s">
        <v>5</v>
      </c>
      <c r="B16">
        <f>SUM(B1:B15)</f>
        <v>158460</v>
      </c>
      <c r="C16">
        <f>SUM(C1:C14)</f>
        <v>30145</v>
      </c>
      <c r="J16" t="s">
        <v>207</v>
      </c>
      <c r="K16">
        <v>56640.71</v>
      </c>
    </row>
    <row r="18" spans="1:16" x14ac:dyDescent="0.3">
      <c r="A18" t="s">
        <v>29</v>
      </c>
      <c r="C18" s="11">
        <f>(C16-B16)</f>
        <v>-128315</v>
      </c>
      <c r="D18" s="11">
        <f>(C18+G24)</f>
        <v>-14315</v>
      </c>
    </row>
    <row r="19" spans="1:16" x14ac:dyDescent="0.3">
      <c r="K19" t="s">
        <v>208</v>
      </c>
      <c r="L19" t="s">
        <v>209</v>
      </c>
    </row>
    <row r="20" spans="1:16" x14ac:dyDescent="0.3">
      <c r="F20" t="s">
        <v>204</v>
      </c>
      <c r="G20">
        <v>64000</v>
      </c>
      <c r="J20" t="s">
        <v>26</v>
      </c>
      <c r="K20">
        <v>40145</v>
      </c>
      <c r="L20">
        <f>SUM(H7:H9)</f>
        <v>8000</v>
      </c>
      <c r="M20" t="s">
        <v>210</v>
      </c>
    </row>
    <row r="21" spans="1:16" x14ac:dyDescent="0.3">
      <c r="F21" t="s">
        <v>205</v>
      </c>
      <c r="G21">
        <v>45000</v>
      </c>
      <c r="L21">
        <v>11095</v>
      </c>
      <c r="M21" t="s">
        <v>211</v>
      </c>
    </row>
    <row r="22" spans="1:16" x14ac:dyDescent="0.3">
      <c r="F22" t="s">
        <v>203</v>
      </c>
      <c r="G22">
        <v>5000</v>
      </c>
      <c r="L22">
        <f>(K16-K20)</f>
        <v>16495.71</v>
      </c>
      <c r="M22" t="s">
        <v>212</v>
      </c>
      <c r="P22">
        <v>56640.71</v>
      </c>
    </row>
    <row r="23" spans="1:16" x14ac:dyDescent="0.3">
      <c r="A23" t="s">
        <v>11</v>
      </c>
      <c r="B23">
        <v>45000</v>
      </c>
      <c r="P23">
        <v>40145</v>
      </c>
    </row>
    <row r="24" spans="1:16" x14ac:dyDescent="0.3">
      <c r="A24" t="s">
        <v>203</v>
      </c>
      <c r="B24">
        <v>5000</v>
      </c>
      <c r="G24">
        <f>SUM(G20:G22)</f>
        <v>114000</v>
      </c>
      <c r="J24" t="s">
        <v>206</v>
      </c>
      <c r="K24">
        <f>(K16-K20)</f>
        <v>16495.71</v>
      </c>
      <c r="L24">
        <f>SUM(L20:L22)</f>
        <v>35590.71</v>
      </c>
    </row>
    <row r="25" spans="1:16" x14ac:dyDescent="0.3">
      <c r="P25">
        <v>8000</v>
      </c>
    </row>
    <row r="26" spans="1:16" x14ac:dyDescent="0.3">
      <c r="P26">
        <v>11095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8"/>
  <sheetViews>
    <sheetView workbookViewId="0">
      <selection activeCell="B3" sqref="B3"/>
    </sheetView>
  </sheetViews>
  <sheetFormatPr defaultRowHeight="14.4" x14ac:dyDescent="0.3"/>
  <cols>
    <col min="1" max="1" width="14.33203125" bestFit="1" customWidth="1"/>
    <col min="2" max="2" width="7" bestFit="1" customWidth="1"/>
    <col min="3" max="4" width="11.109375" bestFit="1" customWidth="1"/>
    <col min="6" max="6" width="9" bestFit="1" customWidth="1"/>
    <col min="8" max="8" width="9" bestFit="1" customWidth="1"/>
    <col min="9" max="9" width="4.44140625" bestFit="1" customWidth="1"/>
  </cols>
  <sheetData>
    <row r="1" spans="1:9" x14ac:dyDescent="0.3">
      <c r="A1" t="s">
        <v>6</v>
      </c>
      <c r="B1">
        <v>39000</v>
      </c>
    </row>
    <row r="2" spans="1:9" x14ac:dyDescent="0.3">
      <c r="A2" t="s">
        <v>0</v>
      </c>
      <c r="B2">
        <v>19095</v>
      </c>
      <c r="D2">
        <v>16740</v>
      </c>
      <c r="F2">
        <v>4073.33</v>
      </c>
      <c r="H2">
        <v>9999</v>
      </c>
      <c r="I2" t="s">
        <v>26</v>
      </c>
    </row>
    <row r="3" spans="1:9" x14ac:dyDescent="0.3">
      <c r="A3" t="s">
        <v>1</v>
      </c>
      <c r="B3">
        <v>10000</v>
      </c>
      <c r="F3">
        <v>56.66</v>
      </c>
      <c r="H3" s="57">
        <v>26900</v>
      </c>
    </row>
    <row r="4" spans="1:9" x14ac:dyDescent="0.3">
      <c r="A4" t="s">
        <v>2</v>
      </c>
      <c r="B4">
        <v>17500</v>
      </c>
      <c r="F4">
        <v>314.8</v>
      </c>
      <c r="H4" s="57">
        <v>1350</v>
      </c>
    </row>
    <row r="5" spans="1:9" x14ac:dyDescent="0.3">
      <c r="A5" t="s">
        <v>89</v>
      </c>
      <c r="B5">
        <v>29706</v>
      </c>
      <c r="F5">
        <v>6095.24</v>
      </c>
      <c r="H5" s="57">
        <v>12442</v>
      </c>
    </row>
    <row r="6" spans="1:9" x14ac:dyDescent="0.3">
      <c r="A6" t="s">
        <v>3</v>
      </c>
      <c r="B6">
        <v>500</v>
      </c>
      <c r="F6">
        <v>84.79</v>
      </c>
      <c r="H6" s="57">
        <v>805</v>
      </c>
    </row>
    <row r="7" spans="1:9" x14ac:dyDescent="0.3">
      <c r="A7" t="s">
        <v>9</v>
      </c>
      <c r="B7">
        <v>600</v>
      </c>
      <c r="F7">
        <v>471.07</v>
      </c>
      <c r="H7" s="58">
        <v>3600</v>
      </c>
    </row>
    <row r="8" spans="1:9" x14ac:dyDescent="0.3">
      <c r="A8" t="s">
        <v>151</v>
      </c>
      <c r="B8">
        <v>11419</v>
      </c>
      <c r="H8" s="58">
        <v>800</v>
      </c>
    </row>
    <row r="9" spans="1:9" x14ac:dyDescent="0.3">
      <c r="A9" t="s">
        <v>107</v>
      </c>
      <c r="B9">
        <v>590</v>
      </c>
      <c r="H9" s="58">
        <v>3600</v>
      </c>
    </row>
    <row r="10" spans="1:9" x14ac:dyDescent="0.3">
      <c r="A10" t="s">
        <v>180</v>
      </c>
    </row>
    <row r="11" spans="1:9" x14ac:dyDescent="0.3">
      <c r="A11" t="s">
        <v>153</v>
      </c>
      <c r="H11">
        <f>SUM(H3:H9)</f>
        <v>49497</v>
      </c>
    </row>
    <row r="12" spans="1:9" x14ac:dyDescent="0.3">
      <c r="A12" t="s">
        <v>174</v>
      </c>
      <c r="B12">
        <v>4000</v>
      </c>
    </row>
    <row r="14" spans="1:9" x14ac:dyDescent="0.3">
      <c r="F14">
        <f>SUM(F2:F10)</f>
        <v>11095.89</v>
      </c>
      <c r="H14">
        <f>(F14+H11)</f>
        <v>60592.89</v>
      </c>
    </row>
    <row r="16" spans="1:9" x14ac:dyDescent="0.3">
      <c r="A16" t="s">
        <v>5</v>
      </c>
      <c r="B16">
        <f>SUM(B1:B15)</f>
        <v>132410</v>
      </c>
      <c r="C16">
        <f>SUM(C1:C14)</f>
        <v>0</v>
      </c>
    </row>
    <row r="18" spans="1:4" x14ac:dyDescent="0.3">
      <c r="A18" t="s">
        <v>29</v>
      </c>
      <c r="C18" s="11">
        <f>(C16-B16)</f>
        <v>-132410</v>
      </c>
      <c r="D18" s="11">
        <f>(C18+G24)</f>
        <v>-132410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CBC7-A4F3-4A15-BE2A-389BB8441BDC}">
  <dimension ref="A1:D24"/>
  <sheetViews>
    <sheetView workbookViewId="0">
      <selection activeCell="G27" sqref="G27"/>
    </sheetView>
  </sheetViews>
  <sheetFormatPr defaultRowHeight="14.4" x14ac:dyDescent="0.3"/>
  <cols>
    <col min="1" max="1" width="14.33203125" bestFit="1" customWidth="1"/>
    <col min="2" max="2" width="7" bestFit="1" customWidth="1"/>
    <col min="3" max="4" width="11.109375" bestFit="1" customWidth="1"/>
  </cols>
  <sheetData>
    <row r="1" spans="1:4" x14ac:dyDescent="0.3">
      <c r="A1" t="s">
        <v>6</v>
      </c>
      <c r="B1">
        <v>40000</v>
      </c>
    </row>
    <row r="2" spans="1:4" x14ac:dyDescent="0.3">
      <c r="A2" t="s">
        <v>0</v>
      </c>
      <c r="B2">
        <v>13000</v>
      </c>
      <c r="C2">
        <v>13000</v>
      </c>
      <c r="D2">
        <v>16740</v>
      </c>
    </row>
    <row r="3" spans="1:4" x14ac:dyDescent="0.3">
      <c r="A3" t="s">
        <v>1</v>
      </c>
      <c r="B3">
        <v>10000</v>
      </c>
      <c r="C3">
        <v>10000</v>
      </c>
    </row>
    <row r="4" spans="1:4" x14ac:dyDescent="0.3">
      <c r="A4" t="s">
        <v>2</v>
      </c>
      <c r="B4">
        <v>17500</v>
      </c>
      <c r="C4">
        <v>17500</v>
      </c>
    </row>
    <row r="5" spans="1:4" x14ac:dyDescent="0.3">
      <c r="A5" t="s">
        <v>89</v>
      </c>
      <c r="B5">
        <v>29706</v>
      </c>
    </row>
    <row r="6" spans="1:4" x14ac:dyDescent="0.3">
      <c r="A6" t="s">
        <v>3</v>
      </c>
      <c r="B6">
        <v>1200</v>
      </c>
      <c r="C6">
        <v>1200</v>
      </c>
    </row>
    <row r="7" spans="1:4" x14ac:dyDescent="0.3">
      <c r="A7" t="s">
        <v>9</v>
      </c>
      <c r="B7">
        <v>700</v>
      </c>
      <c r="C7">
        <v>700</v>
      </c>
    </row>
    <row r="8" spans="1:4" x14ac:dyDescent="0.3">
      <c r="A8" t="s">
        <v>151</v>
      </c>
      <c r="B8">
        <v>11419</v>
      </c>
      <c r="C8">
        <v>11419</v>
      </c>
    </row>
    <row r="9" spans="1:4" x14ac:dyDescent="0.3">
      <c r="A9" t="s">
        <v>107</v>
      </c>
      <c r="B9">
        <v>590</v>
      </c>
      <c r="C9">
        <v>590</v>
      </c>
    </row>
    <row r="10" spans="1:4" x14ac:dyDescent="0.3">
      <c r="A10" t="s">
        <v>180</v>
      </c>
    </row>
    <row r="11" spans="1:4" x14ac:dyDescent="0.3">
      <c r="A11" t="s">
        <v>153</v>
      </c>
      <c r="B11">
        <v>3000</v>
      </c>
      <c r="C11">
        <v>1000</v>
      </c>
    </row>
    <row r="12" spans="1:4" x14ac:dyDescent="0.3">
      <c r="A12" t="s">
        <v>174</v>
      </c>
    </row>
    <row r="16" spans="1:4" x14ac:dyDescent="0.3">
      <c r="A16" t="s">
        <v>5</v>
      </c>
      <c r="B16">
        <f>SUM(B1:B15)</f>
        <v>127115</v>
      </c>
      <c r="C16">
        <f>SUM(C1:C14)</f>
        <v>55409</v>
      </c>
    </row>
    <row r="18" spans="1:4" x14ac:dyDescent="0.3">
      <c r="A18" t="s">
        <v>29</v>
      </c>
      <c r="C18" s="11">
        <f>(C16-B16)</f>
        <v>-71706</v>
      </c>
      <c r="D18" s="11">
        <f>(C18+B24)</f>
        <v>-15706</v>
      </c>
    </row>
    <row r="21" spans="1:4" x14ac:dyDescent="0.3">
      <c r="B21">
        <v>58500</v>
      </c>
    </row>
    <row r="24" spans="1:4" x14ac:dyDescent="0.3">
      <c r="B24">
        <v>56000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F18"/>
  <sheetViews>
    <sheetView zoomScaleNormal="100" zoomScaleSheetLayoutView="100" workbookViewId="0">
      <selection activeCell="G27" sqref="G27"/>
    </sheetView>
  </sheetViews>
  <sheetFormatPr defaultRowHeight="14.4" x14ac:dyDescent="0.3"/>
  <cols>
    <col min="2" max="2" width="12.109375" bestFit="1" customWidth="1"/>
    <col min="3" max="3" width="13.33203125" bestFit="1" customWidth="1"/>
    <col min="5" max="5" width="11.109375" bestFit="1" customWidth="1"/>
  </cols>
  <sheetData>
    <row r="4" spans="2:3" x14ac:dyDescent="0.3">
      <c r="B4" s="1" t="s">
        <v>7</v>
      </c>
      <c r="C4" s="1" t="s">
        <v>8</v>
      </c>
    </row>
    <row r="5" spans="2:3" x14ac:dyDescent="0.3">
      <c r="B5" s="2" t="s">
        <v>6</v>
      </c>
      <c r="C5" s="6">
        <v>10000</v>
      </c>
    </row>
    <row r="6" spans="2:3" x14ac:dyDescent="0.3">
      <c r="B6" s="2" t="s">
        <v>0</v>
      </c>
      <c r="C6" s="5">
        <v>14000</v>
      </c>
    </row>
    <row r="7" spans="2:3" x14ac:dyDescent="0.3">
      <c r="B7" s="2" t="s">
        <v>1</v>
      </c>
      <c r="C7" s="4">
        <v>25000</v>
      </c>
    </row>
    <row r="8" spans="2:3" x14ac:dyDescent="0.3">
      <c r="B8" s="2" t="s">
        <v>2</v>
      </c>
      <c r="C8" s="4">
        <v>15000</v>
      </c>
    </row>
    <row r="9" spans="2:3" x14ac:dyDescent="0.3">
      <c r="B9" s="2" t="s">
        <v>89</v>
      </c>
      <c r="C9" s="4">
        <v>30000</v>
      </c>
    </row>
    <row r="10" spans="2:3" x14ac:dyDescent="0.3">
      <c r="B10" s="2" t="s">
        <v>3</v>
      </c>
      <c r="C10" s="4">
        <v>1500</v>
      </c>
    </row>
    <row r="11" spans="2:3" x14ac:dyDescent="0.3">
      <c r="B11" s="2" t="s">
        <v>9</v>
      </c>
      <c r="C11" s="4">
        <v>1343</v>
      </c>
    </row>
    <row r="12" spans="2:3" x14ac:dyDescent="0.3">
      <c r="B12" s="2" t="s">
        <v>15</v>
      </c>
      <c r="C12" s="7">
        <v>5000</v>
      </c>
    </row>
    <row r="13" spans="2:3" x14ac:dyDescent="0.3">
      <c r="B13" s="2" t="s">
        <v>13</v>
      </c>
      <c r="C13" s="7">
        <v>2000</v>
      </c>
    </row>
    <row r="14" spans="2:3" x14ac:dyDescent="0.3">
      <c r="B14" s="2"/>
      <c r="C14" s="2"/>
    </row>
    <row r="15" spans="2:3" x14ac:dyDescent="0.3">
      <c r="B15" s="2"/>
      <c r="C15" s="2"/>
    </row>
    <row r="16" spans="2:3" x14ac:dyDescent="0.3">
      <c r="B16" s="2" t="s">
        <v>5</v>
      </c>
      <c r="C16" s="3">
        <f>SUM(C5:C13)</f>
        <v>103843</v>
      </c>
    </row>
    <row r="17" spans="5:6" x14ac:dyDescent="0.3">
      <c r="E17" t="s">
        <v>16</v>
      </c>
      <c r="F17">
        <v>11500</v>
      </c>
    </row>
    <row r="18" spans="5:6" x14ac:dyDescent="0.3">
      <c r="E18" t="s">
        <v>14</v>
      </c>
      <c r="F18">
        <v>8900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668C-1C3A-4F01-95CA-076432BB6A40}">
  <dimension ref="A1:D24"/>
  <sheetViews>
    <sheetView workbookViewId="0">
      <selection activeCell="G27" sqref="G27"/>
    </sheetView>
  </sheetViews>
  <sheetFormatPr defaultRowHeight="14.4" x14ac:dyDescent="0.3"/>
  <cols>
    <col min="1" max="1" width="14.33203125" bestFit="1" customWidth="1"/>
    <col min="3" max="3" width="9.6640625" bestFit="1" customWidth="1"/>
    <col min="4" max="4" width="10.6640625" customWidth="1"/>
  </cols>
  <sheetData>
    <row r="1" spans="1:4" x14ac:dyDescent="0.3">
      <c r="A1" t="s">
        <v>6</v>
      </c>
      <c r="B1">
        <v>40000</v>
      </c>
    </row>
    <row r="2" spans="1:4" x14ac:dyDescent="0.3">
      <c r="A2" t="s">
        <v>0</v>
      </c>
      <c r="B2">
        <v>13000</v>
      </c>
      <c r="C2">
        <v>13000</v>
      </c>
      <c r="D2">
        <v>16740</v>
      </c>
    </row>
    <row r="3" spans="1:4" x14ac:dyDescent="0.3">
      <c r="A3" t="s">
        <v>1</v>
      </c>
      <c r="B3">
        <v>11000</v>
      </c>
    </row>
    <row r="4" spans="1:4" x14ac:dyDescent="0.3">
      <c r="A4" t="s">
        <v>2</v>
      </c>
      <c r="B4">
        <v>17500</v>
      </c>
      <c r="C4">
        <v>15500</v>
      </c>
    </row>
    <row r="5" spans="1:4" x14ac:dyDescent="0.3">
      <c r="A5" t="s">
        <v>89</v>
      </c>
      <c r="B5">
        <v>29706</v>
      </c>
    </row>
    <row r="6" spans="1:4" x14ac:dyDescent="0.3">
      <c r="A6" t="s">
        <v>3</v>
      </c>
      <c r="B6">
        <v>1900</v>
      </c>
      <c r="C6">
        <v>1900</v>
      </c>
    </row>
    <row r="7" spans="1:4" x14ac:dyDescent="0.3">
      <c r="A7" t="s">
        <v>9</v>
      </c>
      <c r="B7">
        <v>700</v>
      </c>
      <c r="C7">
        <v>700</v>
      </c>
    </row>
    <row r="8" spans="1:4" x14ac:dyDescent="0.3">
      <c r="A8" t="s">
        <v>151</v>
      </c>
      <c r="B8">
        <v>11419</v>
      </c>
    </row>
    <row r="9" spans="1:4" x14ac:dyDescent="0.3">
      <c r="A9" t="s">
        <v>107</v>
      </c>
      <c r="B9">
        <v>590</v>
      </c>
      <c r="C9">
        <v>590</v>
      </c>
    </row>
    <row r="10" spans="1:4" x14ac:dyDescent="0.3">
      <c r="A10" t="s">
        <v>180</v>
      </c>
    </row>
    <row r="11" spans="1:4" x14ac:dyDescent="0.3">
      <c r="A11" t="s">
        <v>153</v>
      </c>
      <c r="B11">
        <v>3000</v>
      </c>
      <c r="C11">
        <v>1000</v>
      </c>
    </row>
    <row r="12" spans="1:4" x14ac:dyDescent="0.3">
      <c r="A12" t="s">
        <v>174</v>
      </c>
    </row>
    <row r="16" spans="1:4" x14ac:dyDescent="0.3">
      <c r="A16" t="s">
        <v>5</v>
      </c>
      <c r="B16">
        <f>SUM(B1:B15)</f>
        <v>128815</v>
      </c>
      <c r="C16">
        <f>SUM(C1:C14)</f>
        <v>32690</v>
      </c>
    </row>
    <row r="18" spans="1:4" x14ac:dyDescent="0.3">
      <c r="A18" t="s">
        <v>29</v>
      </c>
      <c r="C18" s="11">
        <f>(C16-B16)</f>
        <v>-96125</v>
      </c>
      <c r="D18" s="11">
        <f>(C18+B24)</f>
        <v>-19125</v>
      </c>
    </row>
    <row r="21" spans="1:4" x14ac:dyDescent="0.3">
      <c r="B21">
        <v>58500</v>
      </c>
    </row>
    <row r="24" spans="1:4" x14ac:dyDescent="0.3">
      <c r="B24">
        <v>77000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70B6-2AFE-4A1A-ACC9-53FCF348B2D0}">
  <dimension ref="A1:V36"/>
  <sheetViews>
    <sheetView workbookViewId="0">
      <selection activeCell="G27" sqref="G27"/>
    </sheetView>
  </sheetViews>
  <sheetFormatPr defaultRowHeight="14.4" x14ac:dyDescent="0.3"/>
  <cols>
    <col min="1" max="1" width="16.88671875" bestFit="1" customWidth="1"/>
    <col min="2" max="2" width="10" bestFit="1" customWidth="1"/>
    <col min="3" max="3" width="11.109375" bestFit="1" customWidth="1"/>
    <col min="4" max="4" width="13.33203125" bestFit="1" customWidth="1"/>
    <col min="5" max="5" width="12.44140625" bestFit="1" customWidth="1"/>
    <col min="8" max="8" width="10.5546875" bestFit="1" customWidth="1"/>
    <col min="9" max="9" width="11.33203125" bestFit="1" customWidth="1"/>
    <col min="12" max="12" width="13.88671875" bestFit="1" customWidth="1"/>
    <col min="16" max="16" width="10" bestFit="1" customWidth="1"/>
  </cols>
  <sheetData>
    <row r="1" spans="1:17" x14ac:dyDescent="0.3">
      <c r="A1" s="43" t="s">
        <v>6</v>
      </c>
      <c r="B1" s="43">
        <v>54000</v>
      </c>
      <c r="C1" s="43">
        <v>54000</v>
      </c>
      <c r="D1" s="43"/>
    </row>
    <row r="2" spans="1:17" x14ac:dyDescent="0.3">
      <c r="A2" s="43" t="s">
        <v>0</v>
      </c>
      <c r="B2" s="43">
        <v>48353.21</v>
      </c>
      <c r="C2" s="43">
        <v>48353.21</v>
      </c>
      <c r="D2" s="43">
        <f>(B2-C2)</f>
        <v>0</v>
      </c>
      <c r="E2">
        <v>3075.21</v>
      </c>
    </row>
    <row r="3" spans="1:17" x14ac:dyDescent="0.3">
      <c r="A3" s="43" t="s">
        <v>1</v>
      </c>
      <c r="B3" s="43">
        <v>11000</v>
      </c>
      <c r="C3" s="43">
        <v>11000</v>
      </c>
      <c r="D3" s="43"/>
    </row>
    <row r="4" spans="1:17" ht="15" thickBot="1" x14ac:dyDescent="0.35">
      <c r="A4" s="43" t="s">
        <v>2</v>
      </c>
      <c r="B4" s="43">
        <v>17500</v>
      </c>
      <c r="C4" s="43">
        <v>17500</v>
      </c>
      <c r="D4" s="43"/>
      <c r="F4" s="43" t="s">
        <v>223</v>
      </c>
      <c r="G4" s="43">
        <v>73000</v>
      </c>
      <c r="I4" t="s">
        <v>231</v>
      </c>
      <c r="L4" s="43" t="s">
        <v>215</v>
      </c>
      <c r="M4" s="43">
        <v>45000</v>
      </c>
    </row>
    <row r="5" spans="1:17" ht="15" thickBot="1" x14ac:dyDescent="0.35">
      <c r="A5" s="43" t="s">
        <v>89</v>
      </c>
      <c r="B5" s="43">
        <v>29706</v>
      </c>
      <c r="C5" s="43">
        <v>29706</v>
      </c>
      <c r="D5" s="43"/>
      <c r="F5" s="43" t="s">
        <v>11</v>
      </c>
      <c r="G5" s="43">
        <v>20000</v>
      </c>
      <c r="H5" s="59">
        <v>20000</v>
      </c>
      <c r="I5" s="67">
        <v>13446</v>
      </c>
      <c r="J5" s="68">
        <v>6554</v>
      </c>
      <c r="L5" s="43" t="s">
        <v>155</v>
      </c>
      <c r="M5" s="43">
        <v>17000</v>
      </c>
    </row>
    <row r="6" spans="1:17" x14ac:dyDescent="0.3">
      <c r="A6" s="43" t="s">
        <v>3</v>
      </c>
      <c r="B6" s="43">
        <v>1700</v>
      </c>
      <c r="C6" s="43">
        <v>1700</v>
      </c>
      <c r="D6" s="43"/>
      <c r="F6" s="43" t="s">
        <v>230</v>
      </c>
      <c r="G6" s="43">
        <v>4000</v>
      </c>
      <c r="L6" s="43" t="s">
        <v>216</v>
      </c>
      <c r="M6" s="43">
        <v>11000</v>
      </c>
    </row>
    <row r="7" spans="1:17" x14ac:dyDescent="0.3">
      <c r="A7" s="43" t="s">
        <v>9</v>
      </c>
      <c r="B7" s="43">
        <v>433</v>
      </c>
      <c r="C7" s="43">
        <v>433</v>
      </c>
      <c r="D7" s="43"/>
      <c r="F7" s="43"/>
      <c r="G7" s="43"/>
      <c r="L7" s="43"/>
      <c r="M7" s="43"/>
    </row>
    <row r="8" spans="1:17" x14ac:dyDescent="0.3">
      <c r="A8" s="43" t="s">
        <v>151</v>
      </c>
      <c r="B8" s="43">
        <v>11419</v>
      </c>
      <c r="C8" s="43">
        <v>11419</v>
      </c>
      <c r="D8" s="43"/>
      <c r="F8" s="43"/>
      <c r="G8" s="43">
        <f>SUM(G4:G6)</f>
        <v>97000</v>
      </c>
      <c r="L8" s="43" t="s">
        <v>5</v>
      </c>
      <c r="M8" s="43">
        <f>SUM(M4:M6)</f>
        <v>73000</v>
      </c>
    </row>
    <row r="9" spans="1:17" x14ac:dyDescent="0.3">
      <c r="A9" s="43" t="s">
        <v>107</v>
      </c>
      <c r="B9" s="43">
        <v>590</v>
      </c>
      <c r="C9" s="43">
        <v>590</v>
      </c>
      <c r="D9" s="43"/>
      <c r="L9" s="43"/>
      <c r="M9" s="43"/>
      <c r="P9" t="s">
        <v>238</v>
      </c>
      <c r="Q9">
        <v>150</v>
      </c>
    </row>
    <row r="10" spans="1:17" x14ac:dyDescent="0.3">
      <c r="A10" s="43" t="s">
        <v>213</v>
      </c>
      <c r="B10" s="43">
        <v>7000</v>
      </c>
      <c r="C10" s="43">
        <v>7000</v>
      </c>
      <c r="D10" s="43"/>
      <c r="H10" s="43" t="s">
        <v>217</v>
      </c>
      <c r="I10" s="43">
        <v>106000</v>
      </c>
      <c r="L10" s="43" t="s">
        <v>219</v>
      </c>
      <c r="M10" s="59">
        <f>(I13-M8)</f>
        <v>24000</v>
      </c>
      <c r="P10" t="s">
        <v>239</v>
      </c>
      <c r="Q10">
        <v>50</v>
      </c>
    </row>
    <row r="11" spans="1:17" x14ac:dyDescent="0.3">
      <c r="A11" s="43" t="s">
        <v>174</v>
      </c>
      <c r="B11" s="43">
        <v>4000</v>
      </c>
      <c r="C11" s="43">
        <v>3000</v>
      </c>
      <c r="D11" s="43"/>
      <c r="F11" s="43" t="s">
        <v>203</v>
      </c>
      <c r="G11" s="43">
        <v>2000</v>
      </c>
      <c r="H11" s="43" t="s">
        <v>214</v>
      </c>
      <c r="I11" s="60">
        <v>9000</v>
      </c>
      <c r="Q11">
        <f>(Q9*Q10)</f>
        <v>7500</v>
      </c>
    </row>
    <row r="12" spans="1:17" x14ac:dyDescent="0.3">
      <c r="A12" s="43" t="s">
        <v>182</v>
      </c>
      <c r="B12" s="43">
        <v>12800</v>
      </c>
      <c r="C12" s="43">
        <v>12800</v>
      </c>
      <c r="D12" s="43"/>
      <c r="F12" s="43" t="s">
        <v>230</v>
      </c>
      <c r="G12" s="43"/>
      <c r="H12" s="43"/>
      <c r="I12" s="43"/>
      <c r="P12" t="s">
        <v>240</v>
      </c>
      <c r="Q12">
        <v>1700</v>
      </c>
    </row>
    <row r="13" spans="1:17" x14ac:dyDescent="0.3">
      <c r="A13" s="43" t="s">
        <v>220</v>
      </c>
      <c r="B13" s="43">
        <v>12500</v>
      </c>
      <c r="C13" s="43">
        <v>12500</v>
      </c>
      <c r="D13" s="43"/>
      <c r="F13" s="43" t="s">
        <v>205</v>
      </c>
      <c r="G13" s="43">
        <v>400</v>
      </c>
      <c r="H13" s="43" t="s">
        <v>218</v>
      </c>
      <c r="I13" s="43">
        <f>(I10-I11)</f>
        <v>97000</v>
      </c>
      <c r="P13" t="s">
        <v>241</v>
      </c>
      <c r="Q13">
        <v>3300</v>
      </c>
    </row>
    <row r="14" spans="1:17" ht="15" thickBot="1" x14ac:dyDescent="0.35">
      <c r="A14" s="43" t="s">
        <v>221</v>
      </c>
      <c r="B14" s="43">
        <v>10526</v>
      </c>
      <c r="C14" s="43">
        <v>10526</v>
      </c>
      <c r="D14" s="43"/>
      <c r="F14" s="43" t="s">
        <v>204</v>
      </c>
      <c r="G14" s="43">
        <v>46.96</v>
      </c>
      <c r="H14" s="43" t="s">
        <v>222</v>
      </c>
      <c r="I14" s="43">
        <v>28000</v>
      </c>
    </row>
    <row r="15" spans="1:17" ht="15" thickBot="1" x14ac:dyDescent="0.35">
      <c r="A15" s="43" t="s">
        <v>242</v>
      </c>
      <c r="B15" s="43">
        <v>960</v>
      </c>
      <c r="C15" s="43">
        <v>960</v>
      </c>
      <c r="D15" s="43"/>
      <c r="F15" s="43"/>
      <c r="G15" s="66">
        <f>SUM(G11:G14)</f>
        <v>2446.96</v>
      </c>
      <c r="H15" s="43" t="s">
        <v>5</v>
      </c>
      <c r="I15" s="43">
        <f>(I13-I14)</f>
        <v>69000</v>
      </c>
      <c r="K15">
        <v>13100</v>
      </c>
      <c r="P15" s="69" t="s">
        <v>5</v>
      </c>
      <c r="Q15" s="70">
        <f>SUM(Q11:Q13)</f>
        <v>12500</v>
      </c>
    </row>
    <row r="16" spans="1:17" x14ac:dyDescent="0.3">
      <c r="A16" s="43" t="s">
        <v>243</v>
      </c>
      <c r="B16" s="43">
        <v>1345</v>
      </c>
      <c r="C16" s="43">
        <v>1345</v>
      </c>
      <c r="D16" s="43"/>
      <c r="K16">
        <v>28000</v>
      </c>
    </row>
    <row r="17" spans="1:22" x14ac:dyDescent="0.3">
      <c r="A17" s="43" t="s">
        <v>244</v>
      </c>
      <c r="B17" s="43">
        <v>280</v>
      </c>
      <c r="C17" s="43">
        <v>280</v>
      </c>
      <c r="D17" s="43"/>
      <c r="H17" s="43" t="s">
        <v>229</v>
      </c>
      <c r="I17" s="43">
        <v>54000</v>
      </c>
      <c r="O17" t="s">
        <v>108</v>
      </c>
      <c r="P17">
        <v>6554</v>
      </c>
    </row>
    <row r="18" spans="1:22" x14ac:dyDescent="0.3">
      <c r="A18" s="43" t="s">
        <v>108</v>
      </c>
      <c r="B18" s="43">
        <v>6554</v>
      </c>
      <c r="C18" s="43"/>
      <c r="D18" s="43"/>
      <c r="H18" s="43" t="s">
        <v>12</v>
      </c>
      <c r="I18" s="43">
        <f>(I15-I17)</f>
        <v>15000</v>
      </c>
      <c r="K18">
        <f>(K15+K16)</f>
        <v>41100</v>
      </c>
      <c r="O18" t="s">
        <v>237</v>
      </c>
      <c r="P18">
        <v>10280</v>
      </c>
    </row>
    <row r="19" spans="1:22" x14ac:dyDescent="0.3">
      <c r="A19" s="43" t="s">
        <v>245</v>
      </c>
      <c r="B19" s="43">
        <v>2000</v>
      </c>
      <c r="C19" s="43">
        <v>1000</v>
      </c>
      <c r="D19" s="43"/>
      <c r="O19" t="s">
        <v>236</v>
      </c>
      <c r="P19">
        <v>15000</v>
      </c>
    </row>
    <row r="20" spans="1:22" x14ac:dyDescent="0.3">
      <c r="A20" s="43"/>
      <c r="B20" s="43"/>
      <c r="C20" s="43"/>
      <c r="D20" s="43"/>
      <c r="F20" s="65"/>
      <c r="O20" t="s">
        <v>235</v>
      </c>
      <c r="P20">
        <v>4000</v>
      </c>
      <c r="R20">
        <v>106</v>
      </c>
      <c r="S20">
        <v>400</v>
      </c>
      <c r="T20">
        <f>(S20/20)</f>
        <v>20</v>
      </c>
      <c r="U20">
        <f>(R20*T20)</f>
        <v>2120</v>
      </c>
    </row>
    <row r="21" spans="1:22" x14ac:dyDescent="0.3">
      <c r="A21" s="64" t="s">
        <v>5</v>
      </c>
      <c r="B21" s="43">
        <f>SUM(B1:B19)</f>
        <v>232666.21</v>
      </c>
      <c r="C21" s="43">
        <f>SUM(C1:C19)</f>
        <v>224112.21</v>
      </c>
      <c r="D21" s="43"/>
      <c r="G21">
        <v>47000</v>
      </c>
      <c r="O21" t="s">
        <v>233</v>
      </c>
      <c r="P21">
        <v>1000</v>
      </c>
      <c r="U21">
        <f>(1000/R20)</f>
        <v>9.433962264150944</v>
      </c>
      <c r="V21">
        <f>(U21*15)</f>
        <v>141.50943396226415</v>
      </c>
    </row>
    <row r="22" spans="1:22" x14ac:dyDescent="0.3">
      <c r="A22" s="43"/>
      <c r="B22" s="43"/>
      <c r="C22" s="43"/>
      <c r="D22" s="43"/>
      <c r="G22">
        <v>24000</v>
      </c>
      <c r="O22" t="s">
        <v>234</v>
      </c>
      <c r="P22">
        <v>1345</v>
      </c>
    </row>
    <row r="23" spans="1:22" x14ac:dyDescent="0.3">
      <c r="A23" s="64" t="s">
        <v>228</v>
      </c>
      <c r="B23" s="43"/>
      <c r="C23" s="62">
        <f>(C21-B21)</f>
        <v>-8554</v>
      </c>
      <c r="D23" s="43" t="s">
        <v>227</v>
      </c>
      <c r="I23" s="43">
        <v>45690</v>
      </c>
      <c r="J23" s="43">
        <v>41100</v>
      </c>
      <c r="O23" t="s">
        <v>232</v>
      </c>
      <c r="P23">
        <v>2000</v>
      </c>
    </row>
    <row r="24" spans="1:22" x14ac:dyDescent="0.3">
      <c r="A24" s="64"/>
      <c r="B24" s="43"/>
      <c r="C24" s="43"/>
      <c r="D24" s="43"/>
      <c r="I24">
        <v>19000</v>
      </c>
      <c r="J24" s="63">
        <v>15178</v>
      </c>
      <c r="O24" t="s">
        <v>7</v>
      </c>
      <c r="P24">
        <f>SUM(P17:P23)</f>
        <v>40179</v>
      </c>
    </row>
    <row r="25" spans="1:22" x14ac:dyDescent="0.3">
      <c r="A25" s="64" t="s">
        <v>225</v>
      </c>
      <c r="B25" s="43"/>
      <c r="C25" s="62">
        <f>(C23+G15)</f>
        <v>-6107.04</v>
      </c>
      <c r="D25" s="43"/>
    </row>
    <row r="26" spans="1:22" x14ac:dyDescent="0.3">
      <c r="A26" s="64"/>
      <c r="B26" s="43"/>
      <c r="C26" s="43"/>
      <c r="D26" s="43"/>
      <c r="I26">
        <f>SUM(I23:I24)</f>
        <v>64690</v>
      </c>
      <c r="J26">
        <f>SUM(J23:J24)</f>
        <v>56278</v>
      </c>
      <c r="K26">
        <f>(J26-I26)</f>
        <v>-8412</v>
      </c>
    </row>
    <row r="27" spans="1:22" x14ac:dyDescent="0.3">
      <c r="A27" s="64" t="s">
        <v>226</v>
      </c>
      <c r="B27" s="43"/>
      <c r="C27" s="43">
        <v>106000</v>
      </c>
      <c r="D27" s="43"/>
      <c r="P27">
        <f>(G15-P24)</f>
        <v>-37732.04</v>
      </c>
    </row>
    <row r="28" spans="1:22" x14ac:dyDescent="0.3">
      <c r="A28" s="64"/>
      <c r="B28" s="43"/>
      <c r="C28" s="43"/>
      <c r="D28" s="43"/>
    </row>
    <row r="30" spans="1:22" x14ac:dyDescent="0.3">
      <c r="P30">
        <f>SUM(P27:P29)</f>
        <v>-37732.04</v>
      </c>
    </row>
    <row r="33" spans="16:16" x14ac:dyDescent="0.3">
      <c r="P33">
        <f>SUM(P30:P31)</f>
        <v>-37732.04</v>
      </c>
    </row>
    <row r="34" spans="16:16" x14ac:dyDescent="0.3">
      <c r="P34">
        <v>-11419</v>
      </c>
    </row>
    <row r="36" spans="16:16" x14ac:dyDescent="0.3">
      <c r="P36" s="71">
        <f>SUM(P33:P34)</f>
        <v>-49151.040000000001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CF43-9495-46A9-B275-DB881C77258E}">
  <dimension ref="A1:H21"/>
  <sheetViews>
    <sheetView workbookViewId="0">
      <selection activeCell="C10" sqref="C10"/>
    </sheetView>
  </sheetViews>
  <sheetFormatPr defaultRowHeight="14.4" x14ac:dyDescent="0.3"/>
  <cols>
    <col min="1" max="1" width="16.88671875" bestFit="1" customWidth="1"/>
    <col min="3" max="3" width="11.109375" bestFit="1" customWidth="1"/>
    <col min="4" max="4" width="13.33203125" bestFit="1" customWidth="1"/>
  </cols>
  <sheetData>
    <row r="1" spans="1:8" x14ac:dyDescent="0.3">
      <c r="A1" s="43" t="s">
        <v>6</v>
      </c>
      <c r="B1" s="43">
        <v>46000</v>
      </c>
      <c r="C1" s="43"/>
      <c r="D1" s="72"/>
    </row>
    <row r="2" spans="1:8" x14ac:dyDescent="0.3">
      <c r="A2" s="43" t="s">
        <v>0</v>
      </c>
      <c r="B2" s="43">
        <v>18311</v>
      </c>
      <c r="C2" s="60">
        <v>18000</v>
      </c>
      <c r="D2" s="72">
        <f>(B2-C2)</f>
        <v>311</v>
      </c>
      <c r="E2" s="30">
        <v>2881</v>
      </c>
      <c r="F2" s="30">
        <f>(B2+E2)</f>
        <v>21192</v>
      </c>
    </row>
    <row r="3" spans="1:8" x14ac:dyDescent="0.3">
      <c r="A3" s="43" t="s">
        <v>1</v>
      </c>
      <c r="B3" s="43"/>
      <c r="C3" s="43"/>
      <c r="D3" s="72"/>
      <c r="F3" s="43" t="s">
        <v>223</v>
      </c>
      <c r="G3" s="43">
        <v>108000</v>
      </c>
    </row>
    <row r="4" spans="1:8" x14ac:dyDescent="0.3">
      <c r="A4" s="43" t="s">
        <v>2</v>
      </c>
      <c r="B4" s="43">
        <v>17500</v>
      </c>
      <c r="C4" s="43"/>
      <c r="D4" s="72"/>
      <c r="F4" s="61"/>
      <c r="G4" s="43"/>
    </row>
    <row r="5" spans="1:8" x14ac:dyDescent="0.3">
      <c r="A5" s="43" t="s">
        <v>89</v>
      </c>
      <c r="B5" s="43">
        <v>29706</v>
      </c>
      <c r="C5" s="43"/>
      <c r="D5" s="72"/>
      <c r="F5" s="43" t="s">
        <v>11</v>
      </c>
      <c r="G5" s="43"/>
    </row>
    <row r="6" spans="1:8" x14ac:dyDescent="0.3">
      <c r="A6" s="43" t="s">
        <v>3</v>
      </c>
      <c r="B6" s="43">
        <v>1700</v>
      </c>
      <c r="C6" s="43"/>
      <c r="D6" s="72"/>
      <c r="F6" s="61"/>
      <c r="G6" s="43"/>
    </row>
    <row r="7" spans="1:8" x14ac:dyDescent="0.3">
      <c r="A7" s="43" t="s">
        <v>9</v>
      </c>
      <c r="B7" s="43">
        <v>433</v>
      </c>
      <c r="C7" s="43"/>
      <c r="D7" s="72"/>
      <c r="F7" s="43" t="s">
        <v>224</v>
      </c>
      <c r="G7" s="43">
        <f>SUM(G3:G5)</f>
        <v>108000</v>
      </c>
    </row>
    <row r="8" spans="1:8" x14ac:dyDescent="0.3">
      <c r="A8" s="43" t="s">
        <v>151</v>
      </c>
      <c r="B8" s="43">
        <v>11419</v>
      </c>
      <c r="C8" s="43"/>
      <c r="D8" s="72"/>
    </row>
    <row r="9" spans="1:8" x14ac:dyDescent="0.3">
      <c r="A9" s="43" t="s">
        <v>107</v>
      </c>
      <c r="B9" s="43">
        <v>590</v>
      </c>
      <c r="C9" s="43"/>
      <c r="D9" s="72"/>
    </row>
    <row r="10" spans="1:8" x14ac:dyDescent="0.3">
      <c r="A10" s="43" t="s">
        <v>247</v>
      </c>
      <c r="B10" s="43">
        <v>25000</v>
      </c>
      <c r="C10" s="60">
        <v>25000</v>
      </c>
      <c r="D10" s="72"/>
    </row>
    <row r="11" spans="1:8" x14ac:dyDescent="0.3">
      <c r="A11" s="43" t="s">
        <v>174</v>
      </c>
      <c r="B11" s="43">
        <v>1000</v>
      </c>
      <c r="C11" s="43"/>
      <c r="D11" s="72"/>
    </row>
    <row r="12" spans="1:8" x14ac:dyDescent="0.3">
      <c r="A12" s="43" t="s">
        <v>248</v>
      </c>
      <c r="B12" s="43"/>
      <c r="C12" s="43"/>
      <c r="D12" s="72">
        <v>18195</v>
      </c>
    </row>
    <row r="13" spans="1:8" x14ac:dyDescent="0.3">
      <c r="A13" s="43" t="s">
        <v>246</v>
      </c>
      <c r="B13" s="43">
        <v>1000</v>
      </c>
      <c r="C13" s="43"/>
      <c r="D13" s="72"/>
    </row>
    <row r="14" spans="1:8" x14ac:dyDescent="0.3">
      <c r="A14" s="43" t="s">
        <v>108</v>
      </c>
      <c r="B14" s="43">
        <v>1000</v>
      </c>
      <c r="C14" s="60">
        <v>1000</v>
      </c>
      <c r="D14" s="72"/>
      <c r="H14">
        <v>22683</v>
      </c>
    </row>
    <row r="15" spans="1:8" x14ac:dyDescent="0.3">
      <c r="A15" s="43"/>
      <c r="B15" s="43"/>
      <c r="C15" s="43"/>
      <c r="D15" s="72"/>
      <c r="H15">
        <v>4177.91</v>
      </c>
    </row>
    <row r="16" spans="1:8" x14ac:dyDescent="0.3">
      <c r="A16" s="64" t="s">
        <v>5</v>
      </c>
      <c r="B16" s="43">
        <f>SUM(B1:B15)</f>
        <v>153659</v>
      </c>
      <c r="C16" s="43">
        <f>SUM(C1:C15)</f>
        <v>44000</v>
      </c>
      <c r="D16" s="72"/>
      <c r="H16">
        <v>3075.21</v>
      </c>
    </row>
    <row r="17" spans="1:8" x14ac:dyDescent="0.3">
      <c r="A17" s="43"/>
      <c r="B17" s="43"/>
      <c r="C17" s="43"/>
      <c r="D17" s="72"/>
      <c r="H17">
        <f>(H15+H16)</f>
        <v>7253.12</v>
      </c>
    </row>
    <row r="18" spans="1:8" x14ac:dyDescent="0.3">
      <c r="A18" s="64" t="s">
        <v>228</v>
      </c>
      <c r="B18" s="43"/>
      <c r="C18" s="62">
        <f>(C16-B16)</f>
        <v>-109659</v>
      </c>
      <c r="D18" s="43" t="s">
        <v>227</v>
      </c>
      <c r="H18">
        <f>(H14-H15)</f>
        <v>18505.09</v>
      </c>
    </row>
    <row r="19" spans="1:8" x14ac:dyDescent="0.3">
      <c r="A19" s="64"/>
      <c r="B19" s="43"/>
      <c r="C19" s="43"/>
      <c r="D19" s="43"/>
    </row>
    <row r="20" spans="1:8" x14ac:dyDescent="0.3">
      <c r="A20" s="64" t="s">
        <v>225</v>
      </c>
      <c r="B20" s="43"/>
      <c r="C20" s="62">
        <f>(C18+G7)</f>
        <v>-1659</v>
      </c>
      <c r="D20" s="43"/>
      <c r="H20">
        <f>(H18-H16)</f>
        <v>15429.880000000001</v>
      </c>
    </row>
    <row r="21" spans="1:8" x14ac:dyDescent="0.3">
      <c r="A21" s="64"/>
      <c r="B21" s="43"/>
      <c r="C21" s="43"/>
      <c r="D21" s="4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3301-8B77-43F2-89D1-2474CD63CD03}">
  <dimension ref="A1:Q27"/>
  <sheetViews>
    <sheetView workbookViewId="0">
      <selection activeCell="G27" sqref="G27"/>
    </sheetView>
  </sheetViews>
  <sheetFormatPr defaultRowHeight="14.4" x14ac:dyDescent="0.3"/>
  <cols>
    <col min="1" max="1" width="16.88671875" bestFit="1" customWidth="1"/>
    <col min="2" max="2" width="10" bestFit="1" customWidth="1"/>
    <col min="3" max="3" width="11.109375" bestFit="1" customWidth="1"/>
    <col min="4" max="4" width="13.33203125" bestFit="1" customWidth="1"/>
    <col min="6" max="6" width="21.44140625" bestFit="1" customWidth="1"/>
    <col min="7" max="7" width="9.6640625" bestFit="1" customWidth="1"/>
    <col min="8" max="8" width="19.33203125" bestFit="1" customWidth="1"/>
    <col min="9" max="9" width="7.33203125" bestFit="1" customWidth="1"/>
    <col min="11" max="12" width="6.109375" bestFit="1" customWidth="1"/>
    <col min="13" max="13" width="17.6640625" bestFit="1" customWidth="1"/>
    <col min="14" max="14" width="8.88671875" bestFit="1" customWidth="1"/>
    <col min="16" max="16" width="6" bestFit="1" customWidth="1"/>
  </cols>
  <sheetData>
    <row r="1" spans="1:14" x14ac:dyDescent="0.3">
      <c r="A1" s="43" t="s">
        <v>6</v>
      </c>
      <c r="B1" s="73">
        <v>32000</v>
      </c>
      <c r="C1" s="53">
        <v>32000</v>
      </c>
      <c r="D1" s="72"/>
      <c r="M1" s="83" t="s">
        <v>266</v>
      </c>
      <c r="N1" s="93">
        <v>30000</v>
      </c>
    </row>
    <row r="2" spans="1:14" x14ac:dyDescent="0.3">
      <c r="A2" s="43" t="s">
        <v>0</v>
      </c>
      <c r="B2" s="43">
        <v>4354.08</v>
      </c>
      <c r="C2" s="56">
        <v>4354.08</v>
      </c>
      <c r="D2" s="72"/>
      <c r="M2" s="84" t="s">
        <v>265</v>
      </c>
      <c r="N2" s="100">
        <v>278000</v>
      </c>
    </row>
    <row r="3" spans="1:14" x14ac:dyDescent="0.3">
      <c r="A3" s="43" t="s">
        <v>1</v>
      </c>
      <c r="B3" s="43">
        <v>5000</v>
      </c>
      <c r="C3" s="53">
        <v>5000</v>
      </c>
      <c r="D3" s="72"/>
      <c r="F3" s="262" t="s">
        <v>6</v>
      </c>
      <c r="G3">
        <v>30000</v>
      </c>
      <c r="M3" s="84" t="s">
        <v>204</v>
      </c>
      <c r="N3" s="100">
        <v>500000</v>
      </c>
    </row>
    <row r="4" spans="1:14" x14ac:dyDescent="0.3">
      <c r="A4" s="43" t="s">
        <v>2</v>
      </c>
      <c r="B4" s="43">
        <v>17500</v>
      </c>
      <c r="C4" s="53">
        <v>17500</v>
      </c>
      <c r="D4" s="72"/>
      <c r="F4" s="262"/>
      <c r="G4">
        <v>33000</v>
      </c>
      <c r="M4" s="84" t="s">
        <v>205</v>
      </c>
      <c r="N4" s="100">
        <v>0</v>
      </c>
    </row>
    <row r="5" spans="1:14" ht="15" thickBot="1" x14ac:dyDescent="0.35">
      <c r="A5" s="43" t="s">
        <v>89</v>
      </c>
      <c r="B5" s="43">
        <v>32706</v>
      </c>
      <c r="C5" s="53">
        <v>32706</v>
      </c>
      <c r="D5" s="80" t="s">
        <v>258</v>
      </c>
      <c r="G5">
        <f>SUM(G3:G4)</f>
        <v>63000</v>
      </c>
      <c r="M5" s="84"/>
      <c r="N5" s="100"/>
    </row>
    <row r="6" spans="1:14" ht="15" thickBot="1" x14ac:dyDescent="0.35">
      <c r="A6" s="43" t="s">
        <v>3</v>
      </c>
      <c r="B6" s="43">
        <v>1680</v>
      </c>
      <c r="C6" s="60">
        <v>1680</v>
      </c>
      <c r="D6" s="72"/>
      <c r="H6" s="74" t="s">
        <v>250</v>
      </c>
      <c r="I6" s="75">
        <v>369932</v>
      </c>
      <c r="M6" s="99"/>
      <c r="N6" s="101">
        <f>SUM(N1:N4)</f>
        <v>808000</v>
      </c>
    </row>
    <row r="7" spans="1:14" ht="15" thickBot="1" x14ac:dyDescent="0.35">
      <c r="A7" s="43" t="s">
        <v>9</v>
      </c>
      <c r="B7" s="43">
        <v>225</v>
      </c>
      <c r="C7" s="53">
        <v>225</v>
      </c>
      <c r="D7" s="72"/>
      <c r="F7" t="s">
        <v>255</v>
      </c>
      <c r="G7">
        <v>300</v>
      </c>
      <c r="H7" s="74" t="s">
        <v>251</v>
      </c>
      <c r="I7" s="75">
        <v>270811</v>
      </c>
    </row>
    <row r="8" spans="1:14" ht="15" thickBot="1" x14ac:dyDescent="0.35">
      <c r="A8" s="43" t="s">
        <v>151</v>
      </c>
      <c r="B8" s="43">
        <v>11419</v>
      </c>
      <c r="C8" s="53">
        <v>11419</v>
      </c>
      <c r="D8" s="72"/>
      <c r="H8" s="74" t="s">
        <v>252</v>
      </c>
      <c r="I8" s="75">
        <v>640743</v>
      </c>
    </row>
    <row r="9" spans="1:14" ht="15" thickBot="1" x14ac:dyDescent="0.35">
      <c r="A9" s="43" t="s">
        <v>107</v>
      </c>
      <c r="B9" s="43">
        <v>590</v>
      </c>
      <c r="C9" s="60">
        <v>590</v>
      </c>
      <c r="D9" s="72"/>
      <c r="F9" s="88" t="s">
        <v>6</v>
      </c>
      <c r="G9" s="90">
        <v>808000</v>
      </c>
      <c r="K9" s="76">
        <v>369932</v>
      </c>
    </row>
    <row r="10" spans="1:14" x14ac:dyDescent="0.3">
      <c r="A10" s="43" t="s">
        <v>174</v>
      </c>
      <c r="B10" s="43">
        <v>5000</v>
      </c>
      <c r="C10" s="60">
        <v>3000</v>
      </c>
      <c r="D10" s="72"/>
      <c r="F10" s="87" t="s">
        <v>263</v>
      </c>
      <c r="G10" s="89">
        <v>300000</v>
      </c>
      <c r="H10">
        <f>(G10/50000)</f>
        <v>6</v>
      </c>
      <c r="K10" s="77">
        <v>270811</v>
      </c>
      <c r="M10" s="83" t="s">
        <v>253</v>
      </c>
      <c r="N10" s="93">
        <v>1500000</v>
      </c>
    </row>
    <row r="11" spans="1:14" x14ac:dyDescent="0.3">
      <c r="A11" s="43" t="s">
        <v>246</v>
      </c>
      <c r="B11" s="43">
        <v>959</v>
      </c>
      <c r="C11" s="60">
        <v>959</v>
      </c>
      <c r="D11" s="72"/>
      <c r="F11" s="43" t="s">
        <v>260</v>
      </c>
      <c r="G11" s="73">
        <f>(G9-G10)</f>
        <v>508000</v>
      </c>
      <c r="K11" s="77">
        <v>80450</v>
      </c>
      <c r="M11" s="84" t="s">
        <v>196</v>
      </c>
      <c r="N11" s="94">
        <v>641000</v>
      </c>
    </row>
    <row r="12" spans="1:14" x14ac:dyDescent="0.3">
      <c r="A12" s="43" t="s">
        <v>249</v>
      </c>
      <c r="B12" s="43">
        <v>12500</v>
      </c>
      <c r="C12" s="60">
        <v>12500</v>
      </c>
      <c r="D12" s="72"/>
      <c r="F12" s="43" t="s">
        <v>261</v>
      </c>
      <c r="G12" s="73">
        <v>100000</v>
      </c>
      <c r="M12" s="84" t="s">
        <v>177</v>
      </c>
      <c r="N12" s="94">
        <v>206000</v>
      </c>
    </row>
    <row r="13" spans="1:14" ht="15" thickBot="1" x14ac:dyDescent="0.35">
      <c r="A13" s="43" t="s">
        <v>256</v>
      </c>
      <c r="B13" s="43">
        <v>6859</v>
      </c>
      <c r="C13" s="53">
        <v>6859</v>
      </c>
      <c r="D13" s="72"/>
      <c r="F13" s="43"/>
      <c r="G13" s="73">
        <f>SUM(G11:G12)</f>
        <v>608000</v>
      </c>
      <c r="M13" s="84" t="s">
        <v>6</v>
      </c>
      <c r="N13" s="94">
        <v>63000</v>
      </c>
    </row>
    <row r="14" spans="1:14" ht="15" thickBot="1" x14ac:dyDescent="0.35">
      <c r="A14" s="43" t="s">
        <v>257</v>
      </c>
      <c r="B14" s="43">
        <v>1900</v>
      </c>
      <c r="C14" s="53">
        <v>1900</v>
      </c>
      <c r="D14" s="72"/>
      <c r="F14" s="43" t="s">
        <v>262</v>
      </c>
      <c r="G14" s="73">
        <v>1500000</v>
      </c>
      <c r="K14" s="78">
        <v>348720</v>
      </c>
      <c r="L14" s="81">
        <v>254599</v>
      </c>
      <c r="M14" s="84"/>
      <c r="N14" s="95">
        <f>SUM(N11:N13)</f>
        <v>910000</v>
      </c>
    </row>
    <row r="15" spans="1:14" x14ac:dyDescent="0.3">
      <c r="A15" s="43" t="s">
        <v>110</v>
      </c>
      <c r="B15" s="43">
        <v>1400</v>
      </c>
      <c r="C15" s="53">
        <v>1400</v>
      </c>
      <c r="D15" s="72"/>
      <c r="F15" s="43"/>
      <c r="G15" s="73"/>
      <c r="M15" s="84" t="s">
        <v>259</v>
      </c>
      <c r="N15" s="95">
        <v>100000</v>
      </c>
    </row>
    <row r="16" spans="1:14" ht="15" thickBot="1" x14ac:dyDescent="0.35">
      <c r="A16" s="43" t="s">
        <v>259</v>
      </c>
      <c r="B16" s="43">
        <v>100000</v>
      </c>
      <c r="C16" s="53">
        <v>100000</v>
      </c>
      <c r="D16" s="72"/>
      <c r="F16" s="85"/>
      <c r="G16" s="91"/>
      <c r="M16" s="84"/>
      <c r="N16" s="96">
        <f>(N14-N15)</f>
        <v>810000</v>
      </c>
    </row>
    <row r="17" spans="1:17" ht="15" thickBot="1" x14ac:dyDescent="0.35">
      <c r="A17" s="43"/>
      <c r="B17" s="43"/>
      <c r="C17" s="43"/>
      <c r="D17" s="72"/>
      <c r="F17" s="86" t="s">
        <v>264</v>
      </c>
      <c r="G17" s="92">
        <f>(G13-G14)</f>
        <v>-892000</v>
      </c>
      <c r="M17" s="82"/>
      <c r="N17" s="97"/>
    </row>
    <row r="18" spans="1:17" ht="15" thickBot="1" x14ac:dyDescent="0.35">
      <c r="A18" s="64" t="s">
        <v>5</v>
      </c>
      <c r="B18" s="43">
        <f>SUM(B1:B16)</f>
        <v>234092.08000000002</v>
      </c>
      <c r="C18" s="43">
        <f>SUM(C1:C16)</f>
        <v>232092.08000000002</v>
      </c>
      <c r="D18" s="72"/>
      <c r="M18" s="82"/>
      <c r="N18" s="97"/>
    </row>
    <row r="19" spans="1:17" ht="15" thickBot="1" x14ac:dyDescent="0.35">
      <c r="A19" s="43"/>
      <c r="B19" s="43"/>
      <c r="C19" s="43"/>
      <c r="D19" s="72"/>
      <c r="I19">
        <v>641000</v>
      </c>
      <c r="M19" s="69" t="s">
        <v>254</v>
      </c>
      <c r="N19" s="98">
        <f>(N16-N10)</f>
        <v>-690000</v>
      </c>
    </row>
    <row r="20" spans="1:17" x14ac:dyDescent="0.3">
      <c r="A20" s="64" t="s">
        <v>228</v>
      </c>
      <c r="B20" s="43"/>
      <c r="C20" s="62">
        <f>(C18-B18)</f>
        <v>-2000</v>
      </c>
      <c r="D20" s="43" t="s">
        <v>227</v>
      </c>
      <c r="I20">
        <v>60000</v>
      </c>
    </row>
    <row r="21" spans="1:17" x14ac:dyDescent="0.3">
      <c r="A21" s="64"/>
      <c r="B21" s="43"/>
      <c r="C21" s="43"/>
      <c r="D21" s="43"/>
    </row>
    <row r="22" spans="1:17" x14ac:dyDescent="0.3">
      <c r="A22" s="64" t="s">
        <v>225</v>
      </c>
      <c r="B22" s="43"/>
      <c r="C22" s="62">
        <f>(C20+G7)</f>
        <v>-1700</v>
      </c>
      <c r="D22" s="43"/>
      <c r="G22" s="79">
        <f>(G5+C22)</f>
        <v>61300</v>
      </c>
      <c r="Q22">
        <v>27820</v>
      </c>
    </row>
    <row r="23" spans="1:17" x14ac:dyDescent="0.3">
      <c r="A23" s="64"/>
      <c r="B23" s="43"/>
      <c r="C23" s="43"/>
      <c r="D23" s="43"/>
      <c r="P23">
        <v>10</v>
      </c>
      <c r="Q23">
        <v>3000</v>
      </c>
    </row>
    <row r="25" spans="1:17" x14ac:dyDescent="0.3">
      <c r="Q25">
        <f>SUM(Q22:Q24)</f>
        <v>30820</v>
      </c>
    </row>
    <row r="26" spans="1:17" x14ac:dyDescent="0.3">
      <c r="Q26">
        <v>1886</v>
      </c>
    </row>
    <row r="27" spans="1:17" x14ac:dyDescent="0.3">
      <c r="Q27">
        <f>(Q25+Q26)</f>
        <v>32706</v>
      </c>
    </row>
  </sheetData>
  <mergeCells count="1">
    <mergeCell ref="F3:F4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9C93D-4ABA-462A-96E1-14FDDA27B542}">
  <dimension ref="A1:R43"/>
  <sheetViews>
    <sheetView topLeftCell="A2" zoomScale="93" workbookViewId="0">
      <selection activeCell="G27" sqref="G27"/>
    </sheetView>
  </sheetViews>
  <sheetFormatPr defaultRowHeight="14.4" x14ac:dyDescent="0.3"/>
  <cols>
    <col min="1" max="1" width="20.6640625" bestFit="1" customWidth="1"/>
    <col min="2" max="2" width="10" bestFit="1" customWidth="1"/>
    <col min="3" max="3" width="11.6640625" bestFit="1" customWidth="1"/>
    <col min="4" max="4" width="18" bestFit="1" customWidth="1"/>
    <col min="6" max="6" width="21.44140625" bestFit="1" customWidth="1"/>
    <col min="7" max="7" width="11.109375" bestFit="1" customWidth="1"/>
    <col min="8" max="8" width="19.33203125" bestFit="1" customWidth="1"/>
    <col min="9" max="9" width="9.109375" bestFit="1" customWidth="1"/>
    <col min="11" max="11" width="7" bestFit="1" customWidth="1"/>
    <col min="12" max="12" width="6.109375" bestFit="1" customWidth="1"/>
    <col min="13" max="13" width="17.6640625" bestFit="1" customWidth="1"/>
    <col min="14" max="14" width="9.5546875" bestFit="1" customWidth="1"/>
    <col min="16" max="16" width="6.44140625" bestFit="1" customWidth="1"/>
    <col min="17" max="17" width="11.109375" bestFit="1" customWidth="1"/>
  </cols>
  <sheetData>
    <row r="1" spans="1:18" ht="15" thickBot="1" x14ac:dyDescent="0.35">
      <c r="A1" s="43" t="s">
        <v>6</v>
      </c>
      <c r="B1" s="73">
        <v>32000</v>
      </c>
      <c r="C1" s="108">
        <v>32000</v>
      </c>
      <c r="D1" s="72"/>
      <c r="M1" s="83" t="s">
        <v>266</v>
      </c>
      <c r="N1" s="93">
        <v>30000</v>
      </c>
    </row>
    <row r="2" spans="1:18" x14ac:dyDescent="0.3">
      <c r="A2" s="43" t="s">
        <v>0</v>
      </c>
      <c r="B2" s="43">
        <v>4407.91</v>
      </c>
      <c r="C2" s="53">
        <v>4407.91</v>
      </c>
      <c r="D2" s="72"/>
      <c r="F2" s="264" t="s">
        <v>277</v>
      </c>
      <c r="G2" s="265"/>
      <c r="M2" s="84" t="s">
        <v>265</v>
      </c>
      <c r="N2" s="100">
        <v>280000</v>
      </c>
      <c r="O2">
        <v>277400</v>
      </c>
      <c r="P2" s="30">
        <f>(O2-N2)</f>
        <v>-2600</v>
      </c>
    </row>
    <row r="3" spans="1:18" x14ac:dyDescent="0.3">
      <c r="A3" s="43" t="s">
        <v>1</v>
      </c>
      <c r="B3" s="43">
        <v>5000</v>
      </c>
      <c r="C3" s="53">
        <v>5000</v>
      </c>
      <c r="D3" s="72"/>
      <c r="F3" s="43" t="s">
        <v>265</v>
      </c>
      <c r="G3" s="73">
        <v>80000</v>
      </c>
      <c r="M3" s="84" t="s">
        <v>204</v>
      </c>
      <c r="N3" s="100">
        <v>500000</v>
      </c>
      <c r="O3">
        <v>499300</v>
      </c>
      <c r="P3" s="30">
        <f>(O3-N3)</f>
        <v>-700</v>
      </c>
    </row>
    <row r="4" spans="1:18" x14ac:dyDescent="0.3">
      <c r="A4" s="43" t="s">
        <v>2</v>
      </c>
      <c r="B4" s="43">
        <v>2000</v>
      </c>
      <c r="C4" s="53">
        <v>2000</v>
      </c>
      <c r="D4" s="72"/>
      <c r="F4" s="43" t="s">
        <v>204</v>
      </c>
      <c r="G4" s="73">
        <v>5000</v>
      </c>
      <c r="M4" s="84" t="s">
        <v>205</v>
      </c>
      <c r="N4" s="100">
        <v>0</v>
      </c>
    </row>
    <row r="5" spans="1:18" ht="15" thickBot="1" x14ac:dyDescent="0.35">
      <c r="A5" s="43" t="s">
        <v>89</v>
      </c>
      <c r="B5" s="43">
        <v>32706</v>
      </c>
      <c r="C5" s="53">
        <v>32706</v>
      </c>
      <c r="D5" s="43"/>
      <c r="F5" s="43" t="s">
        <v>205</v>
      </c>
      <c r="G5" s="43">
        <v>0</v>
      </c>
      <c r="M5" s="84"/>
      <c r="N5" s="100"/>
    </row>
    <row r="6" spans="1:18" ht="15" thickBot="1" x14ac:dyDescent="0.35">
      <c r="A6" s="43" t="s">
        <v>3</v>
      </c>
      <c r="B6" s="43">
        <v>1650</v>
      </c>
      <c r="C6" s="53">
        <v>1650</v>
      </c>
      <c r="D6" s="72"/>
      <c r="F6" s="43" t="s">
        <v>255</v>
      </c>
      <c r="G6" s="73">
        <f>SUM(G3:G5)</f>
        <v>85000</v>
      </c>
      <c r="H6" s="107" t="s">
        <v>250</v>
      </c>
      <c r="I6" s="75">
        <v>369932</v>
      </c>
      <c r="M6" s="99"/>
      <c r="N6" s="101">
        <f>SUM(N1:N4)</f>
        <v>810000</v>
      </c>
      <c r="P6" s="30">
        <f>SUM(P2:P3)</f>
        <v>-3300</v>
      </c>
    </row>
    <row r="7" spans="1:18" ht="15" thickBot="1" x14ac:dyDescent="0.35">
      <c r="A7" s="43" t="s">
        <v>9</v>
      </c>
      <c r="B7" s="43">
        <v>480</v>
      </c>
      <c r="C7" s="53">
        <v>480</v>
      </c>
      <c r="D7" s="72"/>
      <c r="F7" s="43" t="s">
        <v>115</v>
      </c>
      <c r="G7" s="73">
        <v>109810</v>
      </c>
      <c r="H7" s="107" t="s">
        <v>251</v>
      </c>
      <c r="I7" s="75">
        <v>270811</v>
      </c>
    </row>
    <row r="8" spans="1:18" ht="15" thickBot="1" x14ac:dyDescent="0.35">
      <c r="A8" s="43" t="s">
        <v>151</v>
      </c>
      <c r="B8" s="43">
        <v>11419</v>
      </c>
      <c r="C8" s="53">
        <v>11419</v>
      </c>
      <c r="D8" s="72"/>
      <c r="H8" s="74" t="s">
        <v>252</v>
      </c>
      <c r="I8" s="75">
        <v>640743</v>
      </c>
      <c r="Q8" s="263" t="s">
        <v>275</v>
      </c>
      <c r="R8" s="263"/>
    </row>
    <row r="9" spans="1:18" ht="15" thickBot="1" x14ac:dyDescent="0.35">
      <c r="A9" s="43" t="s">
        <v>107</v>
      </c>
      <c r="B9" s="43">
        <v>590</v>
      </c>
      <c r="C9" s="53">
        <v>590</v>
      </c>
      <c r="D9" s="72"/>
      <c r="F9" s="88" t="s">
        <v>6</v>
      </c>
      <c r="G9" s="90">
        <v>810000</v>
      </c>
      <c r="K9" s="76">
        <v>369932</v>
      </c>
      <c r="Q9" s="43" t="s">
        <v>177</v>
      </c>
      <c r="R9" s="43">
        <v>32000</v>
      </c>
    </row>
    <row r="10" spans="1:18" x14ac:dyDescent="0.3">
      <c r="A10" s="43" t="s">
        <v>174</v>
      </c>
      <c r="B10" s="43">
        <v>2000</v>
      </c>
      <c r="C10" s="53">
        <v>2000</v>
      </c>
      <c r="D10" s="72"/>
      <c r="F10" s="87" t="s">
        <v>263</v>
      </c>
      <c r="G10" s="89">
        <v>300000</v>
      </c>
      <c r="H10">
        <f>(G10/50000)</f>
        <v>6</v>
      </c>
      <c r="K10" s="77">
        <v>270811</v>
      </c>
      <c r="M10" s="83" t="s">
        <v>253</v>
      </c>
      <c r="N10" s="93">
        <v>1500000</v>
      </c>
      <c r="Q10" s="43" t="s">
        <v>2</v>
      </c>
      <c r="R10" s="43"/>
    </row>
    <row r="11" spans="1:18" x14ac:dyDescent="0.3">
      <c r="A11" s="43" t="s">
        <v>246</v>
      </c>
      <c r="B11" s="43">
        <v>1000</v>
      </c>
      <c r="C11" s="53">
        <v>1000</v>
      </c>
      <c r="D11" s="72"/>
      <c r="F11" s="43" t="s">
        <v>260</v>
      </c>
      <c r="G11" s="73">
        <f>(G9-G10)</f>
        <v>510000</v>
      </c>
      <c r="K11" s="77">
        <v>80450</v>
      </c>
      <c r="M11" s="84" t="s">
        <v>196</v>
      </c>
      <c r="N11" s="94">
        <v>641000</v>
      </c>
      <c r="Q11" s="43" t="s">
        <v>270</v>
      </c>
      <c r="R11" s="43">
        <v>32706</v>
      </c>
    </row>
    <row r="12" spans="1:18" x14ac:dyDescent="0.3">
      <c r="A12" s="43" t="s">
        <v>249</v>
      </c>
      <c r="B12" s="43">
        <v>10000</v>
      </c>
      <c r="C12" s="53">
        <v>10000</v>
      </c>
      <c r="D12" s="72" t="s">
        <v>300</v>
      </c>
      <c r="F12" s="43" t="s">
        <v>261</v>
      </c>
      <c r="G12" s="73">
        <v>100000</v>
      </c>
      <c r="M12" s="84" t="s">
        <v>177</v>
      </c>
      <c r="N12" s="94">
        <v>206000</v>
      </c>
      <c r="Q12" s="43" t="s">
        <v>271</v>
      </c>
      <c r="R12" s="43">
        <v>480</v>
      </c>
    </row>
    <row r="13" spans="1:18" ht="15" thickBot="1" x14ac:dyDescent="0.35">
      <c r="A13" s="115" t="s">
        <v>259</v>
      </c>
      <c r="B13" s="115">
        <v>25000</v>
      </c>
      <c r="C13" s="115">
        <v>25000</v>
      </c>
      <c r="D13" s="72"/>
      <c r="F13" s="43"/>
      <c r="G13" s="73">
        <f>SUM(G11:G12)</f>
        <v>610000</v>
      </c>
      <c r="M13" s="84" t="s">
        <v>6</v>
      </c>
      <c r="N13" s="94">
        <v>63000</v>
      </c>
      <c r="Q13" s="43" t="s">
        <v>272</v>
      </c>
      <c r="R13" s="43">
        <v>2500</v>
      </c>
    </row>
    <row r="14" spans="1:18" ht="15" thickBot="1" x14ac:dyDescent="0.35">
      <c r="A14" s="43" t="s">
        <v>267</v>
      </c>
      <c r="B14" s="43">
        <v>1600</v>
      </c>
      <c r="C14" s="53">
        <v>1600</v>
      </c>
      <c r="D14" s="72"/>
      <c r="F14" s="43" t="s">
        <v>262</v>
      </c>
      <c r="G14" s="73">
        <v>1500000</v>
      </c>
      <c r="K14" s="78">
        <v>348720</v>
      </c>
      <c r="L14" s="81">
        <v>254599</v>
      </c>
      <c r="M14" s="110" t="s">
        <v>290</v>
      </c>
      <c r="N14" s="109">
        <f>SUM(N11:N13)</f>
        <v>910000</v>
      </c>
      <c r="Q14" s="43"/>
      <c r="R14" s="43"/>
    </row>
    <row r="15" spans="1:18" x14ac:dyDescent="0.3">
      <c r="A15" s="43" t="s">
        <v>242</v>
      </c>
      <c r="B15" s="43">
        <v>1000</v>
      </c>
      <c r="C15" s="53">
        <v>1000</v>
      </c>
      <c r="D15" s="72"/>
      <c r="F15" s="43"/>
      <c r="G15" s="73"/>
      <c r="M15" s="84" t="s">
        <v>259</v>
      </c>
      <c r="N15" s="95">
        <v>100000</v>
      </c>
      <c r="Q15" s="43" t="s">
        <v>274</v>
      </c>
      <c r="R15" s="72">
        <f>SUM(R9:R13)</f>
        <v>67686</v>
      </c>
    </row>
    <row r="16" spans="1:18" ht="15" thickBot="1" x14ac:dyDescent="0.35">
      <c r="A16" s="43" t="s">
        <v>285</v>
      </c>
      <c r="B16" s="43">
        <v>1240</v>
      </c>
      <c r="C16" s="111">
        <v>1240</v>
      </c>
      <c r="D16" s="72"/>
      <c r="F16" s="85"/>
      <c r="G16" s="91"/>
      <c r="M16" s="102" t="s">
        <v>269</v>
      </c>
      <c r="N16" s="96">
        <f>(N14-N15)</f>
        <v>810000</v>
      </c>
      <c r="Q16" s="43"/>
      <c r="R16" s="43"/>
    </row>
    <row r="17" spans="1:18" ht="15" thickBot="1" x14ac:dyDescent="0.35">
      <c r="A17" s="43" t="s">
        <v>286</v>
      </c>
      <c r="B17" s="43">
        <v>1500</v>
      </c>
      <c r="C17" s="111">
        <v>1500</v>
      </c>
      <c r="D17" s="72"/>
      <c r="F17" s="86" t="s">
        <v>264</v>
      </c>
      <c r="G17" s="92">
        <f>(G13-G14)</f>
        <v>-890000</v>
      </c>
      <c r="M17" s="82"/>
      <c r="N17" s="97"/>
      <c r="Q17" s="64" t="s">
        <v>225</v>
      </c>
      <c r="R17" s="106">
        <f>(G7-R15)</f>
        <v>42124</v>
      </c>
    </row>
    <row r="18" spans="1:18" ht="15" thickBot="1" x14ac:dyDescent="0.35">
      <c r="A18" s="43" t="s">
        <v>292</v>
      </c>
      <c r="B18" s="43">
        <v>5000</v>
      </c>
      <c r="C18" s="111">
        <v>5000</v>
      </c>
      <c r="D18" s="43"/>
      <c r="M18" s="82"/>
      <c r="N18" s="97"/>
    </row>
    <row r="19" spans="1:18" ht="15" thickBot="1" x14ac:dyDescent="0.35">
      <c r="D19" s="43"/>
      <c r="I19" s="64" t="s">
        <v>282</v>
      </c>
      <c r="M19" s="69" t="s">
        <v>254</v>
      </c>
      <c r="N19" s="98">
        <f>(N16-N10)</f>
        <v>-690000</v>
      </c>
    </row>
    <row r="20" spans="1:18" x14ac:dyDescent="0.3">
      <c r="A20" s="43"/>
      <c r="B20" s="43"/>
      <c r="C20" s="43"/>
      <c r="D20" s="43"/>
      <c r="F20" s="43" t="s">
        <v>182</v>
      </c>
      <c r="G20" s="73">
        <v>335000</v>
      </c>
      <c r="H20" s="43" t="s">
        <v>278</v>
      </c>
      <c r="I20" s="73">
        <f>(C21-G20)</f>
        <v>-135000</v>
      </c>
    </row>
    <row r="21" spans="1:18" x14ac:dyDescent="0.3">
      <c r="A21" s="115" t="s">
        <v>284</v>
      </c>
      <c r="B21" s="115">
        <v>200000</v>
      </c>
      <c r="C21" s="115">
        <v>200000</v>
      </c>
      <c r="D21" s="43" t="s">
        <v>283</v>
      </c>
      <c r="F21" s="87" t="s">
        <v>260</v>
      </c>
      <c r="G21" s="89">
        <v>500000</v>
      </c>
      <c r="M21" s="43" t="s">
        <v>273</v>
      </c>
      <c r="N21" s="73">
        <v>125000</v>
      </c>
    </row>
    <row r="22" spans="1:18" x14ac:dyDescent="0.3">
      <c r="A22" s="64" t="s">
        <v>5</v>
      </c>
      <c r="B22" s="43">
        <f>SUM(B1:B21)</f>
        <v>338592.91000000003</v>
      </c>
      <c r="C22" s="43">
        <f>SUM(C1:C21)</f>
        <v>338592.91000000003</v>
      </c>
      <c r="D22" s="72"/>
      <c r="F22" s="43" t="s">
        <v>273</v>
      </c>
      <c r="G22" s="73">
        <v>30000</v>
      </c>
      <c r="M22" s="43" t="s">
        <v>289</v>
      </c>
      <c r="N22" s="73">
        <v>200000</v>
      </c>
    </row>
    <row r="23" spans="1:18" x14ac:dyDescent="0.3">
      <c r="A23" s="43"/>
      <c r="B23" s="43"/>
      <c r="C23" s="43"/>
      <c r="D23" s="72"/>
      <c r="F23" s="43"/>
      <c r="G23" s="73">
        <f>SUM(G20:G22)</f>
        <v>865000</v>
      </c>
      <c r="M23" s="43" t="s">
        <v>287</v>
      </c>
      <c r="N23" s="73">
        <v>10000</v>
      </c>
    </row>
    <row r="24" spans="1:18" ht="15" thickBot="1" x14ac:dyDescent="0.35">
      <c r="A24" s="64" t="s">
        <v>228</v>
      </c>
      <c r="B24" s="43"/>
      <c r="C24" s="62">
        <f>(C22-B22)</f>
        <v>0</v>
      </c>
      <c r="D24" s="43" t="s">
        <v>227</v>
      </c>
      <c r="F24" s="85"/>
      <c r="G24" s="85"/>
      <c r="M24" s="43" t="s">
        <v>5</v>
      </c>
      <c r="N24" s="73">
        <f>SUM(N21:N23)</f>
        <v>335000</v>
      </c>
    </row>
    <row r="25" spans="1:18" ht="15" thickBot="1" x14ac:dyDescent="0.35">
      <c r="A25" s="64"/>
      <c r="B25" s="43"/>
      <c r="C25" s="43"/>
      <c r="D25" s="43"/>
      <c r="F25" s="103" t="s">
        <v>276</v>
      </c>
      <c r="G25" s="92">
        <f>(N16-G23)</f>
        <v>-55000</v>
      </c>
      <c r="M25" s="43"/>
      <c r="N25" s="106">
        <f>(N14-N24)</f>
        <v>575000</v>
      </c>
      <c r="R25" s="30"/>
    </row>
    <row r="26" spans="1:18" x14ac:dyDescent="0.3">
      <c r="A26" s="64" t="s">
        <v>225</v>
      </c>
      <c r="B26" s="43"/>
      <c r="C26" s="62">
        <f>(G7-B22)</f>
        <v>-228782.91000000003</v>
      </c>
      <c r="D26" s="43"/>
      <c r="M26" s="43"/>
      <c r="N26" s="73"/>
      <c r="R26" s="30"/>
    </row>
    <row r="27" spans="1:18" ht="15" thickBot="1" x14ac:dyDescent="0.35">
      <c r="M27" s="43" t="s">
        <v>288</v>
      </c>
      <c r="N27" s="73">
        <v>573000</v>
      </c>
    </row>
    <row r="28" spans="1:18" ht="15" thickBot="1" x14ac:dyDescent="0.35">
      <c r="A28" s="266" t="s">
        <v>303</v>
      </c>
      <c r="B28" s="267"/>
      <c r="C28" s="117">
        <f>ROUND(SUM(C16:C18),-3)</f>
        <v>8000</v>
      </c>
      <c r="H28" s="43" t="s">
        <v>279</v>
      </c>
      <c r="I28" s="43">
        <v>49700</v>
      </c>
      <c r="J28" s="43">
        <f>(I28*K28)</f>
        <v>298200</v>
      </c>
      <c r="K28" s="43">
        <v>6</v>
      </c>
      <c r="M28" s="43"/>
      <c r="N28" s="85"/>
    </row>
    <row r="29" spans="1:18" ht="15" thickBot="1" x14ac:dyDescent="0.35">
      <c r="H29" s="43" t="s">
        <v>280</v>
      </c>
      <c r="I29" s="43"/>
      <c r="J29" s="43">
        <f>(J28*K29/100)</f>
        <v>32802</v>
      </c>
      <c r="K29" s="43">
        <v>11</v>
      </c>
      <c r="M29" s="104" t="s">
        <v>291</v>
      </c>
      <c r="N29" s="105">
        <f>(N27-N25)</f>
        <v>-2000</v>
      </c>
    </row>
    <row r="30" spans="1:18" x14ac:dyDescent="0.3">
      <c r="H30" s="43" t="s">
        <v>281</v>
      </c>
      <c r="I30" s="43"/>
      <c r="J30" s="43">
        <v>6000</v>
      </c>
      <c r="K30" s="43"/>
    </row>
    <row r="31" spans="1:18" x14ac:dyDescent="0.3">
      <c r="H31" s="43"/>
      <c r="I31" s="43"/>
      <c r="J31" s="43">
        <f>(J29+J30)</f>
        <v>38802</v>
      </c>
      <c r="K31" s="43"/>
      <c r="M31" s="43" t="s">
        <v>293</v>
      </c>
      <c r="N31" s="43">
        <v>20000</v>
      </c>
    </row>
    <row r="32" spans="1:18" x14ac:dyDescent="0.3">
      <c r="H32" s="43"/>
      <c r="I32" s="43"/>
      <c r="J32" s="43">
        <f>(J28+J31)</f>
        <v>337002</v>
      </c>
      <c r="K32" s="43"/>
      <c r="M32" s="43"/>
      <c r="N32" s="43"/>
    </row>
    <row r="33" spans="13:15" x14ac:dyDescent="0.3">
      <c r="M33" s="43" t="s">
        <v>292</v>
      </c>
      <c r="N33" s="43">
        <v>5000</v>
      </c>
      <c r="O33" s="43"/>
    </row>
    <row r="34" spans="13:15" x14ac:dyDescent="0.3">
      <c r="M34" s="43" t="s">
        <v>285</v>
      </c>
      <c r="N34" s="43">
        <v>1240</v>
      </c>
      <c r="O34" s="43"/>
    </row>
    <row r="35" spans="13:15" x14ac:dyDescent="0.3">
      <c r="M35" s="43" t="s">
        <v>286</v>
      </c>
      <c r="N35" s="43">
        <v>1500</v>
      </c>
      <c r="O35" s="43"/>
    </row>
    <row r="36" spans="13:15" x14ac:dyDescent="0.3">
      <c r="M36" s="43" t="s">
        <v>165</v>
      </c>
      <c r="N36" s="43">
        <v>3000</v>
      </c>
      <c r="O36" s="43">
        <v>17000</v>
      </c>
    </row>
    <row r="37" spans="13:15" x14ac:dyDescent="0.3">
      <c r="M37" s="43" t="s">
        <v>294</v>
      </c>
      <c r="N37" s="43">
        <v>2000</v>
      </c>
      <c r="O37" s="43"/>
    </row>
    <row r="38" spans="13:15" x14ac:dyDescent="0.3">
      <c r="M38" s="43" t="s">
        <v>5</v>
      </c>
      <c r="N38" s="43">
        <f>SUM(N33:N37)</f>
        <v>12740</v>
      </c>
      <c r="O38" s="43"/>
    </row>
    <row r="39" spans="13:15" x14ac:dyDescent="0.3">
      <c r="M39" s="43"/>
      <c r="N39" s="43"/>
      <c r="O39" s="43"/>
    </row>
    <row r="40" spans="13:15" x14ac:dyDescent="0.3">
      <c r="M40" s="43" t="s">
        <v>288</v>
      </c>
      <c r="N40" s="43">
        <v>3100</v>
      </c>
      <c r="O40" s="43"/>
    </row>
    <row r="41" spans="13:15" x14ac:dyDescent="0.3">
      <c r="M41" s="43"/>
      <c r="N41" s="43"/>
      <c r="O41" s="43"/>
    </row>
    <row r="42" spans="13:15" x14ac:dyDescent="0.3">
      <c r="M42" s="43" t="s">
        <v>5</v>
      </c>
      <c r="N42" s="43">
        <f>(N38+N40)</f>
        <v>15840</v>
      </c>
      <c r="O42" s="43"/>
    </row>
    <row r="43" spans="13:15" x14ac:dyDescent="0.3">
      <c r="M43" s="43" t="s">
        <v>203</v>
      </c>
      <c r="N43" s="43">
        <v>1200</v>
      </c>
      <c r="O43" s="43"/>
    </row>
  </sheetData>
  <mergeCells count="3">
    <mergeCell ref="Q8:R8"/>
    <mergeCell ref="F2:G2"/>
    <mergeCell ref="A28:B28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606F6-ECA4-4173-A914-1CA2992C2CE4}">
  <dimension ref="A1:R43"/>
  <sheetViews>
    <sheetView workbookViewId="0">
      <selection activeCell="G27" sqref="G27"/>
    </sheetView>
  </sheetViews>
  <sheetFormatPr defaultRowHeight="14.4" x14ac:dyDescent="0.3"/>
  <cols>
    <col min="1" max="1" width="18.88671875" bestFit="1" customWidth="1"/>
    <col min="2" max="2" width="10" bestFit="1" customWidth="1"/>
    <col min="3" max="3" width="11.109375" bestFit="1" customWidth="1"/>
    <col min="4" max="4" width="13.33203125" bestFit="1" customWidth="1"/>
    <col min="6" max="6" width="21.44140625" bestFit="1" customWidth="1"/>
    <col min="7" max="7" width="8.88671875" bestFit="1" customWidth="1"/>
    <col min="8" max="8" width="19.33203125" bestFit="1" customWidth="1"/>
    <col min="9" max="9" width="8.5546875" bestFit="1" customWidth="1"/>
    <col min="10" max="10" width="7" bestFit="1" customWidth="1"/>
    <col min="11" max="12" width="6.109375" bestFit="1" customWidth="1"/>
    <col min="13" max="13" width="17.6640625" bestFit="1" customWidth="1"/>
    <col min="14" max="14" width="8.88671875" bestFit="1" customWidth="1"/>
    <col min="15" max="15" width="8.6640625" bestFit="1" customWidth="1"/>
    <col min="16" max="16" width="6.44140625" bestFit="1" customWidth="1"/>
    <col min="17" max="17" width="11.109375" bestFit="1" customWidth="1"/>
  </cols>
  <sheetData>
    <row r="1" spans="1:16" ht="15" thickBot="1" x14ac:dyDescent="0.35">
      <c r="A1" s="43" t="s">
        <v>6</v>
      </c>
      <c r="B1" s="73">
        <v>34000</v>
      </c>
      <c r="C1" s="53">
        <v>34000</v>
      </c>
      <c r="D1" s="72"/>
      <c r="M1" s="83" t="s">
        <v>253</v>
      </c>
      <c r="N1" s="93">
        <v>1500000</v>
      </c>
    </row>
    <row r="2" spans="1:16" x14ac:dyDescent="0.3">
      <c r="A2" s="43" t="s">
        <v>0</v>
      </c>
      <c r="B2" s="43">
        <v>4307.5600000000004</v>
      </c>
      <c r="C2" s="53">
        <v>4307.5600000000004</v>
      </c>
      <c r="D2" s="72"/>
      <c r="F2" s="264" t="s">
        <v>277</v>
      </c>
      <c r="G2" s="265"/>
      <c r="M2" s="84" t="s">
        <v>196</v>
      </c>
      <c r="N2" s="94">
        <v>641000</v>
      </c>
      <c r="P2" s="30"/>
    </row>
    <row r="3" spans="1:16" x14ac:dyDescent="0.3">
      <c r="A3" s="43" t="s">
        <v>1</v>
      </c>
      <c r="B3" s="43">
        <v>5000</v>
      </c>
      <c r="C3" s="53">
        <v>5000</v>
      </c>
      <c r="D3" s="72"/>
      <c r="F3" s="43" t="s">
        <v>265</v>
      </c>
      <c r="G3" s="73">
        <v>84000</v>
      </c>
      <c r="H3">
        <v>50000</v>
      </c>
      <c r="I3" s="30">
        <f>(G3+H3)</f>
        <v>134000</v>
      </c>
      <c r="M3" s="84" t="s">
        <v>177</v>
      </c>
      <c r="N3" s="94">
        <v>206000</v>
      </c>
      <c r="P3" s="30"/>
    </row>
    <row r="4" spans="1:16" x14ac:dyDescent="0.3">
      <c r="A4" s="43" t="s">
        <v>2</v>
      </c>
      <c r="B4" s="43">
        <v>2000</v>
      </c>
      <c r="C4" s="53">
        <v>2000</v>
      </c>
      <c r="D4" s="72"/>
      <c r="F4" s="43" t="s">
        <v>204</v>
      </c>
      <c r="G4" s="73">
        <v>362500</v>
      </c>
      <c r="H4">
        <v>99999</v>
      </c>
      <c r="M4" s="84" t="s">
        <v>6</v>
      </c>
      <c r="N4" s="94">
        <v>63000</v>
      </c>
    </row>
    <row r="5" spans="1:16" ht="15" thickBot="1" x14ac:dyDescent="0.35">
      <c r="A5" s="43" t="s">
        <v>89</v>
      </c>
      <c r="B5" s="43">
        <v>32706</v>
      </c>
      <c r="C5" s="53">
        <v>32706</v>
      </c>
      <c r="D5" s="43"/>
      <c r="F5" s="43" t="s">
        <v>205</v>
      </c>
      <c r="G5" s="43">
        <v>0</v>
      </c>
      <c r="M5" s="110" t="s">
        <v>290</v>
      </c>
      <c r="N5" s="109">
        <f>SUM(N2:N4)</f>
        <v>910000</v>
      </c>
    </row>
    <row r="6" spans="1:16" ht="15" thickBot="1" x14ac:dyDescent="0.35">
      <c r="A6" s="43" t="s">
        <v>3</v>
      </c>
      <c r="B6" s="43">
        <v>1650</v>
      </c>
      <c r="C6" s="53">
        <v>1650</v>
      </c>
      <c r="D6" s="72"/>
      <c r="F6" s="43" t="s">
        <v>255</v>
      </c>
      <c r="G6" s="73">
        <f>SUM(G3:G5)</f>
        <v>446500</v>
      </c>
      <c r="H6" s="107" t="s">
        <v>250</v>
      </c>
      <c r="I6" s="75">
        <v>369932</v>
      </c>
      <c r="M6" s="84" t="s">
        <v>259</v>
      </c>
      <c r="N6" s="95">
        <v>100000</v>
      </c>
      <c r="P6" s="30"/>
    </row>
    <row r="7" spans="1:16" ht="15" thickBot="1" x14ac:dyDescent="0.35">
      <c r="A7" s="43" t="s">
        <v>9</v>
      </c>
      <c r="B7" s="43">
        <v>222</v>
      </c>
      <c r="C7" s="53">
        <v>222</v>
      </c>
      <c r="D7" s="72"/>
      <c r="F7" s="43" t="s">
        <v>115</v>
      </c>
      <c r="G7" s="73">
        <v>99810</v>
      </c>
      <c r="H7" s="107" t="s">
        <v>251</v>
      </c>
      <c r="I7" s="75">
        <v>270811</v>
      </c>
      <c r="M7" s="102" t="s">
        <v>269</v>
      </c>
      <c r="N7" s="96">
        <f>(N5-N6)</f>
        <v>810000</v>
      </c>
    </row>
    <row r="8" spans="1:16" ht="15" thickBot="1" x14ac:dyDescent="0.35">
      <c r="A8" s="43" t="s">
        <v>151</v>
      </c>
      <c r="B8" s="43">
        <v>11419</v>
      </c>
      <c r="C8" s="53">
        <v>11419</v>
      </c>
      <c r="D8" s="72"/>
      <c r="H8" s="74" t="s">
        <v>252</v>
      </c>
      <c r="I8" s="75">
        <v>640743</v>
      </c>
      <c r="M8" s="82"/>
      <c r="N8" s="97"/>
    </row>
    <row r="9" spans="1:16" ht="15" thickBot="1" x14ac:dyDescent="0.35">
      <c r="A9" s="43" t="s">
        <v>107</v>
      </c>
      <c r="B9" s="43">
        <v>590</v>
      </c>
      <c r="C9" s="53">
        <v>590</v>
      </c>
      <c r="D9" s="72"/>
      <c r="F9" s="88" t="s">
        <v>6</v>
      </c>
      <c r="G9" s="90">
        <v>810000</v>
      </c>
      <c r="K9" s="76">
        <v>369932</v>
      </c>
      <c r="M9" s="82"/>
      <c r="N9" s="97"/>
    </row>
    <row r="10" spans="1:16" ht="15" thickBot="1" x14ac:dyDescent="0.35">
      <c r="A10" s="43" t="s">
        <v>174</v>
      </c>
      <c r="B10" s="43">
        <v>5000</v>
      </c>
      <c r="C10" s="53">
        <v>1500</v>
      </c>
      <c r="D10" s="72"/>
      <c r="F10" s="87" t="s">
        <v>263</v>
      </c>
      <c r="G10" s="89">
        <v>300000</v>
      </c>
      <c r="H10">
        <f>(G10/50000)</f>
        <v>6</v>
      </c>
      <c r="K10" s="77">
        <v>270811</v>
      </c>
      <c r="M10" s="69" t="s">
        <v>254</v>
      </c>
      <c r="N10" s="98">
        <f>(N7-N1)</f>
        <v>-690000</v>
      </c>
    </row>
    <row r="11" spans="1:16" x14ac:dyDescent="0.3">
      <c r="A11" s="43" t="s">
        <v>246</v>
      </c>
      <c r="B11" s="43">
        <v>1500</v>
      </c>
      <c r="C11" s="53">
        <v>1500</v>
      </c>
      <c r="D11" s="72"/>
      <c r="F11" s="43" t="s">
        <v>260</v>
      </c>
      <c r="G11" s="73">
        <f>(G9-G10)</f>
        <v>510000</v>
      </c>
      <c r="K11" s="77">
        <v>80450</v>
      </c>
    </row>
    <row r="12" spans="1:16" x14ac:dyDescent="0.3">
      <c r="A12" s="115" t="s">
        <v>249</v>
      </c>
      <c r="B12" s="115">
        <v>30000</v>
      </c>
      <c r="C12" s="115">
        <v>30000</v>
      </c>
      <c r="D12" s="72"/>
      <c r="F12" s="43" t="s">
        <v>261</v>
      </c>
      <c r="G12" s="73">
        <v>100000</v>
      </c>
    </row>
    <row r="13" spans="1:16" ht="15" thickBot="1" x14ac:dyDescent="0.35">
      <c r="A13" s="43" t="s">
        <v>267</v>
      </c>
      <c r="B13" s="43">
        <v>10000</v>
      </c>
      <c r="C13" s="53">
        <v>10000</v>
      </c>
      <c r="D13" s="72"/>
      <c r="F13" s="43"/>
      <c r="G13" s="73">
        <f>SUM(G11:G12)</f>
        <v>610000</v>
      </c>
    </row>
    <row r="14" spans="1:16" ht="15" thickBot="1" x14ac:dyDescent="0.35">
      <c r="A14" s="43" t="s">
        <v>268</v>
      </c>
      <c r="B14" s="43">
        <v>11526</v>
      </c>
      <c r="C14" s="111">
        <v>11526</v>
      </c>
      <c r="D14" s="72"/>
      <c r="F14" s="43" t="s">
        <v>262</v>
      </c>
      <c r="G14" s="73">
        <v>1500000</v>
      </c>
      <c r="K14" s="78">
        <v>348720</v>
      </c>
      <c r="L14" s="81">
        <v>254599</v>
      </c>
    </row>
    <row r="15" spans="1:16" x14ac:dyDescent="0.3">
      <c r="A15" s="43" t="s">
        <v>298</v>
      </c>
      <c r="B15" s="43">
        <v>5000</v>
      </c>
      <c r="C15" s="111">
        <v>5000</v>
      </c>
      <c r="D15" s="72"/>
      <c r="F15" s="43"/>
      <c r="G15" s="73"/>
      <c r="M15" s="115" t="s">
        <v>273</v>
      </c>
      <c r="N15" s="116">
        <v>150000</v>
      </c>
      <c r="O15" s="43" t="s">
        <v>299</v>
      </c>
    </row>
    <row r="16" spans="1:16" ht="15" thickBot="1" x14ac:dyDescent="0.35">
      <c r="A16" s="115" t="s">
        <v>306</v>
      </c>
      <c r="B16" s="115">
        <v>80000</v>
      </c>
      <c r="C16" s="115">
        <v>80000</v>
      </c>
      <c r="D16" s="72"/>
      <c r="F16" s="85"/>
      <c r="G16" s="91"/>
      <c r="M16" s="115" t="s">
        <v>289</v>
      </c>
      <c r="N16" s="116">
        <v>200000</v>
      </c>
      <c r="O16" s="113">
        <v>44593</v>
      </c>
    </row>
    <row r="17" spans="1:18" ht="15" thickBot="1" x14ac:dyDescent="0.35">
      <c r="A17" s="43" t="s">
        <v>308</v>
      </c>
      <c r="B17" s="43">
        <v>4000</v>
      </c>
      <c r="C17" s="111">
        <v>4000</v>
      </c>
      <c r="D17" s="72"/>
      <c r="F17" s="86" t="s">
        <v>264</v>
      </c>
      <c r="G17" s="92">
        <f>(G13-G14)</f>
        <v>-890000</v>
      </c>
      <c r="M17" s="123" t="s">
        <v>302</v>
      </c>
      <c r="N17" s="112">
        <f>SUM(N33:N35)</f>
        <v>8000</v>
      </c>
      <c r="O17" s="113">
        <v>44593</v>
      </c>
    </row>
    <row r="18" spans="1:18" x14ac:dyDescent="0.3">
      <c r="A18" s="43"/>
      <c r="B18" s="43"/>
      <c r="C18" s="43"/>
      <c r="D18" s="43"/>
      <c r="M18" s="115" t="s">
        <v>297</v>
      </c>
      <c r="N18" s="116">
        <v>30000</v>
      </c>
      <c r="O18" s="113">
        <v>44593</v>
      </c>
    </row>
    <row r="19" spans="1:18" x14ac:dyDescent="0.3">
      <c r="A19" s="43"/>
      <c r="B19" s="43"/>
      <c r="C19" s="43"/>
      <c r="D19" s="43"/>
      <c r="I19" s="64" t="s">
        <v>282</v>
      </c>
      <c r="M19" s="80" t="s">
        <v>268</v>
      </c>
      <c r="N19" s="112">
        <v>11526</v>
      </c>
      <c r="O19" s="113">
        <v>44621</v>
      </c>
    </row>
    <row r="20" spans="1:18" x14ac:dyDescent="0.3">
      <c r="A20" s="43"/>
      <c r="B20" s="43"/>
      <c r="C20" s="43"/>
      <c r="D20" s="43"/>
      <c r="F20" s="43" t="s">
        <v>182</v>
      </c>
      <c r="G20" s="73">
        <v>335000</v>
      </c>
      <c r="H20" s="43" t="s">
        <v>278</v>
      </c>
      <c r="I20" s="73">
        <f>(C21-G20)</f>
        <v>-335000</v>
      </c>
      <c r="M20" s="124" t="s">
        <v>298</v>
      </c>
      <c r="N20" s="118">
        <v>5000</v>
      </c>
      <c r="O20" s="113">
        <v>44621</v>
      </c>
    </row>
    <row r="21" spans="1:18" x14ac:dyDescent="0.3">
      <c r="A21" s="43" t="s">
        <v>296</v>
      </c>
      <c r="B21" s="43"/>
      <c r="C21" s="43"/>
      <c r="D21" s="43" t="s">
        <v>295</v>
      </c>
      <c r="F21" s="87" t="s">
        <v>260</v>
      </c>
      <c r="G21" s="89">
        <v>500000</v>
      </c>
      <c r="M21" s="115" t="s">
        <v>306</v>
      </c>
      <c r="N21" s="116">
        <v>80000</v>
      </c>
      <c r="O21" s="113">
        <v>44621</v>
      </c>
    </row>
    <row r="22" spans="1:18" x14ac:dyDescent="0.3">
      <c r="A22" s="64" t="s">
        <v>5</v>
      </c>
      <c r="B22" s="43">
        <f>SUM(B1:B21)</f>
        <v>238920.56</v>
      </c>
      <c r="C22" s="43">
        <f>SUM(C1:C21)</f>
        <v>235420.56</v>
      </c>
      <c r="D22" s="72"/>
      <c r="F22" s="43" t="s">
        <v>273</v>
      </c>
      <c r="G22" s="73">
        <v>30000</v>
      </c>
      <c r="M22" s="115" t="s">
        <v>307</v>
      </c>
      <c r="N22" s="116">
        <v>135000</v>
      </c>
      <c r="O22" s="113">
        <v>44621</v>
      </c>
    </row>
    <row r="23" spans="1:18" x14ac:dyDescent="0.3">
      <c r="A23" s="43"/>
      <c r="B23" s="43"/>
      <c r="C23" s="43"/>
      <c r="D23" s="72"/>
      <c r="F23" s="43"/>
      <c r="G23" s="73">
        <f>SUM(G20:G22)</f>
        <v>865000</v>
      </c>
      <c r="M23" s="124" t="s">
        <v>308</v>
      </c>
      <c r="N23" s="118">
        <v>4000</v>
      </c>
      <c r="O23" s="125">
        <v>44621</v>
      </c>
    </row>
    <row r="24" spans="1:18" ht="15" thickBot="1" x14ac:dyDescent="0.35">
      <c r="A24" s="64" t="s">
        <v>228</v>
      </c>
      <c r="B24" s="43"/>
      <c r="C24" s="62">
        <f>(C22-B22)</f>
        <v>-3500</v>
      </c>
      <c r="D24" s="43" t="s">
        <v>227</v>
      </c>
      <c r="F24" s="85"/>
      <c r="G24" s="85"/>
      <c r="M24" s="43" t="s">
        <v>5</v>
      </c>
      <c r="N24" s="73">
        <f>SUM(N15:N23)</f>
        <v>623526</v>
      </c>
      <c r="O24" s="113"/>
    </row>
    <row r="25" spans="1:18" ht="15" thickBot="1" x14ac:dyDescent="0.35">
      <c r="A25" s="64"/>
      <c r="B25" s="43"/>
      <c r="C25" s="43"/>
      <c r="D25" s="43"/>
      <c r="F25" s="103" t="s">
        <v>276</v>
      </c>
      <c r="G25" s="92">
        <f>(N7-G23)</f>
        <v>-55000</v>
      </c>
      <c r="M25" s="43"/>
      <c r="N25" s="106">
        <f>(N5-N24)</f>
        <v>286474</v>
      </c>
      <c r="O25" s="114"/>
      <c r="R25" s="30"/>
    </row>
    <row r="26" spans="1:18" x14ac:dyDescent="0.3">
      <c r="A26" s="64" t="s">
        <v>225</v>
      </c>
      <c r="B26" s="43"/>
      <c r="C26" s="62">
        <f>(G7-B22)</f>
        <v>-139110.56</v>
      </c>
      <c r="D26" s="43"/>
      <c r="M26" s="43"/>
      <c r="N26" s="73"/>
      <c r="O26" s="43"/>
      <c r="R26" s="30"/>
    </row>
    <row r="27" spans="1:18" x14ac:dyDescent="0.3">
      <c r="M27" s="43" t="s">
        <v>288</v>
      </c>
      <c r="N27" s="73">
        <v>446500</v>
      </c>
      <c r="O27" s="113">
        <v>44621</v>
      </c>
      <c r="P27" s="114" t="s">
        <v>301</v>
      </c>
    </row>
    <row r="28" spans="1:18" ht="15" thickBot="1" x14ac:dyDescent="0.35">
      <c r="H28" s="43" t="s">
        <v>279</v>
      </c>
      <c r="I28" s="43">
        <v>49700</v>
      </c>
      <c r="J28" s="43">
        <f>(I28*K28)</f>
        <v>298200</v>
      </c>
      <c r="K28" s="43">
        <v>6</v>
      </c>
      <c r="M28" s="43"/>
      <c r="N28" s="85"/>
    </row>
    <row r="29" spans="1:18" ht="15" thickBot="1" x14ac:dyDescent="0.35">
      <c r="A29" s="268" t="s">
        <v>303</v>
      </c>
      <c r="B29" s="269"/>
      <c r="C29" s="270"/>
      <c r="H29" s="43" t="s">
        <v>280</v>
      </c>
      <c r="I29" s="43"/>
      <c r="J29" s="43">
        <f>(J28*K29/100)</f>
        <v>32802</v>
      </c>
      <c r="K29" s="43">
        <v>11</v>
      </c>
      <c r="M29" s="104" t="s">
        <v>291</v>
      </c>
      <c r="N29" s="105">
        <f>(N27-N25)</f>
        <v>160026</v>
      </c>
    </row>
    <row r="30" spans="1:18" x14ac:dyDescent="0.3">
      <c r="A30" s="84" t="s">
        <v>304</v>
      </c>
      <c r="B30" s="43"/>
      <c r="C30" s="119">
        <v>8000</v>
      </c>
      <c r="H30" s="43" t="s">
        <v>281</v>
      </c>
      <c r="I30" s="43"/>
      <c r="J30" s="43">
        <v>6000</v>
      </c>
      <c r="K30" s="43"/>
    </row>
    <row r="31" spans="1:18" x14ac:dyDescent="0.3">
      <c r="A31" s="84" t="s">
        <v>305</v>
      </c>
      <c r="B31" s="43"/>
      <c r="C31" s="119">
        <f>(C14+C15+C17)</f>
        <v>20526</v>
      </c>
      <c r="H31" s="43"/>
      <c r="I31" s="43"/>
      <c r="J31" s="43">
        <f>(J29+J30)</f>
        <v>38802</v>
      </c>
      <c r="K31" s="43"/>
      <c r="M31" s="43" t="s">
        <v>293</v>
      </c>
      <c r="N31" s="43">
        <v>20000</v>
      </c>
    </row>
    <row r="32" spans="1:18" ht="15" thickBot="1" x14ac:dyDescent="0.35">
      <c r="A32" s="84"/>
      <c r="B32" s="43"/>
      <c r="C32" s="121"/>
      <c r="H32" s="43"/>
      <c r="I32" s="43"/>
      <c r="J32" s="43">
        <f>(J28+J31)</f>
        <v>337002</v>
      </c>
      <c r="K32" s="43"/>
      <c r="M32" s="43"/>
      <c r="N32" s="43"/>
    </row>
    <row r="33" spans="1:15" ht="15" thickBot="1" x14ac:dyDescent="0.35">
      <c r="A33" s="99" t="s">
        <v>5</v>
      </c>
      <c r="B33" s="120"/>
      <c r="C33" s="122">
        <f>SUM(C30:C31)</f>
        <v>28526</v>
      </c>
      <c r="M33" s="43" t="s">
        <v>292</v>
      </c>
      <c r="N33" s="111">
        <v>5000</v>
      </c>
      <c r="O33" s="113">
        <v>44593</v>
      </c>
    </row>
    <row r="34" spans="1:15" x14ac:dyDescent="0.3">
      <c r="M34" s="43" t="s">
        <v>285</v>
      </c>
      <c r="N34" s="111">
        <v>1500</v>
      </c>
      <c r="O34" s="113">
        <v>44593</v>
      </c>
    </row>
    <row r="35" spans="1:15" x14ac:dyDescent="0.3">
      <c r="M35" s="43" t="s">
        <v>286</v>
      </c>
      <c r="N35" s="111">
        <v>1500</v>
      </c>
      <c r="O35" s="113">
        <v>44593</v>
      </c>
    </row>
    <row r="36" spans="1:15" x14ac:dyDescent="0.3">
      <c r="M36" s="43" t="s">
        <v>165</v>
      </c>
      <c r="N36" s="43">
        <v>3000</v>
      </c>
      <c r="O36" s="43">
        <v>17000</v>
      </c>
    </row>
    <row r="37" spans="1:15" x14ac:dyDescent="0.3">
      <c r="M37" s="43" t="s">
        <v>294</v>
      </c>
      <c r="N37" s="43">
        <v>2000</v>
      </c>
      <c r="O37" s="43"/>
    </row>
    <row r="38" spans="1:15" x14ac:dyDescent="0.3">
      <c r="M38" s="43" t="s">
        <v>5</v>
      </c>
      <c r="N38" s="43">
        <f>SUM(N33:N37)</f>
        <v>13000</v>
      </c>
      <c r="O38" s="43"/>
    </row>
    <row r="39" spans="1:15" x14ac:dyDescent="0.3">
      <c r="M39" s="43"/>
      <c r="N39" s="43"/>
      <c r="O39" s="43"/>
    </row>
    <row r="40" spans="1:15" x14ac:dyDescent="0.3">
      <c r="M40" s="43" t="s">
        <v>288</v>
      </c>
      <c r="N40" s="43">
        <v>3100</v>
      </c>
      <c r="O40" s="43"/>
    </row>
    <row r="41" spans="1:15" x14ac:dyDescent="0.3">
      <c r="M41" s="43"/>
      <c r="N41" s="43"/>
      <c r="O41" s="43"/>
    </row>
    <row r="42" spans="1:15" x14ac:dyDescent="0.3">
      <c r="M42" s="43" t="s">
        <v>5</v>
      </c>
      <c r="N42" s="43">
        <f>(N38+N40)</f>
        <v>16100</v>
      </c>
      <c r="O42" s="43"/>
    </row>
    <row r="43" spans="1:15" x14ac:dyDescent="0.3">
      <c r="M43" s="43" t="s">
        <v>203</v>
      </c>
      <c r="N43" s="43">
        <v>1200</v>
      </c>
      <c r="O43" s="43"/>
    </row>
  </sheetData>
  <mergeCells count="2">
    <mergeCell ref="F2:G2"/>
    <mergeCell ref="A29:C2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33134-DF70-4E9D-AF36-2A55250586D4}">
  <dimension ref="A1:R44"/>
  <sheetViews>
    <sheetView zoomScale="96" zoomScaleNormal="96" workbookViewId="0">
      <selection activeCell="G27" sqref="G27"/>
    </sheetView>
  </sheetViews>
  <sheetFormatPr defaultRowHeight="14.4" x14ac:dyDescent="0.3"/>
  <cols>
    <col min="1" max="1" width="19.6640625" bestFit="1" customWidth="1"/>
    <col min="2" max="2" width="8.33203125" bestFit="1" customWidth="1"/>
    <col min="3" max="3" width="11.5546875" bestFit="1" customWidth="1"/>
    <col min="4" max="4" width="13.6640625" bestFit="1" customWidth="1"/>
    <col min="6" max="6" width="22.33203125" bestFit="1" customWidth="1"/>
    <col min="7" max="7" width="10.88671875" bestFit="1" customWidth="1"/>
    <col min="8" max="8" width="24" bestFit="1" customWidth="1"/>
    <col min="9" max="9" width="8.88671875" bestFit="1" customWidth="1"/>
    <col min="10" max="10" width="7.33203125" bestFit="1" customWidth="1"/>
    <col min="11" max="11" width="6.6640625" bestFit="1" customWidth="1"/>
    <col min="12" max="12" width="6.109375" bestFit="1" customWidth="1"/>
    <col min="13" max="13" width="18.6640625" bestFit="1" customWidth="1"/>
    <col min="14" max="14" width="9.33203125" bestFit="1" customWidth="1"/>
    <col min="15" max="15" width="9.109375" bestFit="1" customWidth="1"/>
    <col min="16" max="16" width="6.6640625" bestFit="1" customWidth="1"/>
    <col min="17" max="17" width="15.109375" bestFit="1" customWidth="1"/>
    <col min="18" max="18" width="11.109375" bestFit="1" customWidth="1"/>
  </cols>
  <sheetData>
    <row r="1" spans="1:18" x14ac:dyDescent="0.3">
      <c r="A1" s="43" t="s">
        <v>6</v>
      </c>
      <c r="B1" s="73">
        <v>34000</v>
      </c>
      <c r="C1" s="108">
        <v>34000</v>
      </c>
      <c r="D1" s="72"/>
      <c r="F1" s="264" t="s">
        <v>277</v>
      </c>
      <c r="G1" s="265"/>
      <c r="M1" s="83" t="s">
        <v>253</v>
      </c>
      <c r="N1" s="93">
        <v>1500000</v>
      </c>
    </row>
    <row r="2" spans="1:18" x14ac:dyDescent="0.3">
      <c r="A2" s="43" t="s">
        <v>0</v>
      </c>
      <c r="B2" s="73"/>
      <c r="C2" s="73"/>
      <c r="D2" s="72"/>
      <c r="F2" s="43" t="s">
        <v>309</v>
      </c>
      <c r="G2" s="73">
        <v>86000</v>
      </c>
      <c r="H2" t="s">
        <v>310</v>
      </c>
      <c r="M2" s="84" t="s">
        <v>196</v>
      </c>
      <c r="N2" s="94">
        <v>641000</v>
      </c>
      <c r="P2" s="30"/>
    </row>
    <row r="3" spans="1:18" x14ac:dyDescent="0.3">
      <c r="A3" s="43" t="s">
        <v>1</v>
      </c>
      <c r="B3" s="73">
        <v>5000</v>
      </c>
      <c r="C3" s="108">
        <v>5000</v>
      </c>
      <c r="D3" s="72"/>
      <c r="F3" s="43" t="s">
        <v>265</v>
      </c>
      <c r="G3" s="73">
        <v>85000</v>
      </c>
      <c r="H3" s="73">
        <v>50000</v>
      </c>
      <c r="I3" s="30">
        <f>(G3+H3)</f>
        <v>135000</v>
      </c>
      <c r="M3" s="84" t="s">
        <v>177</v>
      </c>
      <c r="N3" s="94">
        <v>206000</v>
      </c>
      <c r="P3" s="30"/>
    </row>
    <row r="4" spans="1:18" ht="15" thickBot="1" x14ac:dyDescent="0.35">
      <c r="A4" s="43" t="s">
        <v>2</v>
      </c>
      <c r="B4" s="73">
        <v>2000</v>
      </c>
      <c r="C4" s="108">
        <v>2000</v>
      </c>
      <c r="D4" s="72"/>
      <c r="F4" s="43" t="s">
        <v>204</v>
      </c>
      <c r="G4" s="73">
        <v>438500</v>
      </c>
      <c r="M4" s="84" t="s">
        <v>6</v>
      </c>
      <c r="N4" s="94">
        <v>63000</v>
      </c>
    </row>
    <row r="5" spans="1:18" ht="15" thickBot="1" x14ac:dyDescent="0.35">
      <c r="A5" s="43" t="s">
        <v>89</v>
      </c>
      <c r="B5" s="73">
        <v>32706</v>
      </c>
      <c r="C5" s="108">
        <v>32706</v>
      </c>
      <c r="D5" s="43"/>
      <c r="F5" s="43" t="s">
        <v>205</v>
      </c>
      <c r="G5" s="43">
        <v>0</v>
      </c>
      <c r="M5" s="110" t="s">
        <v>290</v>
      </c>
      <c r="N5" s="109">
        <f>SUM(N2:N4)</f>
        <v>910000</v>
      </c>
      <c r="Q5" s="273" t="s">
        <v>204</v>
      </c>
      <c r="R5" s="274"/>
    </row>
    <row r="6" spans="1:18" ht="15" thickBot="1" x14ac:dyDescent="0.35">
      <c r="A6" s="43" t="s">
        <v>3</v>
      </c>
      <c r="B6" s="73">
        <v>1500</v>
      </c>
      <c r="C6" s="108">
        <v>1500</v>
      </c>
      <c r="D6" s="72"/>
      <c r="F6" s="43" t="s">
        <v>6</v>
      </c>
      <c r="G6" s="73">
        <f>SUM(G3:G5)</f>
        <v>523500</v>
      </c>
      <c r="H6" s="107" t="s">
        <v>250</v>
      </c>
      <c r="I6" s="75">
        <v>369932</v>
      </c>
      <c r="M6" s="84" t="s">
        <v>259</v>
      </c>
      <c r="N6" s="95">
        <v>100000</v>
      </c>
      <c r="Q6" s="126" t="s">
        <v>318</v>
      </c>
      <c r="R6" s="95">
        <v>604000</v>
      </c>
    </row>
    <row r="7" spans="1:18" ht="15" thickBot="1" x14ac:dyDescent="0.35">
      <c r="A7" s="43" t="s">
        <v>9</v>
      </c>
      <c r="B7" s="73">
        <v>774</v>
      </c>
      <c r="C7" s="108">
        <v>774</v>
      </c>
      <c r="D7" s="72"/>
      <c r="F7" s="43" t="s">
        <v>315</v>
      </c>
      <c r="G7" s="44">
        <v>124242.17</v>
      </c>
      <c r="H7" s="107" t="s">
        <v>251</v>
      </c>
      <c r="I7" s="75">
        <v>270811</v>
      </c>
      <c r="M7" s="102" t="s">
        <v>269</v>
      </c>
      <c r="N7" s="96">
        <f>(N5-N6)</f>
        <v>810000</v>
      </c>
      <c r="Q7" s="84" t="s">
        <v>317</v>
      </c>
      <c r="R7" s="95">
        <v>242000</v>
      </c>
    </row>
    <row r="8" spans="1:18" ht="15" thickBot="1" x14ac:dyDescent="0.35">
      <c r="A8" s="43" t="s">
        <v>151</v>
      </c>
      <c r="B8" s="73">
        <v>11419</v>
      </c>
      <c r="C8" s="108">
        <v>11419</v>
      </c>
      <c r="D8" s="72"/>
      <c r="H8" s="74" t="s">
        <v>252</v>
      </c>
      <c r="I8" s="75">
        <v>640743</v>
      </c>
      <c r="M8" s="82"/>
      <c r="N8" s="97"/>
      <c r="Q8" s="84" t="s">
        <v>312</v>
      </c>
      <c r="R8" s="95">
        <f>(B22)</f>
        <v>130643.36</v>
      </c>
    </row>
    <row r="9" spans="1:18" ht="15" thickBot="1" x14ac:dyDescent="0.35">
      <c r="A9" s="43" t="s">
        <v>107</v>
      </c>
      <c r="B9" s="73">
        <v>590</v>
      </c>
      <c r="C9" s="108">
        <v>590</v>
      </c>
      <c r="D9" s="72"/>
      <c r="F9" s="88" t="s">
        <v>6</v>
      </c>
      <c r="G9" s="90">
        <v>810000</v>
      </c>
      <c r="K9" s="76">
        <v>369932</v>
      </c>
      <c r="M9" s="82"/>
      <c r="N9" s="97"/>
      <c r="Q9" s="84" t="s">
        <v>311</v>
      </c>
      <c r="R9" s="95">
        <f>(R7-R8)</f>
        <v>111356.64</v>
      </c>
    </row>
    <row r="10" spans="1:18" ht="15" thickBot="1" x14ac:dyDescent="0.35">
      <c r="A10" s="43" t="s">
        <v>174</v>
      </c>
      <c r="B10" s="73">
        <v>5000</v>
      </c>
      <c r="C10" s="108">
        <v>5000</v>
      </c>
      <c r="D10" s="72"/>
      <c r="F10" s="87" t="s">
        <v>263</v>
      </c>
      <c r="G10" s="89">
        <v>300000</v>
      </c>
      <c r="H10">
        <f>(G10/50000)</f>
        <v>6</v>
      </c>
      <c r="K10" s="77">
        <v>270811</v>
      </c>
      <c r="M10" s="69" t="s">
        <v>254</v>
      </c>
      <c r="N10" s="98">
        <f>(N7-N1)</f>
        <v>-690000</v>
      </c>
      <c r="Q10" s="84" t="s">
        <v>316</v>
      </c>
      <c r="R10" s="95">
        <f>(R6-R7)</f>
        <v>362000</v>
      </c>
    </row>
    <row r="11" spans="1:18" x14ac:dyDescent="0.3">
      <c r="A11" s="43" t="s">
        <v>249</v>
      </c>
      <c r="B11" s="73">
        <v>12000</v>
      </c>
      <c r="C11" s="73"/>
      <c r="D11" s="72"/>
      <c r="F11" s="43" t="s">
        <v>260</v>
      </c>
      <c r="G11" s="73">
        <f>(G9-G10)</f>
        <v>510000</v>
      </c>
      <c r="K11" s="77">
        <v>80450</v>
      </c>
      <c r="Q11" s="84" t="s">
        <v>6</v>
      </c>
      <c r="R11" s="95">
        <f>SUM(R9:R10)</f>
        <v>473356.64</v>
      </c>
    </row>
    <row r="12" spans="1:18" x14ac:dyDescent="0.3">
      <c r="A12" s="43" t="s">
        <v>109</v>
      </c>
      <c r="B12" s="73">
        <v>18534.36</v>
      </c>
      <c r="C12" s="108">
        <v>18534.36</v>
      </c>
      <c r="D12" s="72"/>
      <c r="F12" s="43" t="s">
        <v>261</v>
      </c>
      <c r="G12" s="73">
        <v>100000</v>
      </c>
      <c r="Q12" s="84"/>
      <c r="R12" s="95"/>
    </row>
    <row r="13" spans="1:18" ht="15" thickBot="1" x14ac:dyDescent="0.35">
      <c r="A13" s="43" t="s">
        <v>285</v>
      </c>
      <c r="B13" s="73">
        <v>1120</v>
      </c>
      <c r="C13" s="108">
        <v>1120</v>
      </c>
      <c r="D13" s="72"/>
      <c r="F13" s="43"/>
      <c r="G13" s="73">
        <f>SUM(G11:G12)</f>
        <v>610000</v>
      </c>
      <c r="Q13" s="82"/>
      <c r="R13" s="127"/>
    </row>
    <row r="14" spans="1:18" ht="15" thickBot="1" x14ac:dyDescent="0.35">
      <c r="A14" s="124" t="s">
        <v>308</v>
      </c>
      <c r="B14" s="124">
        <v>6000</v>
      </c>
      <c r="C14" s="124">
        <v>6000</v>
      </c>
      <c r="D14" s="72"/>
      <c r="F14" s="43" t="s">
        <v>262</v>
      </c>
      <c r="G14" s="73">
        <v>1500000</v>
      </c>
      <c r="K14" s="78">
        <v>348720</v>
      </c>
      <c r="L14" s="81">
        <v>254599</v>
      </c>
      <c r="Q14" s="84" t="s">
        <v>314</v>
      </c>
      <c r="R14" s="95">
        <v>80000</v>
      </c>
    </row>
    <row r="15" spans="1:18" ht="15" thickBot="1" x14ac:dyDescent="0.35">
      <c r="A15" s="124" t="s">
        <v>332</v>
      </c>
      <c r="B15" s="124">
        <v>15500</v>
      </c>
      <c r="C15" s="124">
        <v>15500</v>
      </c>
      <c r="D15" s="72"/>
      <c r="F15" s="43"/>
      <c r="G15" s="73"/>
      <c r="M15" s="115" t="s">
        <v>273</v>
      </c>
      <c r="N15" s="116">
        <v>150000</v>
      </c>
      <c r="O15" s="43" t="s">
        <v>299</v>
      </c>
      <c r="Q15" s="99" t="s">
        <v>313</v>
      </c>
      <c r="R15" s="128">
        <v>30000</v>
      </c>
    </row>
    <row r="16" spans="1:18" ht="15" thickBot="1" x14ac:dyDescent="0.35">
      <c r="A16" s="43"/>
      <c r="B16" s="73"/>
      <c r="C16" s="73"/>
      <c r="D16" s="72"/>
      <c r="F16" s="85"/>
      <c r="G16" s="91"/>
      <c r="M16" s="115" t="s">
        <v>289</v>
      </c>
      <c r="N16" s="116">
        <v>200000</v>
      </c>
      <c r="O16" s="113">
        <v>44593</v>
      </c>
    </row>
    <row r="17" spans="1:18" ht="15" thickBot="1" x14ac:dyDescent="0.35">
      <c r="A17" s="43"/>
      <c r="B17" s="73"/>
      <c r="C17" s="73"/>
      <c r="D17" s="72"/>
      <c r="F17" s="86" t="s">
        <v>264</v>
      </c>
      <c r="G17" s="92">
        <f>(G13-G14)</f>
        <v>-890000</v>
      </c>
      <c r="M17" s="123" t="s">
        <v>302</v>
      </c>
      <c r="N17" s="112">
        <f>SUM(N33:N35)</f>
        <v>8000</v>
      </c>
      <c r="O17" s="113">
        <v>44593</v>
      </c>
    </row>
    <row r="18" spans="1:18" x14ac:dyDescent="0.3">
      <c r="A18" s="43"/>
      <c r="B18" s="73"/>
      <c r="C18" s="73"/>
      <c r="D18" s="43"/>
      <c r="M18" s="115" t="s">
        <v>297</v>
      </c>
      <c r="N18" s="116">
        <v>30000</v>
      </c>
      <c r="O18" s="113">
        <v>44593</v>
      </c>
      <c r="Q18" s="273" t="s">
        <v>265</v>
      </c>
      <c r="R18" s="274"/>
    </row>
    <row r="19" spans="1:18" x14ac:dyDescent="0.3">
      <c r="A19" s="43"/>
      <c r="B19" s="73"/>
      <c r="C19" s="73"/>
      <c r="D19" s="43"/>
      <c r="I19" s="64" t="s">
        <v>282</v>
      </c>
      <c r="M19" s="80" t="s">
        <v>268</v>
      </c>
      <c r="N19" s="112">
        <v>11526</v>
      </c>
      <c r="O19" s="113">
        <v>44621</v>
      </c>
      <c r="Q19" s="126" t="s">
        <v>318</v>
      </c>
      <c r="R19" s="95">
        <v>115000</v>
      </c>
    </row>
    <row r="20" spans="1:18" x14ac:dyDescent="0.3">
      <c r="A20" s="132" t="s">
        <v>329</v>
      </c>
      <c r="B20" s="134">
        <v>26500</v>
      </c>
      <c r="C20" s="134">
        <v>26500</v>
      </c>
      <c r="D20" s="43">
        <v>112500</v>
      </c>
      <c r="F20" s="43" t="s">
        <v>182</v>
      </c>
      <c r="G20" s="73">
        <v>335000</v>
      </c>
      <c r="H20" s="43" t="s">
        <v>278</v>
      </c>
      <c r="I20" s="73">
        <f>(C21-G20)</f>
        <v>-335000</v>
      </c>
      <c r="M20" s="124" t="s">
        <v>298</v>
      </c>
      <c r="N20" s="118">
        <v>5000</v>
      </c>
      <c r="O20" s="113">
        <v>44621</v>
      </c>
      <c r="Q20" s="84" t="s">
        <v>319</v>
      </c>
      <c r="R20" s="95">
        <v>85000</v>
      </c>
    </row>
    <row r="21" spans="1:18" x14ac:dyDescent="0.3">
      <c r="A21" s="43" t="s">
        <v>296</v>
      </c>
      <c r="B21" s="73"/>
      <c r="C21" s="73"/>
      <c r="D21" s="43" t="s">
        <v>330</v>
      </c>
      <c r="F21" s="87" t="s">
        <v>260</v>
      </c>
      <c r="G21" s="89">
        <v>500000</v>
      </c>
      <c r="M21" s="115" t="s">
        <v>306</v>
      </c>
      <c r="N21" s="116">
        <v>80000</v>
      </c>
      <c r="O21" s="113">
        <v>44621</v>
      </c>
      <c r="Q21" s="133" t="s">
        <v>154</v>
      </c>
      <c r="R21" s="94">
        <v>86000</v>
      </c>
    </row>
    <row r="22" spans="1:18" ht="15" thickBot="1" x14ac:dyDescent="0.35">
      <c r="A22" s="64" t="s">
        <v>5</v>
      </c>
      <c r="B22" s="73">
        <f>SUM(B1:B14)</f>
        <v>130643.36</v>
      </c>
      <c r="C22" s="73">
        <f>SUM(C1:C14)</f>
        <v>118643.36</v>
      </c>
      <c r="D22" s="72"/>
      <c r="F22" s="43" t="s">
        <v>273</v>
      </c>
      <c r="G22" s="73">
        <v>30000</v>
      </c>
      <c r="M22" s="115" t="s">
        <v>307</v>
      </c>
      <c r="N22" s="116">
        <v>135000</v>
      </c>
      <c r="O22" s="113">
        <v>44621</v>
      </c>
      <c r="Q22" s="99" t="s">
        <v>6</v>
      </c>
      <c r="R22" s="128">
        <f>SUM(R20:R21)</f>
        <v>171000</v>
      </c>
    </row>
    <row r="23" spans="1:18" x14ac:dyDescent="0.3">
      <c r="A23" s="43"/>
      <c r="B23" s="43"/>
      <c r="C23" s="43"/>
      <c r="D23" s="72"/>
      <c r="F23" s="43"/>
      <c r="G23" s="73">
        <f>SUM(G20:G22)</f>
        <v>865000</v>
      </c>
      <c r="M23" s="124" t="s">
        <v>308</v>
      </c>
      <c r="N23" s="118">
        <v>4000</v>
      </c>
      <c r="O23" s="113">
        <v>44621</v>
      </c>
    </row>
    <row r="24" spans="1:18" ht="15" thickBot="1" x14ac:dyDescent="0.35">
      <c r="A24" s="64" t="s">
        <v>228</v>
      </c>
      <c r="B24" s="43"/>
      <c r="C24" s="62">
        <f>(C22-B22)</f>
        <v>-12000</v>
      </c>
      <c r="D24" s="43" t="s">
        <v>227</v>
      </c>
      <c r="F24" s="85"/>
      <c r="G24" s="85"/>
      <c r="M24" s="43" t="s">
        <v>5</v>
      </c>
      <c r="N24" s="73">
        <f>SUM(N15:N23)</f>
        <v>623526</v>
      </c>
      <c r="O24" s="113"/>
    </row>
    <row r="25" spans="1:18" ht="15" thickBot="1" x14ac:dyDescent="0.35">
      <c r="A25" s="64"/>
      <c r="B25" s="43"/>
      <c r="C25" s="43"/>
      <c r="D25" s="43"/>
      <c r="F25" s="103" t="s">
        <v>276</v>
      </c>
      <c r="G25" s="92">
        <f>(N7-G23)</f>
        <v>-55000</v>
      </c>
      <c r="M25" s="43"/>
      <c r="N25" s="106">
        <f>(N5-N24)</f>
        <v>286474</v>
      </c>
      <c r="O25" s="114"/>
      <c r="Q25" s="275" t="s">
        <v>321</v>
      </c>
      <c r="R25" s="276"/>
    </row>
    <row r="26" spans="1:18" x14ac:dyDescent="0.3">
      <c r="A26" s="64" t="s">
        <v>225</v>
      </c>
      <c r="B26" s="43"/>
      <c r="C26" s="62">
        <f>(G7-B22)</f>
        <v>-6401.1900000000023</v>
      </c>
      <c r="D26" s="43"/>
      <c r="M26" s="43"/>
      <c r="N26" s="73"/>
      <c r="O26" s="43"/>
      <c r="Q26" s="271" t="s">
        <v>325</v>
      </c>
      <c r="R26" s="272"/>
    </row>
    <row r="27" spans="1:18" x14ac:dyDescent="0.3">
      <c r="M27" s="43" t="s">
        <v>288</v>
      </c>
      <c r="N27" s="73">
        <f>G6</f>
        <v>523500</v>
      </c>
      <c r="O27" s="113">
        <v>44621</v>
      </c>
      <c r="P27" s="129" t="s">
        <v>301</v>
      </c>
      <c r="Q27" s="84" t="s">
        <v>320</v>
      </c>
      <c r="R27" s="95">
        <v>140000</v>
      </c>
    </row>
    <row r="28" spans="1:18" ht="15" thickBot="1" x14ac:dyDescent="0.35">
      <c r="F28" s="115" t="s">
        <v>273</v>
      </c>
      <c r="G28" s="116">
        <v>150000</v>
      </c>
      <c r="H28" s="61" t="s">
        <v>335</v>
      </c>
      <c r="I28" s="43">
        <v>49700</v>
      </c>
      <c r="J28" s="43">
        <f>(I28*K28)</f>
        <v>298200</v>
      </c>
      <c r="K28" s="43">
        <v>6</v>
      </c>
      <c r="M28" s="43"/>
      <c r="N28" s="85"/>
      <c r="Q28" s="139" t="s">
        <v>322</v>
      </c>
      <c r="R28" s="73"/>
    </row>
    <row r="29" spans="1:18" ht="15" thickBot="1" x14ac:dyDescent="0.35">
      <c r="A29" s="268" t="s">
        <v>303</v>
      </c>
      <c r="B29" s="269"/>
      <c r="C29" s="270"/>
      <c r="F29" s="115" t="s">
        <v>337</v>
      </c>
      <c r="G29" s="116">
        <v>200000</v>
      </c>
      <c r="H29" s="61" t="s">
        <v>280</v>
      </c>
      <c r="I29" s="43"/>
      <c r="J29" s="43">
        <f>(J28*K29/100)</f>
        <v>32802</v>
      </c>
      <c r="K29" s="43">
        <v>11</v>
      </c>
      <c r="M29" s="104" t="s">
        <v>291</v>
      </c>
      <c r="N29" s="105">
        <f>(N27-N25)</f>
        <v>237026</v>
      </c>
      <c r="Q29" s="84" t="s">
        <v>326</v>
      </c>
      <c r="R29" s="95">
        <f>(R27-R28)</f>
        <v>140000</v>
      </c>
    </row>
    <row r="30" spans="1:18" x14ac:dyDescent="0.3">
      <c r="A30" s="84" t="s">
        <v>304</v>
      </c>
      <c r="B30" s="43"/>
      <c r="C30" s="139">
        <v>8000</v>
      </c>
      <c r="F30" s="115" t="s">
        <v>297</v>
      </c>
      <c r="G30" s="116">
        <v>30000</v>
      </c>
      <c r="H30" s="61" t="s">
        <v>281</v>
      </c>
      <c r="I30" s="43"/>
      <c r="J30" s="43">
        <v>6000</v>
      </c>
      <c r="K30" s="43"/>
      <c r="Q30" s="84"/>
      <c r="R30" s="95"/>
    </row>
    <row r="31" spans="1:18" x14ac:dyDescent="0.3">
      <c r="A31" s="84" t="s">
        <v>305</v>
      </c>
      <c r="B31" s="43"/>
      <c r="C31" s="139">
        <v>20526</v>
      </c>
      <c r="F31" s="115" t="s">
        <v>306</v>
      </c>
      <c r="G31" s="116">
        <v>80000</v>
      </c>
      <c r="H31" s="61"/>
      <c r="I31" s="43"/>
      <c r="J31" s="43">
        <f>(J29+J30)</f>
        <v>38802</v>
      </c>
      <c r="K31" s="43"/>
      <c r="M31" s="43" t="s">
        <v>293</v>
      </c>
      <c r="N31" s="43">
        <v>20000</v>
      </c>
      <c r="Q31" s="271" t="s">
        <v>154</v>
      </c>
      <c r="R31" s="272"/>
    </row>
    <row r="32" spans="1:18" ht="15" thickBot="1" x14ac:dyDescent="0.35">
      <c r="A32" s="84" t="s">
        <v>336</v>
      </c>
      <c r="B32" s="43"/>
      <c r="C32" s="138">
        <f>(B15+B14)</f>
        <v>21500</v>
      </c>
      <c r="F32" s="115" t="s">
        <v>329</v>
      </c>
      <c r="G32" s="116">
        <v>112500</v>
      </c>
      <c r="H32" s="61"/>
      <c r="I32" s="43"/>
      <c r="J32" s="43">
        <f>(J28+J31)</f>
        <v>337002</v>
      </c>
      <c r="K32" s="43"/>
      <c r="M32" s="43"/>
      <c r="N32" s="43"/>
      <c r="Q32" s="84" t="s">
        <v>323</v>
      </c>
      <c r="R32" s="73">
        <v>112500</v>
      </c>
    </row>
    <row r="33" spans="1:18" ht="15" thickBot="1" x14ac:dyDescent="0.35">
      <c r="A33" s="99" t="s">
        <v>5</v>
      </c>
      <c r="B33" s="120"/>
      <c r="C33" s="140">
        <f>SUM(C32)</f>
        <v>21500</v>
      </c>
      <c r="F33" s="43"/>
      <c r="G33" s="73">
        <f>SUM(G28:G32)</f>
        <v>572500</v>
      </c>
      <c r="M33" s="43" t="s">
        <v>292</v>
      </c>
      <c r="N33" s="111">
        <v>5000</v>
      </c>
      <c r="O33" s="113">
        <v>44593</v>
      </c>
      <c r="Q33" s="84" t="s">
        <v>324</v>
      </c>
      <c r="R33" s="73">
        <v>86000</v>
      </c>
    </row>
    <row r="34" spans="1:18" x14ac:dyDescent="0.3">
      <c r="F34" s="115" t="s">
        <v>307</v>
      </c>
      <c r="G34" s="116">
        <v>140000</v>
      </c>
      <c r="M34" s="43" t="s">
        <v>285</v>
      </c>
      <c r="N34" s="111">
        <v>1500</v>
      </c>
      <c r="O34" s="113">
        <v>44593</v>
      </c>
      <c r="Q34" s="84" t="s">
        <v>326</v>
      </c>
      <c r="R34" s="73">
        <f>(R32-R33)</f>
        <v>26500</v>
      </c>
    </row>
    <row r="35" spans="1:18" x14ac:dyDescent="0.3">
      <c r="F35" s="115"/>
      <c r="G35" s="116">
        <f>(G33+G34)</f>
        <v>712500</v>
      </c>
      <c r="H35" s="61" t="s">
        <v>334</v>
      </c>
      <c r="I35" s="43">
        <v>49750</v>
      </c>
      <c r="J35" s="43">
        <f>(I35*K35)</f>
        <v>99500</v>
      </c>
      <c r="K35" s="43">
        <v>2</v>
      </c>
      <c r="M35" s="43" t="s">
        <v>286</v>
      </c>
      <c r="N35" s="111">
        <v>1500</v>
      </c>
      <c r="O35" s="113">
        <v>44593</v>
      </c>
      <c r="Q35" s="84"/>
      <c r="R35" s="119"/>
    </row>
    <row r="36" spans="1:18" x14ac:dyDescent="0.3">
      <c r="H36" s="43" t="s">
        <v>280</v>
      </c>
      <c r="I36" s="43"/>
      <c r="J36" s="43">
        <f>(J35*K36/100)</f>
        <v>9723.14</v>
      </c>
      <c r="K36" s="43">
        <v>9.7720000000000002</v>
      </c>
      <c r="M36" s="43" t="s">
        <v>165</v>
      </c>
      <c r="N36" s="43">
        <v>3000</v>
      </c>
      <c r="O36" s="43">
        <v>17000</v>
      </c>
      <c r="Q36" s="84" t="s">
        <v>327</v>
      </c>
      <c r="R36" s="95">
        <f>(R29+R34)</f>
        <v>166500</v>
      </c>
    </row>
    <row r="37" spans="1:18" ht="15" thickBot="1" x14ac:dyDescent="0.35">
      <c r="H37" s="43"/>
      <c r="I37" s="43"/>
      <c r="J37" s="43">
        <f>SUM(J35:J36)</f>
        <v>109223.14</v>
      </c>
      <c r="K37" s="43"/>
      <c r="M37" s="43" t="s">
        <v>294</v>
      </c>
      <c r="N37" s="43">
        <v>2000</v>
      </c>
      <c r="O37" s="43"/>
      <c r="Q37" s="130" t="s">
        <v>328</v>
      </c>
      <c r="R37" s="131">
        <f>(G6-R36)</f>
        <v>357000</v>
      </c>
    </row>
    <row r="38" spans="1:18" x14ac:dyDescent="0.3">
      <c r="F38" s="43" t="s">
        <v>338</v>
      </c>
      <c r="G38" s="73">
        <v>1600000</v>
      </c>
      <c r="H38" s="61" t="s">
        <v>333</v>
      </c>
      <c r="I38" s="43"/>
      <c r="J38" s="43">
        <f>(J37*K38/100)</f>
        <v>3276.6941999999999</v>
      </c>
      <c r="K38" s="43">
        <v>3</v>
      </c>
      <c r="M38" s="43" t="s">
        <v>5</v>
      </c>
      <c r="N38" s="43">
        <f>SUM(N33:N37)</f>
        <v>13000</v>
      </c>
      <c r="O38" s="43"/>
    </row>
    <row r="39" spans="1:18" ht="15" thickBot="1" x14ac:dyDescent="0.35">
      <c r="F39" s="43" t="s">
        <v>339</v>
      </c>
      <c r="G39" s="73">
        <v>600000</v>
      </c>
      <c r="H39" s="61"/>
      <c r="I39" s="43"/>
      <c r="J39" s="43">
        <f>(J37+J38)</f>
        <v>112499.8342</v>
      </c>
      <c r="K39" s="43"/>
      <c r="M39" s="43"/>
      <c r="N39" s="43"/>
      <c r="O39" s="43"/>
    </row>
    <row r="40" spans="1:18" ht="15" thickBot="1" x14ac:dyDescent="0.35">
      <c r="F40" s="43"/>
      <c r="G40" s="73"/>
      <c r="M40" s="43" t="s">
        <v>288</v>
      </c>
      <c r="N40" s="43">
        <v>3100</v>
      </c>
      <c r="O40" s="43"/>
      <c r="R40" s="136">
        <f>(G6+C24)</f>
        <v>511500</v>
      </c>
    </row>
    <row r="41" spans="1:18" ht="15" thickBot="1" x14ac:dyDescent="0.35">
      <c r="F41" s="141" t="s">
        <v>340</v>
      </c>
      <c r="G41" s="142">
        <f>(G38-G39)</f>
        <v>1000000</v>
      </c>
      <c r="M41" s="43"/>
      <c r="N41" s="43"/>
      <c r="O41" s="43"/>
      <c r="Q41" s="135" t="s">
        <v>331</v>
      </c>
      <c r="R41" s="137">
        <f>(R40-R27)</f>
        <v>371500</v>
      </c>
    </row>
    <row r="42" spans="1:18" x14ac:dyDescent="0.3">
      <c r="F42" s="141" t="s">
        <v>341</v>
      </c>
      <c r="G42" s="142">
        <v>32502</v>
      </c>
      <c r="M42" s="43" t="s">
        <v>5</v>
      </c>
      <c r="N42" s="43">
        <f>(N38+N40)</f>
        <v>16100</v>
      </c>
      <c r="O42" s="43"/>
    </row>
    <row r="43" spans="1:18" x14ac:dyDescent="0.3">
      <c r="F43" s="141" t="s">
        <v>343</v>
      </c>
      <c r="G43" s="142">
        <v>38040</v>
      </c>
      <c r="M43" s="43" t="s">
        <v>203</v>
      </c>
      <c r="N43" s="43">
        <v>1200</v>
      </c>
      <c r="O43" s="43"/>
    </row>
    <row r="44" spans="1:18" x14ac:dyDescent="0.3">
      <c r="F44" s="141" t="s">
        <v>342</v>
      </c>
      <c r="G44" s="142">
        <v>46371</v>
      </c>
    </row>
  </sheetData>
  <mergeCells count="7">
    <mergeCell ref="Q31:R31"/>
    <mergeCell ref="Q26:R26"/>
    <mergeCell ref="F1:G1"/>
    <mergeCell ref="A29:C29"/>
    <mergeCell ref="Q5:R5"/>
    <mergeCell ref="Q18:R18"/>
    <mergeCell ref="Q25:R25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3AC8-73DE-494F-AB05-FF5BE9B1F6FB}">
  <dimension ref="A1:R44"/>
  <sheetViews>
    <sheetView zoomScale="90" zoomScaleNormal="90" workbookViewId="0">
      <selection activeCell="G27" sqref="G27"/>
    </sheetView>
  </sheetViews>
  <sheetFormatPr defaultRowHeight="14.4" x14ac:dyDescent="0.3"/>
  <cols>
    <col min="1" max="1" width="18.88671875" bestFit="1" customWidth="1"/>
    <col min="2" max="2" width="8.5546875" bestFit="1" customWidth="1"/>
    <col min="3" max="3" width="11.33203125" bestFit="1" customWidth="1"/>
    <col min="4" max="4" width="14.109375" bestFit="1" customWidth="1"/>
    <col min="6" max="6" width="23.109375" bestFit="1" customWidth="1"/>
    <col min="7" max="7" width="11.33203125" bestFit="1" customWidth="1"/>
    <col min="8" max="8" width="25" bestFit="1" customWidth="1"/>
    <col min="9" max="9" width="8.6640625" bestFit="1" customWidth="1"/>
    <col min="10" max="10" width="12.109375" bestFit="1" customWidth="1"/>
    <col min="11" max="11" width="7.33203125" bestFit="1" customWidth="1"/>
    <col min="12" max="12" width="6.33203125" bestFit="1" customWidth="1"/>
    <col min="13" max="13" width="17.88671875" bestFit="1" customWidth="1"/>
    <col min="14" max="14" width="9.6640625" bestFit="1" customWidth="1"/>
    <col min="15" max="15" width="8.88671875" bestFit="1" customWidth="1"/>
    <col min="16" max="16" width="6.5546875" bestFit="1" customWidth="1"/>
    <col min="17" max="17" width="14.5546875" bestFit="1" customWidth="1"/>
    <col min="18" max="18" width="11.33203125" bestFit="1" customWidth="1"/>
  </cols>
  <sheetData>
    <row r="1" spans="1:18" x14ac:dyDescent="0.3">
      <c r="A1" s="43" t="s">
        <v>6</v>
      </c>
      <c r="B1" s="73">
        <v>34000</v>
      </c>
      <c r="C1" s="108">
        <v>34000</v>
      </c>
      <c r="D1" s="72"/>
      <c r="F1" s="264" t="s">
        <v>277</v>
      </c>
      <c r="G1" s="265"/>
      <c r="M1" s="83" t="s">
        <v>253</v>
      </c>
      <c r="N1" s="93">
        <v>1500000</v>
      </c>
    </row>
    <row r="2" spans="1:18" x14ac:dyDescent="0.3">
      <c r="A2" s="43" t="s">
        <v>0</v>
      </c>
      <c r="B2" s="73">
        <v>1500</v>
      </c>
      <c r="C2" s="108">
        <v>1500</v>
      </c>
      <c r="D2" s="72"/>
      <c r="F2" s="43" t="s">
        <v>309</v>
      </c>
      <c r="G2" s="73">
        <v>86000</v>
      </c>
      <c r="H2" t="s">
        <v>310</v>
      </c>
      <c r="M2" s="84" t="s">
        <v>196</v>
      </c>
      <c r="N2" s="94">
        <v>641000</v>
      </c>
      <c r="P2" s="30"/>
    </row>
    <row r="3" spans="1:18" x14ac:dyDescent="0.3">
      <c r="A3" s="43" t="s">
        <v>1</v>
      </c>
      <c r="B3" s="73">
        <v>5000</v>
      </c>
      <c r="C3" s="108">
        <v>5000</v>
      </c>
      <c r="D3" s="72" t="s">
        <v>355</v>
      </c>
      <c r="F3" s="43" t="s">
        <v>265</v>
      </c>
      <c r="G3" s="73">
        <v>25000</v>
      </c>
      <c r="H3" s="73"/>
      <c r="I3" s="30"/>
      <c r="M3" s="84" t="s">
        <v>177</v>
      </c>
      <c r="N3" s="94">
        <v>206000</v>
      </c>
      <c r="P3" s="30"/>
    </row>
    <row r="4" spans="1:18" ht="15" thickBot="1" x14ac:dyDescent="0.35">
      <c r="A4" s="43" t="s">
        <v>2</v>
      </c>
      <c r="B4" s="73">
        <v>2000</v>
      </c>
      <c r="C4" s="108">
        <v>2000</v>
      </c>
      <c r="D4" s="72"/>
      <c r="F4" s="43" t="s">
        <v>204</v>
      </c>
      <c r="G4" s="73">
        <v>69200</v>
      </c>
      <c r="M4" s="84" t="s">
        <v>6</v>
      </c>
      <c r="N4" s="94">
        <v>63000</v>
      </c>
    </row>
    <row r="5" spans="1:18" ht="15" thickBot="1" x14ac:dyDescent="0.35">
      <c r="A5" s="43" t="s">
        <v>89</v>
      </c>
      <c r="B5" s="73">
        <v>32706</v>
      </c>
      <c r="C5" s="108">
        <v>32706</v>
      </c>
      <c r="D5" s="43"/>
      <c r="F5" s="43" t="s">
        <v>205</v>
      </c>
      <c r="G5" s="43">
        <v>27</v>
      </c>
      <c r="M5" s="110" t="s">
        <v>290</v>
      </c>
      <c r="N5" s="109">
        <f>SUM(N2:N4)</f>
        <v>910000</v>
      </c>
      <c r="Q5" s="277" t="s">
        <v>204</v>
      </c>
      <c r="R5" s="278"/>
    </row>
    <row r="6" spans="1:18" ht="15" thickBot="1" x14ac:dyDescent="0.35">
      <c r="A6" s="43" t="s">
        <v>3</v>
      </c>
      <c r="B6" s="73">
        <v>1200</v>
      </c>
      <c r="C6" s="108">
        <v>1200</v>
      </c>
      <c r="D6" s="72"/>
      <c r="F6" s="43" t="s">
        <v>6</v>
      </c>
      <c r="G6" s="73">
        <f>SUM(G3:G5)</f>
        <v>94227</v>
      </c>
      <c r="H6" s="107" t="s">
        <v>250</v>
      </c>
      <c r="I6" s="75">
        <v>369932</v>
      </c>
      <c r="M6" s="84" t="s">
        <v>259</v>
      </c>
      <c r="N6" s="95">
        <v>100000</v>
      </c>
      <c r="Q6" s="126" t="s">
        <v>318</v>
      </c>
      <c r="R6" s="95">
        <v>438500</v>
      </c>
    </row>
    <row r="7" spans="1:18" ht="15" thickBot="1" x14ac:dyDescent="0.35">
      <c r="A7" s="43" t="s">
        <v>9</v>
      </c>
      <c r="B7" s="73">
        <v>1000</v>
      </c>
      <c r="C7" s="108">
        <v>1000</v>
      </c>
      <c r="D7" s="72"/>
      <c r="F7" s="43" t="s">
        <v>345</v>
      </c>
      <c r="G7" s="44">
        <v>106000</v>
      </c>
      <c r="H7" s="107" t="s">
        <v>251</v>
      </c>
      <c r="I7" s="75">
        <v>270811</v>
      </c>
      <c r="M7" s="102" t="s">
        <v>269</v>
      </c>
      <c r="N7" s="96">
        <f>(N5-N6)</f>
        <v>810000</v>
      </c>
      <c r="Q7" s="84" t="s">
        <v>344</v>
      </c>
      <c r="R7" s="146">
        <v>123200</v>
      </c>
    </row>
    <row r="8" spans="1:18" ht="15" thickBot="1" x14ac:dyDescent="0.35">
      <c r="A8" s="43" t="s">
        <v>151</v>
      </c>
      <c r="B8" s="73">
        <v>11419</v>
      </c>
      <c r="C8" s="108">
        <v>11419</v>
      </c>
      <c r="D8" s="72"/>
      <c r="H8" s="74" t="s">
        <v>252</v>
      </c>
      <c r="I8" s="75">
        <v>640743</v>
      </c>
      <c r="M8" s="82"/>
      <c r="N8" s="97"/>
      <c r="Q8" s="147" t="s">
        <v>312</v>
      </c>
      <c r="R8" s="148">
        <v>21500</v>
      </c>
    </row>
    <row r="9" spans="1:18" ht="15" thickBot="1" x14ac:dyDescent="0.35">
      <c r="A9" s="43" t="s">
        <v>107</v>
      </c>
      <c r="B9" s="73">
        <v>590</v>
      </c>
      <c r="C9" s="108">
        <v>590</v>
      </c>
      <c r="D9" s="72"/>
      <c r="F9" s="88" t="s">
        <v>6</v>
      </c>
      <c r="G9" s="90">
        <v>810000</v>
      </c>
      <c r="K9" s="76">
        <v>369932</v>
      </c>
      <c r="M9" s="82"/>
      <c r="N9" s="97"/>
      <c r="Q9" s="84" t="s">
        <v>346</v>
      </c>
      <c r="R9" s="90">
        <f>(R6+R8)</f>
        <v>460000</v>
      </c>
    </row>
    <row r="10" spans="1:18" ht="15" thickBot="1" x14ac:dyDescent="0.35">
      <c r="A10" s="43" t="s">
        <v>174</v>
      </c>
      <c r="B10" s="73">
        <v>6000</v>
      </c>
      <c r="C10" s="108">
        <v>6000</v>
      </c>
      <c r="D10" s="72"/>
      <c r="F10" s="87" t="s">
        <v>263</v>
      </c>
      <c r="G10" s="89">
        <v>300000</v>
      </c>
      <c r="H10">
        <f>(G10/50000)</f>
        <v>6</v>
      </c>
      <c r="K10" s="77">
        <v>270811</v>
      </c>
      <c r="M10" s="69" t="s">
        <v>254</v>
      </c>
      <c r="N10" s="98">
        <f>(N7-N1)</f>
        <v>-690000</v>
      </c>
      <c r="Q10" s="84" t="s">
        <v>347</v>
      </c>
      <c r="R10" s="95">
        <f>(R7-R8)</f>
        <v>101700</v>
      </c>
    </row>
    <row r="11" spans="1:18" x14ac:dyDescent="0.3">
      <c r="A11" s="115" t="s">
        <v>249</v>
      </c>
      <c r="B11" s="115">
        <v>14000</v>
      </c>
      <c r="C11" s="115">
        <v>14000</v>
      </c>
      <c r="D11" s="72"/>
      <c r="F11" s="43" t="s">
        <v>260</v>
      </c>
      <c r="G11" s="73">
        <f>(G9-G10)</f>
        <v>510000</v>
      </c>
      <c r="K11" s="77">
        <v>80450</v>
      </c>
      <c r="Q11" s="84" t="s">
        <v>345</v>
      </c>
      <c r="R11" s="95">
        <f>B22</f>
        <v>122615</v>
      </c>
    </row>
    <row r="12" spans="1:18" x14ac:dyDescent="0.3">
      <c r="A12" s="123" t="s">
        <v>308</v>
      </c>
      <c r="B12" s="123">
        <v>7900</v>
      </c>
      <c r="C12" s="123">
        <v>7900</v>
      </c>
      <c r="D12" s="72"/>
      <c r="F12" s="43" t="s">
        <v>261</v>
      </c>
      <c r="G12" s="73">
        <v>100000</v>
      </c>
      <c r="Q12" s="84"/>
      <c r="R12" s="119"/>
    </row>
    <row r="13" spans="1:18" ht="15" thickBot="1" x14ac:dyDescent="0.35">
      <c r="A13" s="123" t="s">
        <v>354</v>
      </c>
      <c r="B13" s="123">
        <v>5300</v>
      </c>
      <c r="C13" s="123">
        <v>5300</v>
      </c>
      <c r="D13" s="72"/>
      <c r="F13" s="43"/>
      <c r="G13" s="73">
        <f>SUM(G11:G12)</f>
        <v>610000</v>
      </c>
      <c r="Q13" s="84" t="s">
        <v>214</v>
      </c>
      <c r="R13" s="150">
        <f>(R10-R11)</f>
        <v>-20915</v>
      </c>
    </row>
    <row r="14" spans="1:18" ht="15" thickBot="1" x14ac:dyDescent="0.35">
      <c r="A14" s="43"/>
      <c r="B14" s="43"/>
      <c r="C14" s="43"/>
      <c r="D14" s="144"/>
      <c r="F14" s="43" t="s">
        <v>262</v>
      </c>
      <c r="G14" s="73">
        <v>1500000</v>
      </c>
      <c r="K14" s="78">
        <v>348720</v>
      </c>
      <c r="L14" s="81">
        <v>254599</v>
      </c>
      <c r="Q14" s="84"/>
      <c r="R14" s="95"/>
    </row>
    <row r="15" spans="1:18" ht="15" thickBot="1" x14ac:dyDescent="0.35">
      <c r="A15" s="145"/>
      <c r="B15" s="145"/>
      <c r="C15" s="145"/>
      <c r="D15" s="143"/>
      <c r="F15" s="43"/>
      <c r="G15" s="73"/>
      <c r="M15" s="115" t="s">
        <v>273</v>
      </c>
      <c r="N15" s="116">
        <v>150000</v>
      </c>
      <c r="O15" s="43" t="s">
        <v>299</v>
      </c>
      <c r="Q15" s="99"/>
      <c r="R15" s="128"/>
    </row>
    <row r="16" spans="1:18" ht="15" thickBot="1" x14ac:dyDescent="0.35">
      <c r="A16" s="43"/>
      <c r="B16" s="73"/>
      <c r="C16" s="73"/>
      <c r="D16" s="72"/>
      <c r="F16" s="85"/>
      <c r="G16" s="91"/>
      <c r="M16" s="115" t="s">
        <v>289</v>
      </c>
      <c r="N16" s="116">
        <v>200000</v>
      </c>
      <c r="O16" s="113">
        <v>44593</v>
      </c>
    </row>
    <row r="17" spans="1:18" ht="15" thickBot="1" x14ac:dyDescent="0.35">
      <c r="A17" s="43"/>
      <c r="B17" s="73"/>
      <c r="C17" s="73"/>
      <c r="D17" s="72"/>
      <c r="F17" s="86" t="s">
        <v>264</v>
      </c>
      <c r="G17" s="92">
        <f>(G13-G14)</f>
        <v>-890000</v>
      </c>
      <c r="M17" s="123" t="s">
        <v>302</v>
      </c>
      <c r="N17" s="112">
        <f>SUM(N33:N35)</f>
        <v>8000</v>
      </c>
      <c r="O17" s="113">
        <v>44593</v>
      </c>
    </row>
    <row r="18" spans="1:18" x14ac:dyDescent="0.3">
      <c r="A18" s="115" t="s">
        <v>352</v>
      </c>
      <c r="B18" s="116">
        <v>200000</v>
      </c>
      <c r="C18" s="116">
        <v>160000</v>
      </c>
      <c r="D18" s="43"/>
      <c r="M18" s="115" t="s">
        <v>297</v>
      </c>
      <c r="N18" s="116">
        <v>30000</v>
      </c>
      <c r="O18" s="113">
        <v>44593</v>
      </c>
      <c r="Q18" s="273" t="s">
        <v>265</v>
      </c>
      <c r="R18" s="274"/>
    </row>
    <row r="19" spans="1:18" x14ac:dyDescent="0.3">
      <c r="A19" s="115" t="s">
        <v>203</v>
      </c>
      <c r="B19" s="116">
        <v>13000</v>
      </c>
      <c r="C19" s="73"/>
      <c r="D19" s="43"/>
      <c r="I19" s="64"/>
      <c r="M19" s="80" t="s">
        <v>268</v>
      </c>
      <c r="N19" s="112">
        <v>11526</v>
      </c>
      <c r="O19" s="113">
        <v>44621</v>
      </c>
      <c r="Q19" s="126" t="s">
        <v>318</v>
      </c>
      <c r="R19" s="95">
        <v>115000</v>
      </c>
    </row>
    <row r="20" spans="1:18" x14ac:dyDescent="0.3">
      <c r="A20" s="123" t="s">
        <v>350</v>
      </c>
      <c r="B20" s="112">
        <v>59900</v>
      </c>
      <c r="C20" s="112">
        <v>59900</v>
      </c>
      <c r="D20" s="145"/>
      <c r="F20" s="43" t="s">
        <v>182</v>
      </c>
      <c r="G20" s="73">
        <v>354000</v>
      </c>
      <c r="H20" s="43" t="s">
        <v>348</v>
      </c>
      <c r="I20" s="73"/>
      <c r="M20" s="124" t="s">
        <v>298</v>
      </c>
      <c r="N20" s="118">
        <v>5000</v>
      </c>
      <c r="O20" s="113">
        <v>44621</v>
      </c>
      <c r="Q20" s="84" t="s">
        <v>319</v>
      </c>
      <c r="R20" s="95">
        <v>85000</v>
      </c>
    </row>
    <row r="21" spans="1:18" x14ac:dyDescent="0.3">
      <c r="A21" s="43" t="s">
        <v>296</v>
      </c>
      <c r="B21" s="73">
        <v>154000</v>
      </c>
      <c r="C21" s="108">
        <v>154000</v>
      </c>
      <c r="D21" s="43" t="s">
        <v>330</v>
      </c>
      <c r="F21" s="87" t="s">
        <v>260</v>
      </c>
      <c r="G21" s="89">
        <v>500000</v>
      </c>
      <c r="M21" s="115" t="s">
        <v>306</v>
      </c>
      <c r="N21" s="116">
        <v>80000</v>
      </c>
      <c r="O21" s="113">
        <v>44621</v>
      </c>
      <c r="Q21" s="133" t="s">
        <v>154</v>
      </c>
      <c r="R21" s="94">
        <v>86000</v>
      </c>
    </row>
    <row r="22" spans="1:18" ht="15" thickBot="1" x14ac:dyDescent="0.35">
      <c r="A22" s="64" t="s">
        <v>5</v>
      </c>
      <c r="B22" s="73">
        <f>SUM(B1:B13)</f>
        <v>122615</v>
      </c>
      <c r="C22" s="73">
        <f>SUM(C1:C13)</f>
        <v>122615</v>
      </c>
      <c r="D22" s="72"/>
      <c r="F22" s="43" t="s">
        <v>273</v>
      </c>
      <c r="G22" s="73">
        <v>30000</v>
      </c>
      <c r="M22" s="115" t="s">
        <v>307</v>
      </c>
      <c r="N22" s="116">
        <v>154000</v>
      </c>
      <c r="O22" s="113">
        <v>44621</v>
      </c>
      <c r="Q22" s="99" t="s">
        <v>6</v>
      </c>
      <c r="R22" s="128">
        <f>SUM(R20:R21)</f>
        <v>171000</v>
      </c>
    </row>
    <row r="23" spans="1:18" x14ac:dyDescent="0.3">
      <c r="A23" s="43"/>
      <c r="B23" s="43"/>
      <c r="C23" s="43"/>
      <c r="D23" s="72"/>
      <c r="F23" s="43"/>
      <c r="G23" s="73">
        <f>SUM(G20:G22)</f>
        <v>884000</v>
      </c>
      <c r="M23" s="124" t="s">
        <v>308</v>
      </c>
      <c r="N23" s="118">
        <v>4000</v>
      </c>
      <c r="O23" s="113">
        <v>44621</v>
      </c>
    </row>
    <row r="24" spans="1:18" ht="15" thickBot="1" x14ac:dyDescent="0.35">
      <c r="A24" s="64" t="s">
        <v>228</v>
      </c>
      <c r="B24" s="43"/>
      <c r="C24" s="62">
        <f>(C22-B22)</f>
        <v>0</v>
      </c>
      <c r="D24" s="43" t="s">
        <v>227</v>
      </c>
      <c r="F24" s="85"/>
      <c r="G24" s="85"/>
      <c r="M24" s="43" t="s">
        <v>5</v>
      </c>
      <c r="N24" s="73">
        <f>SUM(N15:N23)</f>
        <v>642526</v>
      </c>
      <c r="O24" s="113"/>
    </row>
    <row r="25" spans="1:18" ht="15" thickBot="1" x14ac:dyDescent="0.35">
      <c r="A25" s="64"/>
      <c r="B25" s="43"/>
      <c r="C25" s="43"/>
      <c r="D25" s="43"/>
      <c r="F25" s="103" t="s">
        <v>276</v>
      </c>
      <c r="G25" s="92">
        <f>(N7-G23)</f>
        <v>-74000</v>
      </c>
      <c r="M25" s="43"/>
      <c r="N25" s="106">
        <f>(N5-N24)</f>
        <v>267474</v>
      </c>
      <c r="O25" s="114"/>
      <c r="Q25" s="275" t="s">
        <v>321</v>
      </c>
      <c r="R25" s="276"/>
    </row>
    <row r="26" spans="1:18" x14ac:dyDescent="0.3">
      <c r="A26" s="64" t="s">
        <v>225</v>
      </c>
      <c r="B26" s="43"/>
      <c r="C26" s="62">
        <f>(G7-B22)</f>
        <v>-16615</v>
      </c>
      <c r="D26" s="43"/>
      <c r="M26" s="43"/>
      <c r="N26" s="73"/>
      <c r="O26" s="43"/>
      <c r="Q26" s="271" t="s">
        <v>325</v>
      </c>
      <c r="R26" s="272"/>
    </row>
    <row r="27" spans="1:18" x14ac:dyDescent="0.3">
      <c r="M27" s="43" t="s">
        <v>288</v>
      </c>
      <c r="N27" s="73">
        <f>G6</f>
        <v>94227</v>
      </c>
      <c r="O27" s="113">
        <v>44621</v>
      </c>
      <c r="P27" s="129" t="s">
        <v>301</v>
      </c>
      <c r="Q27" s="84" t="s">
        <v>349</v>
      </c>
      <c r="R27" s="95">
        <v>354000</v>
      </c>
    </row>
    <row r="28" spans="1:18" ht="15" thickBot="1" x14ac:dyDescent="0.35">
      <c r="F28" s="115" t="s">
        <v>273</v>
      </c>
      <c r="G28" s="116">
        <v>150000</v>
      </c>
      <c r="H28" s="61" t="s">
        <v>335</v>
      </c>
      <c r="I28" s="43">
        <v>49700</v>
      </c>
      <c r="J28" s="43">
        <f>(I28*K28)</f>
        <v>298200</v>
      </c>
      <c r="K28" s="43">
        <v>6</v>
      </c>
      <c r="M28" s="43"/>
      <c r="N28" s="85"/>
      <c r="Q28" s="149" t="s">
        <v>322</v>
      </c>
      <c r="R28" s="95"/>
    </row>
    <row r="29" spans="1:18" ht="15" thickBot="1" x14ac:dyDescent="0.35">
      <c r="A29" s="268" t="s">
        <v>303</v>
      </c>
      <c r="B29" s="269"/>
      <c r="C29" s="270"/>
      <c r="F29" s="115" t="s">
        <v>351</v>
      </c>
      <c r="G29" s="116">
        <v>354000</v>
      </c>
      <c r="H29" s="61" t="s">
        <v>280</v>
      </c>
      <c r="I29" s="43"/>
      <c r="J29" s="43">
        <f>(J28*K29/100)</f>
        <v>32802</v>
      </c>
      <c r="K29" s="43">
        <v>11</v>
      </c>
      <c r="M29" s="104" t="s">
        <v>291</v>
      </c>
      <c r="N29" s="105">
        <f>(N27-N25)</f>
        <v>-173247</v>
      </c>
      <c r="Q29" s="84" t="s">
        <v>326</v>
      </c>
      <c r="R29" s="95">
        <f>(R27-R28)</f>
        <v>354000</v>
      </c>
    </row>
    <row r="30" spans="1:18" x14ac:dyDescent="0.3">
      <c r="A30" s="84" t="s">
        <v>304</v>
      </c>
      <c r="B30" s="43"/>
      <c r="C30" s="139">
        <v>8000</v>
      </c>
      <c r="F30" s="115" t="s">
        <v>297</v>
      </c>
      <c r="G30" s="116">
        <v>40000</v>
      </c>
      <c r="H30" s="61" t="s">
        <v>281</v>
      </c>
      <c r="I30" s="43"/>
      <c r="J30" s="43">
        <v>6000</v>
      </c>
      <c r="K30" s="43"/>
      <c r="Q30" s="84"/>
      <c r="R30" s="95"/>
    </row>
    <row r="31" spans="1:18" x14ac:dyDescent="0.3">
      <c r="A31" s="84" t="s">
        <v>305</v>
      </c>
      <c r="B31" s="43"/>
      <c r="C31" s="139">
        <v>20526</v>
      </c>
      <c r="F31" s="115" t="s">
        <v>306</v>
      </c>
      <c r="G31" s="116">
        <v>80000</v>
      </c>
      <c r="H31" s="61"/>
      <c r="I31" s="43"/>
      <c r="J31" s="43">
        <f>(J29+J30)</f>
        <v>38802</v>
      </c>
      <c r="K31" s="43"/>
      <c r="M31" s="43" t="s">
        <v>293</v>
      </c>
      <c r="N31" s="43">
        <v>20000</v>
      </c>
      <c r="Q31" s="271" t="s">
        <v>154</v>
      </c>
      <c r="R31" s="272"/>
    </row>
    <row r="32" spans="1:18" x14ac:dyDescent="0.3">
      <c r="A32" s="84" t="s">
        <v>336</v>
      </c>
      <c r="B32" s="43"/>
      <c r="C32" s="139">
        <v>21500</v>
      </c>
      <c r="F32" s="115" t="s">
        <v>329</v>
      </c>
      <c r="G32" s="116">
        <v>112500</v>
      </c>
      <c r="H32" s="61"/>
      <c r="I32" s="43"/>
      <c r="J32" s="43">
        <f>(J28+J31)</f>
        <v>337002</v>
      </c>
      <c r="K32" s="43"/>
      <c r="M32" s="43"/>
      <c r="N32" s="43"/>
      <c r="Q32" s="84" t="s">
        <v>323</v>
      </c>
      <c r="R32" s="95">
        <v>112500</v>
      </c>
    </row>
    <row r="33" spans="1:18" ht="15" thickBot="1" x14ac:dyDescent="0.35">
      <c r="A33" s="84" t="s">
        <v>353</v>
      </c>
      <c r="B33" s="43"/>
      <c r="C33" s="138">
        <f>B12+B20+B13</f>
        <v>73100</v>
      </c>
      <c r="F33" s="43"/>
      <c r="G33" s="73"/>
      <c r="M33" s="43" t="s">
        <v>292</v>
      </c>
      <c r="N33" s="111">
        <v>5000</v>
      </c>
      <c r="O33" s="113">
        <v>44593</v>
      </c>
      <c r="Q33" s="84" t="s">
        <v>324</v>
      </c>
      <c r="R33" s="95">
        <v>86000</v>
      </c>
    </row>
    <row r="34" spans="1:18" ht="15" thickBot="1" x14ac:dyDescent="0.35">
      <c r="A34" s="99" t="s">
        <v>5</v>
      </c>
      <c r="B34" s="120"/>
      <c r="C34" s="140">
        <f>SUM(C33)</f>
        <v>73100</v>
      </c>
      <c r="F34" s="115" t="s">
        <v>307</v>
      </c>
      <c r="G34" s="116">
        <f>SUM(G28:G33)</f>
        <v>736500</v>
      </c>
      <c r="M34" s="43" t="s">
        <v>285</v>
      </c>
      <c r="N34" s="111">
        <v>1500</v>
      </c>
      <c r="O34" s="113">
        <v>44593</v>
      </c>
      <c r="Q34" s="84" t="s">
        <v>326</v>
      </c>
      <c r="R34" s="95">
        <f>(R32-R33)</f>
        <v>26500</v>
      </c>
    </row>
    <row r="35" spans="1:18" x14ac:dyDescent="0.3">
      <c r="F35" s="115"/>
      <c r="G35" s="116"/>
      <c r="H35" s="61" t="s">
        <v>334</v>
      </c>
      <c r="I35" s="43">
        <v>49750</v>
      </c>
      <c r="J35" s="43">
        <f>(I35*K35)</f>
        <v>99500</v>
      </c>
      <c r="K35" s="43">
        <v>2</v>
      </c>
      <c r="M35" s="43" t="s">
        <v>286</v>
      </c>
      <c r="N35" s="111">
        <v>1500</v>
      </c>
      <c r="O35" s="113">
        <v>44593</v>
      </c>
      <c r="Q35" s="84"/>
      <c r="R35" s="119"/>
    </row>
    <row r="36" spans="1:18" ht="15" thickBot="1" x14ac:dyDescent="0.35">
      <c r="H36" s="43" t="s">
        <v>280</v>
      </c>
      <c r="I36" s="43"/>
      <c r="J36" s="43">
        <f>(J35*K36/100)</f>
        <v>9723.14</v>
      </c>
      <c r="K36" s="43">
        <v>9.7720000000000002</v>
      </c>
      <c r="M36" s="43" t="s">
        <v>165</v>
      </c>
      <c r="N36" s="43">
        <v>3000</v>
      </c>
      <c r="O36" s="43">
        <v>17000</v>
      </c>
      <c r="Q36" s="99" t="s">
        <v>327</v>
      </c>
      <c r="R36" s="128">
        <f>(R29+R34)</f>
        <v>380500</v>
      </c>
    </row>
    <row r="37" spans="1:18" x14ac:dyDescent="0.3">
      <c r="H37" s="43"/>
      <c r="I37" s="43"/>
      <c r="J37" s="43">
        <f>SUM(J35:J36)</f>
        <v>109223.14</v>
      </c>
      <c r="K37" s="43"/>
      <c r="M37" s="43" t="s">
        <v>294</v>
      </c>
      <c r="N37" s="43">
        <v>2000</v>
      </c>
      <c r="O37" s="43"/>
    </row>
    <row r="38" spans="1:18" x14ac:dyDescent="0.3">
      <c r="F38" s="43" t="s">
        <v>338</v>
      </c>
      <c r="G38" s="73">
        <v>1600000</v>
      </c>
      <c r="H38" s="61" t="s">
        <v>333</v>
      </c>
      <c r="I38" s="43"/>
      <c r="J38" s="43">
        <f>(J37*K38/100)</f>
        <v>3276.6941999999999</v>
      </c>
      <c r="K38" s="43">
        <v>3</v>
      </c>
      <c r="M38" s="43" t="s">
        <v>5</v>
      </c>
      <c r="N38" s="43">
        <f>SUM(N33:N37)</f>
        <v>13000</v>
      </c>
      <c r="O38" s="43"/>
    </row>
    <row r="39" spans="1:18" ht="15" thickBot="1" x14ac:dyDescent="0.35">
      <c r="F39" s="43" t="s">
        <v>339</v>
      </c>
      <c r="G39" s="73">
        <v>600000</v>
      </c>
      <c r="H39" s="61"/>
      <c r="I39" s="43"/>
      <c r="J39" s="43">
        <f>(J37+J38)</f>
        <v>112499.8342</v>
      </c>
      <c r="K39" s="43"/>
      <c r="M39" s="43"/>
      <c r="N39" s="43"/>
      <c r="O39" s="43"/>
    </row>
    <row r="40" spans="1:18" ht="15" thickBot="1" x14ac:dyDescent="0.35">
      <c r="F40" s="43"/>
      <c r="G40" s="73"/>
      <c r="M40" s="43" t="s">
        <v>288</v>
      </c>
      <c r="N40" s="43">
        <v>3100</v>
      </c>
      <c r="O40" s="43"/>
      <c r="Q40" s="135" t="s">
        <v>331</v>
      </c>
      <c r="R40" s="137">
        <f>(G6+C24)</f>
        <v>94227</v>
      </c>
    </row>
    <row r="41" spans="1:18" x14ac:dyDescent="0.3">
      <c r="F41" s="141" t="s">
        <v>340</v>
      </c>
      <c r="G41" s="142">
        <f>(G38-G39)</f>
        <v>1000000</v>
      </c>
      <c r="M41" s="43"/>
      <c r="N41" s="43"/>
      <c r="O41" s="43"/>
    </row>
    <row r="42" spans="1:18" x14ac:dyDescent="0.3">
      <c r="F42" s="141" t="s">
        <v>341</v>
      </c>
      <c r="G42" s="142">
        <v>32502</v>
      </c>
      <c r="M42" s="43" t="s">
        <v>5</v>
      </c>
      <c r="N42" s="43">
        <f>(N38+N40)</f>
        <v>16100</v>
      </c>
      <c r="O42" s="43"/>
    </row>
    <row r="43" spans="1:18" x14ac:dyDescent="0.3">
      <c r="F43" s="141" t="s">
        <v>343</v>
      </c>
      <c r="G43" s="142">
        <v>38040</v>
      </c>
      <c r="M43" s="43" t="s">
        <v>203</v>
      </c>
      <c r="N43" s="43">
        <v>1200</v>
      </c>
      <c r="O43" s="43"/>
    </row>
    <row r="44" spans="1:18" x14ac:dyDescent="0.3">
      <c r="F44" s="141" t="s">
        <v>342</v>
      </c>
      <c r="G44" s="142">
        <v>46371</v>
      </c>
    </row>
  </sheetData>
  <mergeCells count="7">
    <mergeCell ref="A29:C29"/>
    <mergeCell ref="Q31:R31"/>
    <mergeCell ref="F1:G1"/>
    <mergeCell ref="Q5:R5"/>
    <mergeCell ref="Q18:R18"/>
    <mergeCell ref="Q25:R25"/>
    <mergeCell ref="Q26:R2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79F0-822B-435B-B375-B7770E482170}">
  <dimension ref="A1:R44"/>
  <sheetViews>
    <sheetView workbookViewId="0">
      <selection activeCell="G27" sqref="G27"/>
    </sheetView>
  </sheetViews>
  <sheetFormatPr defaultRowHeight="14.4" x14ac:dyDescent="0.3"/>
  <cols>
    <col min="1" max="1" width="16.33203125" bestFit="1" customWidth="1"/>
    <col min="2" max="2" width="8.109375" bestFit="1" customWidth="1"/>
    <col min="3" max="3" width="11.109375" bestFit="1" customWidth="1"/>
    <col min="4" max="4" width="17.33203125" bestFit="1" customWidth="1"/>
    <col min="6" max="6" width="21.44140625" bestFit="1" customWidth="1"/>
    <col min="7" max="7" width="10.44140625" bestFit="1" customWidth="1"/>
    <col min="8" max="8" width="23" bestFit="1" customWidth="1"/>
    <col min="9" max="9" width="7.33203125" bestFit="1" customWidth="1"/>
    <col min="10" max="10" width="14.6640625" bestFit="1" customWidth="1"/>
    <col min="11" max="11" width="6.109375" bestFit="1" customWidth="1"/>
    <col min="12" max="12" width="14.44140625" customWidth="1"/>
    <col min="13" max="13" width="17.88671875" bestFit="1" customWidth="1"/>
    <col min="15" max="15" width="8.6640625" bestFit="1" customWidth="1"/>
    <col min="16" max="16" width="6.5546875" bestFit="1" customWidth="1"/>
    <col min="17" max="17" width="14.5546875" bestFit="1" customWidth="1"/>
    <col min="18" max="18" width="10.6640625" bestFit="1" customWidth="1"/>
  </cols>
  <sheetData>
    <row r="1" spans="1:18" x14ac:dyDescent="0.3">
      <c r="A1" s="43" t="s">
        <v>6</v>
      </c>
      <c r="B1" s="73">
        <v>34000</v>
      </c>
      <c r="C1" s="108">
        <v>34000</v>
      </c>
      <c r="D1" s="72"/>
      <c r="F1" s="264" t="s">
        <v>277</v>
      </c>
      <c r="G1" s="265"/>
      <c r="J1" s="279" t="s">
        <v>361</v>
      </c>
      <c r="K1" s="280"/>
      <c r="L1" s="281"/>
      <c r="M1" s="155" t="s">
        <v>253</v>
      </c>
      <c r="N1" s="93">
        <v>1500000</v>
      </c>
    </row>
    <row r="2" spans="1:18" x14ac:dyDescent="0.3">
      <c r="A2" s="43" t="s">
        <v>0</v>
      </c>
      <c r="B2" s="73">
        <v>1075</v>
      </c>
      <c r="C2" s="108">
        <v>1075</v>
      </c>
      <c r="D2" s="72"/>
      <c r="F2" s="43" t="s">
        <v>309</v>
      </c>
      <c r="G2" s="73">
        <v>86000</v>
      </c>
      <c r="H2" t="s">
        <v>310</v>
      </c>
      <c r="J2" s="110" t="s">
        <v>365</v>
      </c>
      <c r="K2" s="159">
        <v>4</v>
      </c>
      <c r="L2" s="158">
        <v>2200</v>
      </c>
      <c r="M2" s="61" t="s">
        <v>196</v>
      </c>
      <c r="N2" s="94">
        <v>641000</v>
      </c>
      <c r="P2" s="30"/>
    </row>
    <row r="3" spans="1:18" x14ac:dyDescent="0.3">
      <c r="A3" s="43" t="s">
        <v>1</v>
      </c>
      <c r="B3" s="73">
        <v>6000</v>
      </c>
      <c r="C3" s="108">
        <v>6000</v>
      </c>
      <c r="D3" s="72"/>
      <c r="F3" s="43" t="s">
        <v>265</v>
      </c>
      <c r="G3" s="73">
        <v>70000</v>
      </c>
      <c r="H3" s="73" t="s">
        <v>366</v>
      </c>
      <c r="I3" s="30"/>
      <c r="J3" s="110" t="s">
        <v>19</v>
      </c>
      <c r="K3" s="157">
        <v>22</v>
      </c>
      <c r="L3" s="158">
        <v>1321.63</v>
      </c>
      <c r="M3" s="61" t="s">
        <v>177</v>
      </c>
      <c r="N3" s="94">
        <v>206000</v>
      </c>
      <c r="P3" s="30"/>
    </row>
    <row r="4" spans="1:18" ht="15" thickBot="1" x14ac:dyDescent="0.35">
      <c r="A4" s="43" t="s">
        <v>2</v>
      </c>
      <c r="B4" s="73"/>
      <c r="C4" s="73"/>
      <c r="D4" s="72" t="s">
        <v>359</v>
      </c>
      <c r="F4" s="43" t="s">
        <v>204</v>
      </c>
      <c r="G4" s="73">
        <v>170400</v>
      </c>
      <c r="H4" s="30"/>
      <c r="J4" s="110" t="s">
        <v>362</v>
      </c>
      <c r="K4" s="157">
        <v>6</v>
      </c>
      <c r="L4" s="158">
        <v>1918.68</v>
      </c>
      <c r="M4" s="61" t="s">
        <v>6</v>
      </c>
      <c r="N4" s="94">
        <v>63000</v>
      </c>
    </row>
    <row r="5" spans="1:18" ht="15" thickBot="1" x14ac:dyDescent="0.35">
      <c r="A5" s="43" t="s">
        <v>89</v>
      </c>
      <c r="B5" s="73">
        <v>32706</v>
      </c>
      <c r="C5" s="108">
        <v>32706</v>
      </c>
      <c r="D5" s="43"/>
      <c r="F5" s="43" t="s">
        <v>205</v>
      </c>
      <c r="G5" s="43">
        <v>18</v>
      </c>
      <c r="J5" s="110" t="s">
        <v>363</v>
      </c>
      <c r="K5" s="157">
        <v>5</v>
      </c>
      <c r="L5" s="158">
        <v>1049.19</v>
      </c>
      <c r="M5" s="156" t="s">
        <v>290</v>
      </c>
      <c r="N5" s="109">
        <f>SUM(N2:N4)</f>
        <v>910000</v>
      </c>
      <c r="Q5" s="277" t="s">
        <v>204</v>
      </c>
      <c r="R5" s="278"/>
    </row>
    <row r="6" spans="1:18" ht="15" thickBot="1" x14ac:dyDescent="0.35">
      <c r="A6" s="43" t="s">
        <v>3</v>
      </c>
      <c r="B6" s="73"/>
      <c r="C6" s="73"/>
      <c r="D6" s="72" t="s">
        <v>359</v>
      </c>
      <c r="F6" s="43" t="s">
        <v>6</v>
      </c>
      <c r="G6" s="73">
        <f>SUM(G3:G5)</f>
        <v>240418</v>
      </c>
      <c r="H6" s="107" t="s">
        <v>250</v>
      </c>
      <c r="I6" s="166">
        <v>369932</v>
      </c>
      <c r="J6" s="110" t="s">
        <v>364</v>
      </c>
      <c r="K6" s="157">
        <v>11</v>
      </c>
      <c r="L6" s="158">
        <v>470.45</v>
      </c>
      <c r="M6" s="61" t="s">
        <v>259</v>
      </c>
      <c r="N6" s="95">
        <v>100000</v>
      </c>
      <c r="Q6" s="126" t="s">
        <v>318</v>
      </c>
      <c r="R6" s="95">
        <v>307200</v>
      </c>
    </row>
    <row r="7" spans="1:18" ht="15" thickBot="1" x14ac:dyDescent="0.35">
      <c r="A7" s="43" t="s">
        <v>9</v>
      </c>
      <c r="B7" s="73">
        <v>1461</v>
      </c>
      <c r="C7" s="108">
        <v>1461</v>
      </c>
      <c r="D7" s="72"/>
      <c r="F7" s="43" t="s">
        <v>345</v>
      </c>
      <c r="G7" s="44">
        <v>107000</v>
      </c>
      <c r="H7" s="107" t="s">
        <v>251</v>
      </c>
      <c r="I7" s="166">
        <v>270811</v>
      </c>
      <c r="J7" s="169" t="s">
        <v>379</v>
      </c>
      <c r="K7" s="170"/>
      <c r="L7" s="171">
        <v>9000</v>
      </c>
      <c r="M7" s="167" t="s">
        <v>269</v>
      </c>
      <c r="N7" s="96">
        <f>(N5-N6)</f>
        <v>810000</v>
      </c>
      <c r="Q7" s="84" t="s">
        <v>357</v>
      </c>
      <c r="R7" s="146">
        <v>123200</v>
      </c>
    </row>
    <row r="8" spans="1:18" ht="15" thickBot="1" x14ac:dyDescent="0.35">
      <c r="A8" s="43" t="s">
        <v>151</v>
      </c>
      <c r="B8" s="73">
        <v>11419</v>
      </c>
      <c r="C8" s="108">
        <v>11419</v>
      </c>
      <c r="D8" s="154"/>
      <c r="H8" s="74" t="s">
        <v>252</v>
      </c>
      <c r="I8" s="75">
        <v>640743</v>
      </c>
      <c r="M8" s="82"/>
      <c r="N8" s="97"/>
      <c r="Q8" s="147" t="s">
        <v>345</v>
      </c>
      <c r="R8" s="148">
        <v>14000</v>
      </c>
    </row>
    <row r="9" spans="1:18" ht="15" thickBot="1" x14ac:dyDescent="0.35">
      <c r="A9" s="43" t="s">
        <v>107</v>
      </c>
      <c r="B9" s="73">
        <v>590</v>
      </c>
      <c r="C9" s="108">
        <v>590</v>
      </c>
      <c r="D9" s="72"/>
      <c r="F9" s="88" t="s">
        <v>6</v>
      </c>
      <c r="G9" s="90">
        <v>810000</v>
      </c>
      <c r="K9" s="76"/>
      <c r="M9" s="82"/>
      <c r="N9" s="97"/>
      <c r="Q9" s="84" t="s">
        <v>346</v>
      </c>
      <c r="R9" s="90">
        <f>(R6+R8)</f>
        <v>321200</v>
      </c>
    </row>
    <row r="10" spans="1:18" ht="15" thickBot="1" x14ac:dyDescent="0.35">
      <c r="A10" s="43" t="s">
        <v>174</v>
      </c>
      <c r="B10" s="73">
        <v>5000</v>
      </c>
      <c r="C10" s="108">
        <v>4600</v>
      </c>
      <c r="D10" s="72"/>
      <c r="F10" s="87" t="s">
        <v>263</v>
      </c>
      <c r="G10" s="89">
        <v>300000</v>
      </c>
      <c r="H10">
        <f>(G10/50000)</f>
        <v>6</v>
      </c>
      <c r="K10" s="77"/>
      <c r="M10" s="69" t="s">
        <v>254</v>
      </c>
      <c r="N10" s="98">
        <f>(N7-N1)</f>
        <v>-690000</v>
      </c>
      <c r="Q10" s="84" t="s">
        <v>347</v>
      </c>
      <c r="R10" s="95">
        <f>(R7-R8)</f>
        <v>109200</v>
      </c>
    </row>
    <row r="11" spans="1:18" x14ac:dyDescent="0.3">
      <c r="A11" s="115" t="s">
        <v>249</v>
      </c>
      <c r="B11" s="115">
        <v>19000</v>
      </c>
      <c r="C11" s="115">
        <v>19000</v>
      </c>
      <c r="D11" s="72" t="s">
        <v>367</v>
      </c>
      <c r="F11" s="43" t="s">
        <v>260</v>
      </c>
      <c r="G11" s="73">
        <f>(G9-G10)</f>
        <v>510000</v>
      </c>
      <c r="J11" s="282" t="s">
        <v>368</v>
      </c>
      <c r="K11" s="283"/>
      <c r="Q11" s="84" t="s">
        <v>345</v>
      </c>
      <c r="R11" s="95">
        <f>B22</f>
        <v>115251</v>
      </c>
    </row>
    <row r="12" spans="1:18" x14ac:dyDescent="0.3">
      <c r="A12" s="123" t="s">
        <v>308</v>
      </c>
      <c r="B12" s="123">
        <v>4000</v>
      </c>
      <c r="C12" s="123">
        <v>4000</v>
      </c>
      <c r="D12" s="154"/>
      <c r="F12" s="43" t="s">
        <v>261</v>
      </c>
      <c r="G12" s="73">
        <v>100000</v>
      </c>
      <c r="J12" s="84" t="s">
        <v>157</v>
      </c>
      <c r="K12" s="119">
        <v>10390</v>
      </c>
      <c r="Q12" s="84"/>
      <c r="R12" s="119"/>
    </row>
    <row r="13" spans="1:18" ht="15" thickBot="1" x14ac:dyDescent="0.35">
      <c r="A13" s="123" t="s">
        <v>285</v>
      </c>
      <c r="B13" s="123">
        <v>1240</v>
      </c>
      <c r="C13" s="123">
        <v>1240</v>
      </c>
      <c r="D13" s="154"/>
      <c r="F13" s="43"/>
      <c r="G13" s="73">
        <f>SUM(G11:G12)</f>
        <v>610000</v>
      </c>
      <c r="H13" s="30">
        <f>(G4-3600)</f>
        <v>166800</v>
      </c>
      <c r="J13" s="84" t="s">
        <v>369</v>
      </c>
      <c r="K13" s="119">
        <v>4000</v>
      </c>
      <c r="Q13" s="84" t="s">
        <v>214</v>
      </c>
      <c r="R13" s="150">
        <f>(R10-R11)</f>
        <v>-6051</v>
      </c>
    </row>
    <row r="14" spans="1:18" ht="15" thickBot="1" x14ac:dyDescent="0.35">
      <c r="A14" s="123" t="s">
        <v>358</v>
      </c>
      <c r="B14" s="123">
        <v>20481</v>
      </c>
      <c r="C14" s="123">
        <v>20481</v>
      </c>
      <c r="D14" s="144"/>
      <c r="F14" s="43" t="s">
        <v>262</v>
      </c>
      <c r="G14" s="73">
        <v>1500000</v>
      </c>
      <c r="J14" s="99" t="s">
        <v>174</v>
      </c>
      <c r="K14" s="160">
        <v>5000</v>
      </c>
      <c r="L14" s="81"/>
      <c r="Q14" s="84"/>
      <c r="R14" s="95"/>
    </row>
    <row r="15" spans="1:18" ht="15" thickBot="1" x14ac:dyDescent="0.35">
      <c r="A15" s="123" t="s">
        <v>372</v>
      </c>
      <c r="B15" s="123">
        <f>K17</f>
        <v>23890</v>
      </c>
      <c r="C15" s="123">
        <f>K17</f>
        <v>23890</v>
      </c>
      <c r="D15" s="143"/>
      <c r="F15" s="43"/>
      <c r="G15" s="73"/>
      <c r="K15" s="161">
        <f>SUM(K12:K14)</f>
        <v>19390</v>
      </c>
      <c r="M15" s="115" t="s">
        <v>273</v>
      </c>
      <c r="N15" s="116">
        <v>150000</v>
      </c>
      <c r="O15" s="43" t="s">
        <v>299</v>
      </c>
      <c r="Q15" s="99"/>
      <c r="R15" s="128"/>
    </row>
    <row r="16" spans="1:18" ht="15" thickBot="1" x14ac:dyDescent="0.35">
      <c r="A16" s="123" t="s">
        <v>371</v>
      </c>
      <c r="B16" s="123">
        <v>821</v>
      </c>
      <c r="C16" s="123">
        <v>821</v>
      </c>
      <c r="D16" s="72"/>
      <c r="F16" s="85"/>
      <c r="G16" s="91"/>
      <c r="J16" s="86" t="s">
        <v>370</v>
      </c>
      <c r="K16" s="163">
        <v>4500</v>
      </c>
      <c r="M16" s="115" t="s">
        <v>289</v>
      </c>
      <c r="N16" s="116">
        <v>200000</v>
      </c>
      <c r="O16" s="113">
        <v>44593</v>
      </c>
    </row>
    <row r="17" spans="1:18" ht="15" thickBot="1" x14ac:dyDescent="0.35">
      <c r="A17" s="123" t="s">
        <v>85</v>
      </c>
      <c r="B17" s="123">
        <v>20000</v>
      </c>
      <c r="C17" s="73"/>
      <c r="D17" s="72"/>
      <c r="F17" s="86" t="s">
        <v>264</v>
      </c>
      <c r="G17" s="92">
        <f>(G13-G14)</f>
        <v>-890000</v>
      </c>
      <c r="K17" s="162">
        <f>(K15+K16)</f>
        <v>23890</v>
      </c>
      <c r="M17" s="123" t="s">
        <v>302</v>
      </c>
      <c r="N17" s="112">
        <f>SUM(N33:N35)</f>
        <v>8000</v>
      </c>
      <c r="O17" s="113">
        <v>44593</v>
      </c>
    </row>
    <row r="18" spans="1:18" x14ac:dyDescent="0.3">
      <c r="A18" s="164" t="s">
        <v>373</v>
      </c>
      <c r="B18" s="164">
        <v>3600</v>
      </c>
      <c r="C18" s="164">
        <v>3600</v>
      </c>
      <c r="D18" s="43"/>
      <c r="M18" s="115" t="s">
        <v>297</v>
      </c>
      <c r="N18" s="116">
        <v>30000</v>
      </c>
      <c r="O18" s="113">
        <v>44593</v>
      </c>
    </row>
    <row r="19" spans="1:18" x14ac:dyDescent="0.3">
      <c r="A19" s="115" t="s">
        <v>352</v>
      </c>
      <c r="B19" s="116">
        <v>40000</v>
      </c>
      <c r="C19" s="73"/>
      <c r="D19" s="43"/>
      <c r="I19" s="65"/>
      <c r="M19" s="80" t="s">
        <v>268</v>
      </c>
      <c r="N19" s="112">
        <v>11526</v>
      </c>
      <c r="O19" s="113">
        <v>44621</v>
      </c>
    </row>
    <row r="20" spans="1:18" x14ac:dyDescent="0.3">
      <c r="A20" s="115" t="s">
        <v>203</v>
      </c>
      <c r="B20" s="116">
        <v>13000</v>
      </c>
      <c r="C20" s="116">
        <v>3000</v>
      </c>
      <c r="D20" s="145"/>
      <c r="F20" s="43" t="s">
        <v>182</v>
      </c>
      <c r="G20" s="73">
        <v>354000</v>
      </c>
      <c r="H20" s="43" t="s">
        <v>348</v>
      </c>
      <c r="I20" s="30"/>
      <c r="M20" s="124" t="s">
        <v>298</v>
      </c>
      <c r="N20" s="118">
        <v>5000</v>
      </c>
      <c r="O20" s="113">
        <v>44621</v>
      </c>
    </row>
    <row r="21" spans="1:18" x14ac:dyDescent="0.3">
      <c r="A21" s="43"/>
      <c r="B21" s="73"/>
      <c r="C21" s="73"/>
      <c r="D21" s="43"/>
      <c r="F21" s="87" t="s">
        <v>260</v>
      </c>
      <c r="G21" s="89">
        <v>500000</v>
      </c>
      <c r="M21" s="115" t="s">
        <v>306</v>
      </c>
      <c r="N21" s="116">
        <v>80000</v>
      </c>
      <c r="O21" s="113">
        <v>44621</v>
      </c>
    </row>
    <row r="22" spans="1:18" x14ac:dyDescent="0.3">
      <c r="A22" s="64" t="s">
        <v>5</v>
      </c>
      <c r="B22" s="73">
        <f>SUM(B1:B12)</f>
        <v>115251</v>
      </c>
      <c r="C22" s="73">
        <f>SUM(C1:C12)</f>
        <v>114851</v>
      </c>
      <c r="D22" s="72"/>
      <c r="F22" s="43" t="s">
        <v>273</v>
      </c>
      <c r="G22" s="73">
        <v>30000</v>
      </c>
      <c r="M22" s="115" t="s">
        <v>307</v>
      </c>
      <c r="N22" s="116">
        <v>154000</v>
      </c>
      <c r="O22" s="113">
        <v>44621</v>
      </c>
    </row>
    <row r="23" spans="1:18" x14ac:dyDescent="0.3">
      <c r="A23" s="43"/>
      <c r="B23" s="43"/>
      <c r="C23" s="43"/>
      <c r="D23" s="72"/>
      <c r="F23" s="43"/>
      <c r="G23" s="73">
        <f>SUM(G20:G22)</f>
        <v>884000</v>
      </c>
      <c r="M23" s="124" t="s">
        <v>308</v>
      </c>
      <c r="N23" s="118">
        <v>4000</v>
      </c>
      <c r="O23" s="113">
        <v>44621</v>
      </c>
    </row>
    <row r="24" spans="1:18" ht="15" thickBot="1" x14ac:dyDescent="0.35">
      <c r="A24" s="64" t="s">
        <v>228</v>
      </c>
      <c r="B24" s="43"/>
      <c r="C24" s="62">
        <f>(C22-B22)</f>
        <v>-400</v>
      </c>
      <c r="D24" s="43" t="s">
        <v>227</v>
      </c>
      <c r="F24" s="85"/>
      <c r="G24" s="85"/>
      <c r="M24" s="43" t="s">
        <v>5</v>
      </c>
      <c r="N24" s="73">
        <f>SUM(N15:N23)</f>
        <v>642526</v>
      </c>
      <c r="O24" s="113"/>
    </row>
    <row r="25" spans="1:18" ht="15" thickBot="1" x14ac:dyDescent="0.35">
      <c r="A25" s="64"/>
      <c r="B25" s="43"/>
      <c r="C25" s="43"/>
      <c r="D25" s="43"/>
      <c r="F25" s="103" t="s">
        <v>276</v>
      </c>
      <c r="G25" s="92">
        <f>(N7-G23)</f>
        <v>-74000</v>
      </c>
      <c r="M25" s="43"/>
      <c r="N25" s="106">
        <f>(N5-N24)</f>
        <v>267474</v>
      </c>
      <c r="O25" s="114"/>
      <c r="Q25" s="275" t="s">
        <v>321</v>
      </c>
      <c r="R25" s="276"/>
    </row>
    <row r="26" spans="1:18" x14ac:dyDescent="0.3">
      <c r="A26" s="64" t="s">
        <v>225</v>
      </c>
      <c r="B26" s="43"/>
      <c r="C26" s="62">
        <f>(G7-B22)</f>
        <v>-8251</v>
      </c>
      <c r="D26" s="43"/>
      <c r="M26" s="43"/>
      <c r="N26" s="73"/>
      <c r="O26" s="43"/>
      <c r="Q26" s="271" t="s">
        <v>325</v>
      </c>
      <c r="R26" s="272"/>
    </row>
    <row r="27" spans="1:18" x14ac:dyDescent="0.3">
      <c r="M27" s="43" t="s">
        <v>288</v>
      </c>
      <c r="N27" s="73">
        <f>G6</f>
        <v>240418</v>
      </c>
      <c r="O27" s="113">
        <v>44621</v>
      </c>
      <c r="P27" s="129" t="s">
        <v>301</v>
      </c>
      <c r="Q27" s="84" t="s">
        <v>349</v>
      </c>
      <c r="R27" s="95">
        <v>354000</v>
      </c>
    </row>
    <row r="28" spans="1:18" ht="15" thickBot="1" x14ac:dyDescent="0.35">
      <c r="F28" s="115" t="s">
        <v>273</v>
      </c>
      <c r="G28" s="116">
        <v>150000</v>
      </c>
      <c r="H28" s="61" t="s">
        <v>335</v>
      </c>
      <c r="I28" s="43">
        <v>49700</v>
      </c>
      <c r="J28" s="43">
        <f>(I28*K28)</f>
        <v>298200</v>
      </c>
      <c r="K28" s="43">
        <v>6</v>
      </c>
      <c r="M28" s="43"/>
      <c r="N28" s="85"/>
      <c r="Q28" s="149" t="s">
        <v>322</v>
      </c>
      <c r="R28" s="95"/>
    </row>
    <row r="29" spans="1:18" ht="15" thickBot="1" x14ac:dyDescent="0.35">
      <c r="A29" s="268" t="s">
        <v>303</v>
      </c>
      <c r="B29" s="269"/>
      <c r="C29" s="270"/>
      <c r="F29" s="115" t="s">
        <v>351</v>
      </c>
      <c r="G29" s="116">
        <v>354000</v>
      </c>
      <c r="H29" s="61" t="s">
        <v>280</v>
      </c>
      <c r="I29" s="43"/>
      <c r="J29" s="43">
        <f>(J28*K29/100)</f>
        <v>32802</v>
      </c>
      <c r="K29" s="43">
        <v>11</v>
      </c>
      <c r="M29" s="104" t="s">
        <v>291</v>
      </c>
      <c r="N29" s="105">
        <f>(N27-N25)</f>
        <v>-27056</v>
      </c>
      <c r="Q29" s="84" t="s">
        <v>326</v>
      </c>
      <c r="R29" s="95">
        <f>(R27-R28)</f>
        <v>354000</v>
      </c>
    </row>
    <row r="30" spans="1:18" x14ac:dyDescent="0.3">
      <c r="A30" s="84" t="s">
        <v>304</v>
      </c>
      <c r="B30" s="43"/>
      <c r="C30" s="139">
        <v>8000</v>
      </c>
      <c r="F30" s="115" t="s">
        <v>297</v>
      </c>
      <c r="G30" s="116">
        <v>40000</v>
      </c>
      <c r="H30" s="61" t="s">
        <v>281</v>
      </c>
      <c r="I30" s="43"/>
      <c r="J30" s="43">
        <v>6000</v>
      </c>
      <c r="K30" s="43"/>
      <c r="Q30" s="84"/>
      <c r="R30" s="95"/>
    </row>
    <row r="31" spans="1:18" x14ac:dyDescent="0.3">
      <c r="A31" s="84" t="s">
        <v>305</v>
      </c>
      <c r="B31" s="43"/>
      <c r="C31" s="139">
        <v>20526</v>
      </c>
      <c r="F31" s="115" t="s">
        <v>306</v>
      </c>
      <c r="G31" s="116">
        <v>80000</v>
      </c>
      <c r="H31" s="61"/>
      <c r="I31" s="43"/>
      <c r="J31" s="43">
        <f>(J29+J30)</f>
        <v>38802</v>
      </c>
      <c r="K31" s="43"/>
      <c r="M31" s="43" t="s">
        <v>293</v>
      </c>
      <c r="N31" s="43">
        <v>20000</v>
      </c>
      <c r="Q31" s="271" t="s">
        <v>154</v>
      </c>
      <c r="R31" s="272"/>
    </row>
    <row r="32" spans="1:18" x14ac:dyDescent="0.3">
      <c r="A32" s="84" t="s">
        <v>336</v>
      </c>
      <c r="B32" s="43"/>
      <c r="C32" s="139">
        <v>21500</v>
      </c>
      <c r="F32" s="115" t="s">
        <v>329</v>
      </c>
      <c r="G32" s="116">
        <v>112500</v>
      </c>
      <c r="H32" s="61"/>
      <c r="I32" s="43"/>
      <c r="J32" s="43">
        <f>(J28+J31)</f>
        <v>337002</v>
      </c>
      <c r="K32" s="43"/>
      <c r="M32" s="43"/>
      <c r="N32" s="43"/>
      <c r="Q32" s="84" t="s">
        <v>323</v>
      </c>
      <c r="R32" s="95">
        <v>112500</v>
      </c>
    </row>
    <row r="33" spans="1:18" x14ac:dyDescent="0.3">
      <c r="A33" s="43" t="s">
        <v>353</v>
      </c>
      <c r="B33" s="43"/>
      <c r="C33" s="73">
        <v>60000</v>
      </c>
      <c r="D33" t="s">
        <v>360</v>
      </c>
      <c r="F33" s="43"/>
      <c r="G33" s="73"/>
      <c r="M33" s="43" t="s">
        <v>292</v>
      </c>
      <c r="N33" s="111">
        <v>5000</v>
      </c>
      <c r="O33" s="113">
        <v>44593</v>
      </c>
      <c r="Q33" s="84" t="s">
        <v>324</v>
      </c>
      <c r="R33" s="95">
        <v>86000</v>
      </c>
    </row>
    <row r="34" spans="1:18" x14ac:dyDescent="0.3">
      <c r="A34" s="43" t="s">
        <v>356</v>
      </c>
      <c r="B34" s="43"/>
      <c r="C34" s="73">
        <f>C12+C13+C14+C15+C16+C18</f>
        <v>54032</v>
      </c>
      <c r="F34" s="115" t="s">
        <v>307</v>
      </c>
      <c r="G34" s="116">
        <f>SUM(G28:G33)</f>
        <v>736500</v>
      </c>
      <c r="M34" s="43" t="s">
        <v>285</v>
      </c>
      <c r="N34" s="111">
        <v>1500</v>
      </c>
      <c r="O34" s="113">
        <v>44593</v>
      </c>
      <c r="Q34" s="84" t="s">
        <v>326</v>
      </c>
      <c r="R34" s="95">
        <f>(R32-R33)</f>
        <v>26500</v>
      </c>
    </row>
    <row r="35" spans="1:18" ht="15" thickBot="1" x14ac:dyDescent="0.35">
      <c r="A35" s="151" t="s">
        <v>5</v>
      </c>
      <c r="B35" s="152"/>
      <c r="C35" s="153">
        <f>SUM(C34)</f>
        <v>54032</v>
      </c>
      <c r="F35" s="115"/>
      <c r="G35" s="116"/>
      <c r="H35" s="61" t="s">
        <v>334</v>
      </c>
      <c r="I35" s="43">
        <v>49750</v>
      </c>
      <c r="J35" s="43">
        <f>(I35*K35)</f>
        <v>99500</v>
      </c>
      <c r="K35" s="43">
        <v>2</v>
      </c>
      <c r="M35" s="43" t="s">
        <v>286</v>
      </c>
      <c r="N35" s="111">
        <v>1500</v>
      </c>
      <c r="O35" s="113">
        <v>44593</v>
      </c>
      <c r="Q35" s="84"/>
      <c r="R35" s="119"/>
    </row>
    <row r="36" spans="1:18" ht="15" thickBot="1" x14ac:dyDescent="0.35">
      <c r="H36" s="43" t="s">
        <v>280</v>
      </c>
      <c r="I36" s="43"/>
      <c r="J36" s="43">
        <f>(J35*K36/100)</f>
        <v>9723.14</v>
      </c>
      <c r="K36" s="43">
        <v>9.7720000000000002</v>
      </c>
      <c r="M36" s="43" t="s">
        <v>165</v>
      </c>
      <c r="N36" s="43">
        <v>3000</v>
      </c>
      <c r="O36" s="43">
        <v>17000</v>
      </c>
      <c r="Q36" s="99" t="s">
        <v>327</v>
      </c>
      <c r="R36" s="128">
        <f>(R29+R34)</f>
        <v>380500</v>
      </c>
    </row>
    <row r="37" spans="1:18" x14ac:dyDescent="0.3">
      <c r="H37" s="43"/>
      <c r="I37" s="43"/>
      <c r="J37" s="43">
        <f>SUM(J35:J36)</f>
        <v>109223.14</v>
      </c>
      <c r="K37" s="43"/>
      <c r="M37" s="43" t="s">
        <v>294</v>
      </c>
      <c r="N37" s="43">
        <v>2000</v>
      </c>
      <c r="O37" s="43"/>
    </row>
    <row r="38" spans="1:18" x14ac:dyDescent="0.3">
      <c r="F38" s="43" t="s">
        <v>338</v>
      </c>
      <c r="G38" s="73">
        <v>1600000</v>
      </c>
      <c r="H38" s="61" t="s">
        <v>333</v>
      </c>
      <c r="I38" s="43"/>
      <c r="J38" s="43">
        <f>(J37*K38/100)</f>
        <v>3276.6941999999999</v>
      </c>
      <c r="K38" s="43">
        <v>3</v>
      </c>
      <c r="M38" s="43" t="s">
        <v>5</v>
      </c>
      <c r="N38" s="43">
        <f>SUM(N33:N37)</f>
        <v>13000</v>
      </c>
      <c r="O38" s="43"/>
    </row>
    <row r="39" spans="1:18" ht="15" thickBot="1" x14ac:dyDescent="0.35">
      <c r="F39" s="43" t="s">
        <v>339</v>
      </c>
      <c r="G39" s="73">
        <v>600000</v>
      </c>
      <c r="H39" s="61"/>
      <c r="I39" s="43"/>
      <c r="J39" s="43">
        <f>(J37+J38)</f>
        <v>112499.8342</v>
      </c>
      <c r="K39" s="43"/>
      <c r="M39" s="43"/>
      <c r="N39" s="43"/>
      <c r="O39" s="43"/>
    </row>
    <row r="40" spans="1:18" ht="15" thickBot="1" x14ac:dyDescent="0.35">
      <c r="F40" s="43"/>
      <c r="G40" s="73"/>
      <c r="M40" s="43" t="s">
        <v>288</v>
      </c>
      <c r="N40" s="43">
        <v>3100</v>
      </c>
      <c r="O40" s="43"/>
      <c r="Q40" s="135" t="s">
        <v>331</v>
      </c>
      <c r="R40" s="137">
        <f>(G6+C24)</f>
        <v>240018</v>
      </c>
    </row>
    <row r="41" spans="1:18" x14ac:dyDescent="0.3">
      <c r="F41" s="141" t="s">
        <v>340</v>
      </c>
      <c r="G41" s="142">
        <f>(G38-G39)</f>
        <v>1000000</v>
      </c>
      <c r="M41" s="43"/>
      <c r="N41" s="43"/>
      <c r="O41" s="43"/>
    </row>
    <row r="42" spans="1:18" x14ac:dyDescent="0.3">
      <c r="F42" s="141" t="s">
        <v>341</v>
      </c>
      <c r="G42" s="142">
        <v>32502</v>
      </c>
      <c r="M42" s="43" t="s">
        <v>5</v>
      </c>
      <c r="N42" s="43">
        <f>(N38+N40)</f>
        <v>16100</v>
      </c>
      <c r="O42" s="43"/>
    </row>
    <row r="43" spans="1:18" x14ac:dyDescent="0.3">
      <c r="F43" s="141" t="s">
        <v>343</v>
      </c>
      <c r="G43" s="142">
        <v>38040</v>
      </c>
      <c r="M43" s="43" t="s">
        <v>203</v>
      </c>
      <c r="N43" s="43">
        <v>1200</v>
      </c>
      <c r="O43" s="43"/>
    </row>
    <row r="44" spans="1:18" x14ac:dyDescent="0.3">
      <c r="F44" s="141" t="s">
        <v>342</v>
      </c>
      <c r="G44" s="142">
        <v>46371</v>
      </c>
    </row>
  </sheetData>
  <mergeCells count="8">
    <mergeCell ref="A29:C29"/>
    <mergeCell ref="Q31:R31"/>
    <mergeCell ref="F1:G1"/>
    <mergeCell ref="Q5:R5"/>
    <mergeCell ref="Q25:R25"/>
    <mergeCell ref="Q26:R26"/>
    <mergeCell ref="J1:L1"/>
    <mergeCell ref="J11:K1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F9A2-9543-40BE-8576-2C19BD39C3F0}">
  <dimension ref="A1:R44"/>
  <sheetViews>
    <sheetView workbookViewId="0">
      <selection activeCell="G27" sqref="G27"/>
    </sheetView>
  </sheetViews>
  <sheetFormatPr defaultRowHeight="14.4" x14ac:dyDescent="0.3"/>
  <cols>
    <col min="1" max="1" width="14.6640625" bestFit="1" customWidth="1"/>
    <col min="2" max="2" width="7.88671875" bestFit="1" customWidth="1"/>
    <col min="3" max="3" width="11.109375" bestFit="1" customWidth="1"/>
    <col min="4" max="4" width="18.33203125" bestFit="1" customWidth="1"/>
    <col min="5" max="5" width="21.44140625" bestFit="1" customWidth="1"/>
    <col min="6" max="6" width="10.44140625" bestFit="1" customWidth="1"/>
    <col min="7" max="7" width="23" bestFit="1" customWidth="1"/>
    <col min="8" max="8" width="7.33203125" bestFit="1" customWidth="1"/>
    <col min="9" max="9" width="14" bestFit="1" customWidth="1"/>
    <col min="10" max="10" width="6" bestFit="1" customWidth="1"/>
    <col min="11" max="11" width="8" bestFit="1" customWidth="1"/>
    <col min="12" max="12" width="8" customWidth="1"/>
    <col min="13" max="13" width="17.88671875" bestFit="1" customWidth="1"/>
    <col min="15" max="15" width="8.6640625" bestFit="1" customWidth="1"/>
    <col min="16" max="16" width="6.5546875" bestFit="1" customWidth="1"/>
    <col min="17" max="17" width="14.5546875" bestFit="1" customWidth="1"/>
    <col min="18" max="18" width="10.6640625" bestFit="1" customWidth="1"/>
  </cols>
  <sheetData>
    <row r="1" spans="1:18" x14ac:dyDescent="0.3">
      <c r="A1" s="43" t="s">
        <v>6</v>
      </c>
      <c r="B1" s="73">
        <v>22000</v>
      </c>
      <c r="C1" s="108">
        <v>22000</v>
      </c>
      <c r="D1" s="72"/>
      <c r="E1" s="264" t="s">
        <v>277</v>
      </c>
      <c r="F1" s="265"/>
      <c r="I1" s="279" t="s">
        <v>361</v>
      </c>
      <c r="J1" s="280"/>
      <c r="K1" s="280"/>
      <c r="L1" s="281"/>
      <c r="M1" s="155" t="s">
        <v>253</v>
      </c>
      <c r="N1" s="93">
        <v>1500000</v>
      </c>
    </row>
    <row r="2" spans="1:18" x14ac:dyDescent="0.3">
      <c r="A2" s="43" t="s">
        <v>0</v>
      </c>
      <c r="B2" s="73">
        <v>1482.56</v>
      </c>
      <c r="C2" s="108">
        <v>1482.56</v>
      </c>
      <c r="D2" s="72"/>
      <c r="E2" s="43" t="s">
        <v>309</v>
      </c>
      <c r="F2" s="73">
        <v>86000</v>
      </c>
      <c r="G2" t="s">
        <v>310</v>
      </c>
      <c r="I2" s="110" t="s">
        <v>365</v>
      </c>
      <c r="J2" s="159">
        <v>4</v>
      </c>
      <c r="K2" s="159">
        <v>2200</v>
      </c>
      <c r="L2" s="174">
        <f>(J2*K2)</f>
        <v>8800</v>
      </c>
      <c r="M2" s="61" t="s">
        <v>196</v>
      </c>
      <c r="N2" s="94">
        <v>641000</v>
      </c>
      <c r="P2" s="30"/>
    </row>
    <row r="3" spans="1:18" x14ac:dyDescent="0.3">
      <c r="A3" s="43" t="s">
        <v>1</v>
      </c>
      <c r="B3" s="73">
        <v>5000</v>
      </c>
      <c r="C3" s="108">
        <v>5000</v>
      </c>
      <c r="D3" s="72"/>
      <c r="E3" s="43" t="s">
        <v>265</v>
      </c>
      <c r="F3" s="73">
        <v>54000</v>
      </c>
      <c r="G3" s="73"/>
      <c r="H3" s="30"/>
      <c r="I3" s="110" t="s">
        <v>382</v>
      </c>
      <c r="J3" s="157">
        <v>10</v>
      </c>
      <c r="K3" s="157">
        <v>999</v>
      </c>
      <c r="L3" s="158">
        <f t="shared" ref="L3" si="0">(J3*K3)</f>
        <v>9990</v>
      </c>
      <c r="M3" s="61" t="s">
        <v>177</v>
      </c>
      <c r="N3" s="94">
        <v>206000</v>
      </c>
      <c r="P3" s="30"/>
    </row>
    <row r="4" spans="1:18" ht="15" thickBot="1" x14ac:dyDescent="0.35">
      <c r="A4" s="43" t="s">
        <v>2</v>
      </c>
      <c r="B4" s="73">
        <v>2000</v>
      </c>
      <c r="C4" s="108">
        <v>2000</v>
      </c>
      <c r="D4" s="72"/>
      <c r="E4" s="43" t="s">
        <v>204</v>
      </c>
      <c r="F4" s="73">
        <v>150000</v>
      </c>
      <c r="G4" s="168">
        <f>(290000-F4)</f>
        <v>140000</v>
      </c>
      <c r="I4" s="110" t="s">
        <v>379</v>
      </c>
      <c r="J4" s="157"/>
      <c r="K4" s="157"/>
      <c r="L4" s="158">
        <v>9000</v>
      </c>
      <c r="M4" s="61" t="s">
        <v>6</v>
      </c>
      <c r="N4" s="94">
        <v>63000</v>
      </c>
    </row>
    <row r="5" spans="1:18" ht="15" thickBot="1" x14ac:dyDescent="0.35">
      <c r="A5" s="43" t="s">
        <v>89</v>
      </c>
      <c r="B5" s="73">
        <v>32706</v>
      </c>
      <c r="C5" s="108">
        <v>32706</v>
      </c>
      <c r="D5" s="72"/>
      <c r="E5" s="43" t="s">
        <v>205</v>
      </c>
      <c r="F5" s="43">
        <v>18</v>
      </c>
      <c r="I5" s="110" t="s">
        <v>19</v>
      </c>
      <c r="J5" s="157">
        <v>22</v>
      </c>
      <c r="K5" s="157">
        <v>1321.63</v>
      </c>
      <c r="L5" s="158">
        <f t="shared" ref="L5:L10" si="1">(J5*K5)</f>
        <v>29075.86</v>
      </c>
      <c r="M5" s="156" t="s">
        <v>290</v>
      </c>
      <c r="N5" s="109">
        <f>SUM(N2:N4)</f>
        <v>910000</v>
      </c>
      <c r="Q5" s="277" t="s">
        <v>204</v>
      </c>
      <c r="R5" s="278"/>
    </row>
    <row r="6" spans="1:18" ht="15" thickBot="1" x14ac:dyDescent="0.35">
      <c r="A6" s="43" t="s">
        <v>3</v>
      </c>
      <c r="B6" s="73">
        <v>1600</v>
      </c>
      <c r="C6" s="108">
        <v>1600</v>
      </c>
      <c r="D6" s="72"/>
      <c r="E6" s="43" t="s">
        <v>6</v>
      </c>
      <c r="F6" s="73">
        <f>SUM(F3:F5)</f>
        <v>204018</v>
      </c>
      <c r="G6" s="107" t="s">
        <v>250</v>
      </c>
      <c r="H6" s="166">
        <v>369932</v>
      </c>
      <c r="I6" s="110" t="s">
        <v>362</v>
      </c>
      <c r="J6" s="157">
        <v>6</v>
      </c>
      <c r="K6" s="157">
        <v>1918.68</v>
      </c>
      <c r="L6" s="158">
        <f t="shared" si="1"/>
        <v>11512.08</v>
      </c>
      <c r="M6" s="61" t="s">
        <v>259</v>
      </c>
      <c r="N6" s="95">
        <v>100000</v>
      </c>
      <c r="Q6" s="126" t="s">
        <v>318</v>
      </c>
      <c r="R6" s="95">
        <v>170000</v>
      </c>
    </row>
    <row r="7" spans="1:18" ht="15" thickBot="1" x14ac:dyDescent="0.35">
      <c r="A7" s="43" t="s">
        <v>9</v>
      </c>
      <c r="B7" s="73">
        <v>915</v>
      </c>
      <c r="C7" s="108">
        <v>915</v>
      </c>
      <c r="D7" s="72"/>
      <c r="E7" s="43" t="s">
        <v>404</v>
      </c>
      <c r="F7" s="44">
        <v>100000</v>
      </c>
      <c r="G7" s="107" t="s">
        <v>251</v>
      </c>
      <c r="H7" s="166">
        <v>270811</v>
      </c>
      <c r="I7" s="110" t="s">
        <v>363</v>
      </c>
      <c r="J7" s="157">
        <v>5</v>
      </c>
      <c r="K7" s="157">
        <v>1049.19</v>
      </c>
      <c r="L7" s="158">
        <f t="shared" si="1"/>
        <v>5245.9500000000007</v>
      </c>
      <c r="M7" s="167" t="s">
        <v>269</v>
      </c>
      <c r="N7" s="96">
        <f>(N5-N6)</f>
        <v>810000</v>
      </c>
      <c r="Q7" s="84" t="s">
        <v>357</v>
      </c>
      <c r="R7" s="146">
        <v>123200</v>
      </c>
    </row>
    <row r="8" spans="1:18" ht="15" thickBot="1" x14ac:dyDescent="0.35">
      <c r="A8" s="43" t="s">
        <v>151</v>
      </c>
      <c r="B8" s="73">
        <v>11419</v>
      </c>
      <c r="C8" s="108">
        <v>11419</v>
      </c>
      <c r="D8" s="72"/>
      <c r="G8" s="74" t="s">
        <v>252</v>
      </c>
      <c r="H8" s="166">
        <v>640743</v>
      </c>
      <c r="I8" s="110" t="s">
        <v>364</v>
      </c>
      <c r="J8" s="157">
        <v>11</v>
      </c>
      <c r="K8" s="157">
        <v>470.99</v>
      </c>
      <c r="L8" s="158">
        <f t="shared" si="1"/>
        <v>5180.8900000000003</v>
      </c>
      <c r="N8" s="97"/>
      <c r="Q8" s="147" t="s">
        <v>374</v>
      </c>
      <c r="R8" s="165">
        <v>54032</v>
      </c>
    </row>
    <row r="9" spans="1:18" ht="15" thickBot="1" x14ac:dyDescent="0.35">
      <c r="A9" s="43" t="s">
        <v>107</v>
      </c>
      <c r="B9" s="73">
        <v>590</v>
      </c>
      <c r="C9" s="108">
        <v>590</v>
      </c>
      <c r="D9" s="72"/>
      <c r="E9" s="88" t="s">
        <v>6</v>
      </c>
      <c r="F9" s="90">
        <v>810000</v>
      </c>
      <c r="I9" s="110" t="s">
        <v>377</v>
      </c>
      <c r="J9" s="157">
        <v>4</v>
      </c>
      <c r="K9" s="157">
        <v>1376.72</v>
      </c>
      <c r="L9" s="158">
        <f t="shared" si="1"/>
        <v>5506.88</v>
      </c>
      <c r="N9" s="97"/>
      <c r="Q9" s="84" t="s">
        <v>346</v>
      </c>
      <c r="R9" s="90">
        <f>(R6+R8)</f>
        <v>224032</v>
      </c>
    </row>
    <row r="10" spans="1:18" ht="15" thickBot="1" x14ac:dyDescent="0.35">
      <c r="A10" s="43" t="s">
        <v>174</v>
      </c>
      <c r="B10" s="73">
        <v>2000</v>
      </c>
      <c r="C10" s="108">
        <v>1000</v>
      </c>
      <c r="D10" s="72"/>
      <c r="E10" s="87" t="s">
        <v>263</v>
      </c>
      <c r="F10" s="89">
        <v>300000</v>
      </c>
      <c r="G10">
        <f>(F10/50000)</f>
        <v>6</v>
      </c>
      <c r="I10" s="110" t="s">
        <v>380</v>
      </c>
      <c r="J10" s="157">
        <v>5</v>
      </c>
      <c r="K10" s="157">
        <v>958</v>
      </c>
      <c r="L10" s="158">
        <f t="shared" si="1"/>
        <v>4790</v>
      </c>
      <c r="M10" s="69" t="s">
        <v>254</v>
      </c>
      <c r="N10" s="98">
        <f>(N7-N1)</f>
        <v>-690000</v>
      </c>
      <c r="Q10" s="84" t="s">
        <v>347</v>
      </c>
      <c r="R10" s="95">
        <f>(R7-R8)</f>
        <v>69168</v>
      </c>
    </row>
    <row r="11" spans="1:18" x14ac:dyDescent="0.3">
      <c r="A11" s="115" t="s">
        <v>249</v>
      </c>
      <c r="B11" s="134">
        <v>16000</v>
      </c>
      <c r="C11" s="134">
        <v>16000</v>
      </c>
      <c r="D11" s="43" t="s">
        <v>384</v>
      </c>
      <c r="E11" s="43" t="s">
        <v>260</v>
      </c>
      <c r="F11" s="73">
        <f>(F9-F10)</f>
        <v>510000</v>
      </c>
      <c r="I11" s="110"/>
      <c r="J11" s="157"/>
      <c r="K11" s="157"/>
      <c r="L11" s="158"/>
      <c r="Q11" s="84" t="s">
        <v>345</v>
      </c>
      <c r="R11" s="95">
        <f>B22</f>
        <v>115712.56</v>
      </c>
    </row>
    <row r="12" spans="1:18" ht="15" thickBot="1" x14ac:dyDescent="0.35">
      <c r="A12" s="123" t="s">
        <v>308</v>
      </c>
      <c r="B12" s="123">
        <v>2000</v>
      </c>
      <c r="C12" s="123">
        <v>2000</v>
      </c>
      <c r="D12" s="72"/>
      <c r="E12" s="43" t="s">
        <v>261</v>
      </c>
      <c r="F12" s="73">
        <v>100000</v>
      </c>
      <c r="I12" s="169"/>
      <c r="J12" s="170"/>
      <c r="K12" s="173"/>
      <c r="L12" s="171"/>
      <c r="Q12" s="84"/>
      <c r="R12" s="119"/>
    </row>
    <row r="13" spans="1:18" ht="15" thickBot="1" x14ac:dyDescent="0.35">
      <c r="A13" s="123" t="s">
        <v>375</v>
      </c>
      <c r="B13" s="123">
        <v>7500</v>
      </c>
      <c r="C13" s="123">
        <v>7500</v>
      </c>
      <c r="D13" s="72"/>
      <c r="E13" s="43"/>
      <c r="F13" s="73">
        <f>SUM(F11:F12)</f>
        <v>610000</v>
      </c>
      <c r="G13" s="30">
        <f>(F4-3600)</f>
        <v>146400</v>
      </c>
      <c r="L13" s="175">
        <f>SUM(L3:L12)</f>
        <v>80301.66</v>
      </c>
      <c r="Q13" s="84" t="s">
        <v>214</v>
      </c>
      <c r="R13" s="150">
        <f>(R10-R11)</f>
        <v>-46544.56</v>
      </c>
    </row>
    <row r="14" spans="1:18" x14ac:dyDescent="0.3">
      <c r="A14" s="123" t="s">
        <v>376</v>
      </c>
      <c r="B14" s="123">
        <v>2000</v>
      </c>
      <c r="C14" s="123">
        <v>2000</v>
      </c>
      <c r="D14" s="72"/>
      <c r="E14" s="43" t="s">
        <v>262</v>
      </c>
      <c r="F14" s="73">
        <v>1500000</v>
      </c>
      <c r="Q14" s="84"/>
      <c r="R14" s="95"/>
    </row>
    <row r="15" spans="1:18" ht="15" thickBot="1" x14ac:dyDescent="0.35">
      <c r="A15" s="123" t="s">
        <v>383</v>
      </c>
      <c r="B15" s="123">
        <v>8500</v>
      </c>
      <c r="C15" s="123">
        <v>8500</v>
      </c>
      <c r="D15" s="72"/>
      <c r="E15" s="43"/>
      <c r="F15" s="73"/>
      <c r="M15" s="115" t="s">
        <v>273</v>
      </c>
      <c r="N15" s="116">
        <v>150000</v>
      </c>
      <c r="O15" s="43" t="s">
        <v>299</v>
      </c>
      <c r="Q15" s="99"/>
      <c r="R15" s="128"/>
    </row>
    <row r="16" spans="1:18" ht="15" thickBot="1" x14ac:dyDescent="0.35">
      <c r="A16" s="115" t="s">
        <v>378</v>
      </c>
      <c r="B16" s="134">
        <v>100000</v>
      </c>
      <c r="C16" s="134">
        <v>100000</v>
      </c>
      <c r="D16" s="72"/>
      <c r="E16" s="85"/>
      <c r="F16" s="91"/>
      <c r="M16" s="115" t="s">
        <v>289</v>
      </c>
      <c r="N16" s="116">
        <v>200000</v>
      </c>
      <c r="O16" s="113">
        <v>44593</v>
      </c>
    </row>
    <row r="17" spans="1:18" ht="15" thickBot="1" x14ac:dyDescent="0.35">
      <c r="A17" s="116" t="s">
        <v>123</v>
      </c>
      <c r="B17" s="116">
        <v>150000</v>
      </c>
      <c r="C17" s="116">
        <v>130000</v>
      </c>
      <c r="D17" s="73">
        <v>20000</v>
      </c>
      <c r="E17" s="86" t="s">
        <v>264</v>
      </c>
      <c r="F17" s="92">
        <f>(F13-F14)</f>
        <v>-890000</v>
      </c>
      <c r="M17" s="123" t="s">
        <v>302</v>
      </c>
      <c r="N17" s="112">
        <f>SUM(N33:N35)</f>
        <v>8000</v>
      </c>
      <c r="O17" s="113">
        <v>44593</v>
      </c>
    </row>
    <row r="18" spans="1:18" x14ac:dyDescent="0.3">
      <c r="A18" s="123" t="s">
        <v>85</v>
      </c>
      <c r="B18" s="123">
        <v>20000</v>
      </c>
      <c r="C18" s="43"/>
      <c r="D18" s="72"/>
      <c r="M18" s="115" t="s">
        <v>297</v>
      </c>
      <c r="N18" s="116">
        <v>30000</v>
      </c>
      <c r="O18" s="113">
        <v>44593</v>
      </c>
    </row>
    <row r="19" spans="1:18" x14ac:dyDescent="0.3">
      <c r="A19" s="115" t="s">
        <v>352</v>
      </c>
      <c r="B19" s="172">
        <v>40000</v>
      </c>
      <c r="C19" s="172">
        <v>40000</v>
      </c>
      <c r="D19" s="43"/>
      <c r="H19" s="65"/>
      <c r="M19" s="80" t="s">
        <v>268</v>
      </c>
      <c r="N19" s="112">
        <v>11526</v>
      </c>
      <c r="O19" s="113">
        <v>44621</v>
      </c>
    </row>
    <row r="20" spans="1:18" x14ac:dyDescent="0.3">
      <c r="A20" s="115" t="s">
        <v>203</v>
      </c>
      <c r="B20" s="116">
        <v>10000</v>
      </c>
      <c r="C20" s="106"/>
      <c r="D20" s="145"/>
      <c r="E20" s="43" t="s">
        <v>182</v>
      </c>
      <c r="F20" s="73">
        <v>354000</v>
      </c>
      <c r="G20" s="43" t="s">
        <v>348</v>
      </c>
      <c r="H20" s="30"/>
      <c r="M20" s="124" t="s">
        <v>298</v>
      </c>
      <c r="N20" s="118">
        <v>5000</v>
      </c>
      <c r="O20" s="113">
        <v>44621</v>
      </c>
    </row>
    <row r="21" spans="1:18" x14ac:dyDescent="0.3">
      <c r="A21" s="115" t="s">
        <v>381</v>
      </c>
      <c r="B21" s="116">
        <v>20000</v>
      </c>
      <c r="C21" s="73"/>
      <c r="D21" s="43"/>
      <c r="E21" s="87" t="s">
        <v>260</v>
      </c>
      <c r="F21" s="89">
        <v>500000</v>
      </c>
      <c r="M21" s="115" t="s">
        <v>306</v>
      </c>
      <c r="N21" s="116">
        <v>80000</v>
      </c>
      <c r="O21" s="113">
        <v>44621</v>
      </c>
    </row>
    <row r="22" spans="1:18" x14ac:dyDescent="0.3">
      <c r="A22" s="64" t="s">
        <v>5</v>
      </c>
      <c r="B22" s="73">
        <f>SUM(B1:B15)</f>
        <v>115712.56</v>
      </c>
      <c r="C22" s="73">
        <f>SUM(C1:C15)</f>
        <v>114712.56</v>
      </c>
      <c r="D22" s="72"/>
      <c r="E22" s="43" t="s">
        <v>273</v>
      </c>
      <c r="F22" s="73">
        <v>30000</v>
      </c>
      <c r="M22" s="115" t="s">
        <v>307</v>
      </c>
      <c r="N22" s="116">
        <v>154000</v>
      </c>
      <c r="O22" s="113">
        <v>44621</v>
      </c>
    </row>
    <row r="23" spans="1:18" x14ac:dyDescent="0.3">
      <c r="A23" s="43"/>
      <c r="B23" s="43"/>
      <c r="C23" s="43"/>
      <c r="D23" s="72"/>
      <c r="E23" s="43"/>
      <c r="F23" s="73">
        <f>SUM(F20:F22)</f>
        <v>884000</v>
      </c>
      <c r="M23" s="124" t="s">
        <v>308</v>
      </c>
      <c r="N23" s="118">
        <v>4000</v>
      </c>
      <c r="O23" s="113">
        <v>44621</v>
      </c>
    </row>
    <row r="24" spans="1:18" ht="15" thickBot="1" x14ac:dyDescent="0.35">
      <c r="A24" s="64" t="s">
        <v>228</v>
      </c>
      <c r="B24" s="43"/>
      <c r="C24" s="62">
        <f>(C22-B22)</f>
        <v>-1000</v>
      </c>
      <c r="D24" s="43" t="s">
        <v>227</v>
      </c>
      <c r="E24" s="85"/>
      <c r="F24" s="85"/>
      <c r="M24" s="43" t="s">
        <v>5</v>
      </c>
      <c r="N24" s="73">
        <f>SUM(N15:N23)</f>
        <v>642526</v>
      </c>
      <c r="O24" s="113"/>
    </row>
    <row r="25" spans="1:18" ht="15" thickBot="1" x14ac:dyDescent="0.35">
      <c r="A25" s="64"/>
      <c r="B25" s="43"/>
      <c r="C25" s="43"/>
      <c r="D25" s="43"/>
      <c r="E25" s="103" t="s">
        <v>276</v>
      </c>
      <c r="F25" s="92">
        <f>(N7-F23)</f>
        <v>-74000</v>
      </c>
      <c r="M25" s="43"/>
      <c r="N25" s="106">
        <f>(N5-N24)</f>
        <v>267474</v>
      </c>
      <c r="O25" s="114"/>
      <c r="Q25" s="275" t="s">
        <v>321</v>
      </c>
      <c r="R25" s="276"/>
    </row>
    <row r="26" spans="1:18" x14ac:dyDescent="0.3">
      <c r="A26" s="64" t="s">
        <v>225</v>
      </c>
      <c r="B26" s="43"/>
      <c r="C26" s="62">
        <f>(G4+C24)</f>
        <v>139000</v>
      </c>
      <c r="D26" s="43"/>
      <c r="M26" s="43"/>
      <c r="N26" s="73"/>
      <c r="O26" s="43"/>
      <c r="Q26" s="271" t="s">
        <v>325</v>
      </c>
      <c r="R26" s="272"/>
    </row>
    <row r="27" spans="1:18" x14ac:dyDescent="0.3">
      <c r="M27" s="43" t="s">
        <v>288</v>
      </c>
      <c r="N27" s="73">
        <f>F6</f>
        <v>204018</v>
      </c>
      <c r="O27" s="113">
        <v>44621</v>
      </c>
      <c r="P27" s="129" t="s">
        <v>301</v>
      </c>
      <c r="Q27" s="84" t="s">
        <v>349</v>
      </c>
      <c r="R27" s="95">
        <v>354000</v>
      </c>
    </row>
    <row r="28" spans="1:18" ht="15" thickBot="1" x14ac:dyDescent="0.35">
      <c r="E28" s="115" t="s">
        <v>273</v>
      </c>
      <c r="F28" s="116">
        <v>150000</v>
      </c>
      <c r="G28" s="61" t="s">
        <v>335</v>
      </c>
      <c r="H28" s="43">
        <v>49700</v>
      </c>
      <c r="I28" s="43">
        <f>(H28*J28)</f>
        <v>298200</v>
      </c>
      <c r="J28" s="43">
        <v>6</v>
      </c>
      <c r="M28" s="43"/>
      <c r="N28" s="85"/>
      <c r="Q28" s="149" t="s">
        <v>322</v>
      </c>
      <c r="R28" s="95"/>
    </row>
    <row r="29" spans="1:18" ht="15" thickBot="1" x14ac:dyDescent="0.35">
      <c r="A29" s="268" t="s">
        <v>303</v>
      </c>
      <c r="B29" s="269"/>
      <c r="C29" s="270"/>
      <c r="E29" s="115" t="s">
        <v>351</v>
      </c>
      <c r="F29" s="116">
        <v>354000</v>
      </c>
      <c r="G29" s="61" t="s">
        <v>280</v>
      </c>
      <c r="H29" s="43"/>
      <c r="I29" s="43">
        <f>(I28*J29/100)</f>
        <v>32802</v>
      </c>
      <c r="J29" s="43">
        <v>11</v>
      </c>
      <c r="M29" s="104" t="s">
        <v>291</v>
      </c>
      <c r="N29" s="105">
        <f>(N27-N25)</f>
        <v>-63456</v>
      </c>
      <c r="Q29" s="84" t="s">
        <v>326</v>
      </c>
      <c r="R29" s="95">
        <f>(R27-R28)</f>
        <v>354000</v>
      </c>
    </row>
    <row r="30" spans="1:18" x14ac:dyDescent="0.3">
      <c r="A30" s="84" t="s">
        <v>304</v>
      </c>
      <c r="B30" s="43"/>
      <c r="C30" s="139">
        <v>8000</v>
      </c>
      <c r="E30" s="115" t="s">
        <v>297</v>
      </c>
      <c r="F30" s="116">
        <v>40000</v>
      </c>
      <c r="G30" s="61" t="s">
        <v>281</v>
      </c>
      <c r="H30" s="43"/>
      <c r="I30" s="43">
        <v>6000</v>
      </c>
      <c r="J30" s="43"/>
      <c r="Q30" s="84"/>
      <c r="R30" s="95"/>
    </row>
    <row r="31" spans="1:18" x14ac:dyDescent="0.3">
      <c r="A31" s="84" t="s">
        <v>305</v>
      </c>
      <c r="B31" s="43"/>
      <c r="C31" s="139">
        <v>20526</v>
      </c>
      <c r="E31" s="115" t="s">
        <v>306</v>
      </c>
      <c r="F31" s="116">
        <v>80000</v>
      </c>
      <c r="G31" s="61"/>
      <c r="H31" s="43"/>
      <c r="I31" s="43">
        <f>(I29+I30)</f>
        <v>38802</v>
      </c>
      <c r="J31" s="43"/>
      <c r="M31" s="43" t="s">
        <v>293</v>
      </c>
      <c r="N31" s="43">
        <v>20000</v>
      </c>
      <c r="Q31" s="271" t="s">
        <v>154</v>
      </c>
      <c r="R31" s="272"/>
    </row>
    <row r="32" spans="1:18" x14ac:dyDescent="0.3">
      <c r="A32" s="84" t="s">
        <v>336</v>
      </c>
      <c r="B32" s="43"/>
      <c r="C32" s="139">
        <v>21500</v>
      </c>
      <c r="E32" s="115" t="s">
        <v>329</v>
      </c>
      <c r="F32" s="116">
        <v>112500</v>
      </c>
      <c r="G32" s="61"/>
      <c r="H32" s="43"/>
      <c r="I32" s="43">
        <f>(I28+I31)</f>
        <v>337002</v>
      </c>
      <c r="J32" s="43"/>
      <c r="M32" s="43"/>
      <c r="N32" s="43"/>
      <c r="Q32" s="84" t="s">
        <v>323</v>
      </c>
      <c r="R32" s="95">
        <v>112500</v>
      </c>
    </row>
    <row r="33" spans="1:18" x14ac:dyDescent="0.3">
      <c r="A33" s="43" t="s">
        <v>353</v>
      </c>
      <c r="B33" s="43"/>
      <c r="C33" s="73">
        <v>60000</v>
      </c>
      <c r="D33" t="s">
        <v>360</v>
      </c>
      <c r="E33" s="43"/>
      <c r="F33" s="73"/>
      <c r="M33" s="43" t="s">
        <v>292</v>
      </c>
      <c r="N33" s="111">
        <v>5000</v>
      </c>
      <c r="O33" s="113">
        <v>44593</v>
      </c>
      <c r="Q33" s="84" t="s">
        <v>324</v>
      </c>
      <c r="R33" s="95">
        <v>86000</v>
      </c>
    </row>
    <row r="34" spans="1:18" x14ac:dyDescent="0.3">
      <c r="A34" s="43" t="s">
        <v>356</v>
      </c>
      <c r="B34" s="43"/>
      <c r="C34" s="73">
        <f>C12+C13+C14+J17+C15</f>
        <v>20000</v>
      </c>
      <c r="E34" s="115" t="s">
        <v>307</v>
      </c>
      <c r="F34" s="116">
        <f>SUM(F28:F33)</f>
        <v>736500</v>
      </c>
      <c r="M34" s="43" t="s">
        <v>285</v>
      </c>
      <c r="N34" s="111">
        <v>1500</v>
      </c>
      <c r="O34" s="113">
        <v>44593</v>
      </c>
      <c r="Q34" s="84" t="s">
        <v>326</v>
      </c>
      <c r="R34" s="95">
        <f>(R32-R33)</f>
        <v>26500</v>
      </c>
    </row>
    <row r="35" spans="1:18" ht="15" thickBot="1" x14ac:dyDescent="0.35">
      <c r="A35" s="151" t="s">
        <v>5</v>
      </c>
      <c r="B35" s="152"/>
      <c r="C35" s="153">
        <f>SUM(C34)</f>
        <v>20000</v>
      </c>
      <c r="E35" s="115"/>
      <c r="F35" s="116"/>
      <c r="G35" s="61" t="s">
        <v>334</v>
      </c>
      <c r="H35" s="43">
        <v>49750</v>
      </c>
      <c r="I35" s="43">
        <f>(H35*J35)</f>
        <v>99500</v>
      </c>
      <c r="J35" s="43">
        <v>2</v>
      </c>
      <c r="M35" s="43" t="s">
        <v>286</v>
      </c>
      <c r="N35" s="111">
        <v>1500</v>
      </c>
      <c r="O35" s="113">
        <v>44593</v>
      </c>
      <c r="Q35" s="84"/>
      <c r="R35" s="119"/>
    </row>
    <row r="36" spans="1:18" ht="15" thickBot="1" x14ac:dyDescent="0.35">
      <c r="G36" s="43" t="s">
        <v>280</v>
      </c>
      <c r="H36" s="43"/>
      <c r="I36" s="43">
        <f>(I35*J36/100)</f>
        <v>9723.14</v>
      </c>
      <c r="J36" s="43">
        <v>9.7720000000000002</v>
      </c>
      <c r="M36" s="43" t="s">
        <v>165</v>
      </c>
      <c r="N36" s="43">
        <v>3000</v>
      </c>
      <c r="O36" s="43">
        <v>17000</v>
      </c>
      <c r="Q36" s="99" t="s">
        <v>327</v>
      </c>
      <c r="R36" s="128">
        <f>(R29+R34)</f>
        <v>380500</v>
      </c>
    </row>
    <row r="37" spans="1:18" x14ac:dyDescent="0.3">
      <c r="G37" s="43"/>
      <c r="H37" s="43"/>
      <c r="I37" s="43">
        <f>SUM(I35:I36)</f>
        <v>109223.14</v>
      </c>
      <c r="J37" s="43"/>
      <c r="M37" s="43" t="s">
        <v>294</v>
      </c>
      <c r="N37" s="43">
        <v>2000</v>
      </c>
      <c r="O37" s="43"/>
    </row>
    <row r="38" spans="1:18" x14ac:dyDescent="0.3">
      <c r="E38" s="43" t="s">
        <v>338</v>
      </c>
      <c r="F38" s="73">
        <v>1600000</v>
      </c>
      <c r="G38" s="61" t="s">
        <v>333</v>
      </c>
      <c r="H38" s="43"/>
      <c r="I38" s="43">
        <f>(I37*J38/100)</f>
        <v>3276.6941999999999</v>
      </c>
      <c r="J38" s="43">
        <v>3</v>
      </c>
      <c r="M38" s="43" t="s">
        <v>5</v>
      </c>
      <c r="N38" s="43">
        <f>SUM(N33:N37)</f>
        <v>13000</v>
      </c>
      <c r="O38" s="43"/>
    </row>
    <row r="39" spans="1:18" ht="15" thickBot="1" x14ac:dyDescent="0.35">
      <c r="E39" s="43" t="s">
        <v>339</v>
      </c>
      <c r="F39" s="73">
        <v>600000</v>
      </c>
      <c r="G39" s="61"/>
      <c r="H39" s="43"/>
      <c r="I39" s="43">
        <f>(I37+I38)</f>
        <v>112499.8342</v>
      </c>
      <c r="J39" s="43"/>
      <c r="M39" s="43"/>
      <c r="N39" s="43"/>
      <c r="O39" s="43"/>
    </row>
    <row r="40" spans="1:18" ht="15" thickBot="1" x14ac:dyDescent="0.35">
      <c r="E40" s="43"/>
      <c r="F40" s="73"/>
      <c r="M40" s="43" t="s">
        <v>288</v>
      </c>
      <c r="N40" s="43">
        <v>3100</v>
      </c>
      <c r="O40" s="43"/>
      <c r="Q40" s="135" t="s">
        <v>331</v>
      </c>
      <c r="R40" s="137">
        <f>(F6+C24)</f>
        <v>203018</v>
      </c>
    </row>
    <row r="41" spans="1:18" x14ac:dyDescent="0.3">
      <c r="E41" s="141" t="s">
        <v>340</v>
      </c>
      <c r="F41" s="142">
        <f>(F38-F39)</f>
        <v>1000000</v>
      </c>
      <c r="M41" s="43"/>
      <c r="N41" s="43"/>
      <c r="O41" s="43"/>
    </row>
    <row r="42" spans="1:18" x14ac:dyDescent="0.3">
      <c r="E42" s="141" t="s">
        <v>341</v>
      </c>
      <c r="F42" s="142">
        <v>32502</v>
      </c>
      <c r="M42" s="43" t="s">
        <v>5</v>
      </c>
      <c r="N42" s="43">
        <f>(N38+N40)</f>
        <v>16100</v>
      </c>
      <c r="O42" s="43"/>
    </row>
    <row r="43" spans="1:18" x14ac:dyDescent="0.3">
      <c r="E43" s="141" t="s">
        <v>343</v>
      </c>
      <c r="F43" s="142">
        <v>38040</v>
      </c>
      <c r="M43" s="43" t="s">
        <v>203</v>
      </c>
      <c r="N43" s="43">
        <v>1200</v>
      </c>
      <c r="O43" s="43"/>
    </row>
    <row r="44" spans="1:18" x14ac:dyDescent="0.3">
      <c r="E44" s="141" t="s">
        <v>342</v>
      </c>
      <c r="F44" s="142">
        <v>46371</v>
      </c>
    </row>
  </sheetData>
  <mergeCells count="7">
    <mergeCell ref="A29:C29"/>
    <mergeCell ref="Q31:R31"/>
    <mergeCell ref="E1:F1"/>
    <mergeCell ref="Q5:R5"/>
    <mergeCell ref="Q25:R25"/>
    <mergeCell ref="Q26:R26"/>
    <mergeCell ref="I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31"/>
  <sheetViews>
    <sheetView zoomScaleNormal="100" zoomScaleSheetLayoutView="100" workbookViewId="0">
      <selection activeCell="G27" sqref="G27"/>
    </sheetView>
  </sheetViews>
  <sheetFormatPr defaultRowHeight="14.4" x14ac:dyDescent="0.3"/>
  <cols>
    <col min="1" max="1" width="21.5546875" bestFit="1" customWidth="1"/>
    <col min="2" max="2" width="10.6640625" bestFit="1" customWidth="1"/>
    <col min="3" max="3" width="11.33203125" bestFit="1" customWidth="1"/>
    <col min="4" max="4" width="13" bestFit="1" customWidth="1"/>
    <col min="5" max="5" width="9.6640625" bestFit="1" customWidth="1"/>
    <col min="7" max="7" width="12.109375" bestFit="1" customWidth="1"/>
    <col min="8" max="8" width="7.6640625" customWidth="1"/>
  </cols>
  <sheetData>
    <row r="3" spans="1:4" x14ac:dyDescent="0.3">
      <c r="A3" s="1" t="s">
        <v>7</v>
      </c>
      <c r="B3" s="1" t="s">
        <v>8</v>
      </c>
      <c r="C3" s="9" t="s">
        <v>26</v>
      </c>
    </row>
    <row r="4" spans="1:4" x14ac:dyDescent="0.3">
      <c r="A4" s="2" t="s">
        <v>6</v>
      </c>
      <c r="B4" s="6">
        <v>21000</v>
      </c>
      <c r="C4" s="2">
        <v>21000</v>
      </c>
    </row>
    <row r="5" spans="1:4" x14ac:dyDescent="0.3">
      <c r="A5" s="2" t="s">
        <v>0</v>
      </c>
      <c r="B5" s="5">
        <v>53189</v>
      </c>
      <c r="C5" s="2">
        <v>53189</v>
      </c>
      <c r="D5">
        <v>28485.47</v>
      </c>
    </row>
    <row r="6" spans="1:4" x14ac:dyDescent="0.3">
      <c r="A6" s="2" t="s">
        <v>1</v>
      </c>
      <c r="B6" s="4">
        <v>10000</v>
      </c>
      <c r="C6" s="2">
        <v>10000</v>
      </c>
    </row>
    <row r="7" spans="1:4" x14ac:dyDescent="0.3">
      <c r="A7" s="2" t="s">
        <v>2</v>
      </c>
      <c r="B7" s="4">
        <v>15000</v>
      </c>
      <c r="C7" s="2">
        <v>15000</v>
      </c>
    </row>
    <row r="8" spans="1:4" x14ac:dyDescent="0.3">
      <c r="A8" s="2" t="s">
        <v>89</v>
      </c>
      <c r="B8" s="13">
        <v>29706</v>
      </c>
      <c r="C8" s="2">
        <v>29706</v>
      </c>
    </row>
    <row r="9" spans="1:4" x14ac:dyDescent="0.3">
      <c r="A9" s="2" t="s">
        <v>3</v>
      </c>
      <c r="B9" s="4"/>
      <c r="C9" s="2"/>
    </row>
    <row r="10" spans="1:4" x14ac:dyDescent="0.3">
      <c r="A10" s="2" t="s">
        <v>9</v>
      </c>
      <c r="B10" s="4">
        <v>152</v>
      </c>
      <c r="C10" s="2">
        <v>152</v>
      </c>
    </row>
    <row r="11" spans="1:4" x14ac:dyDescent="0.3">
      <c r="A11" s="2" t="s">
        <v>15</v>
      </c>
      <c r="B11" s="7">
        <v>7500</v>
      </c>
      <c r="C11" s="2">
        <v>7500</v>
      </c>
    </row>
    <row r="12" spans="1:4" x14ac:dyDescent="0.3">
      <c r="A12" s="2" t="s">
        <v>17</v>
      </c>
      <c r="B12" s="7">
        <v>25000</v>
      </c>
      <c r="C12" s="2">
        <v>25000</v>
      </c>
    </row>
    <row r="13" spans="1:4" x14ac:dyDescent="0.3">
      <c r="A13" s="2" t="s">
        <v>32</v>
      </c>
      <c r="B13" s="2">
        <v>10526</v>
      </c>
      <c r="C13" s="2">
        <v>10526</v>
      </c>
    </row>
    <row r="14" spans="1:4" x14ac:dyDescent="0.3">
      <c r="A14" s="2" t="s">
        <v>33</v>
      </c>
      <c r="B14" s="2">
        <v>37757.620000000003</v>
      </c>
      <c r="C14" s="2">
        <v>37757.620000000003</v>
      </c>
    </row>
    <row r="15" spans="1:4" x14ac:dyDescent="0.3">
      <c r="A15" s="2"/>
      <c r="B15" s="2"/>
      <c r="C15" s="2"/>
    </row>
    <row r="16" spans="1:4" x14ac:dyDescent="0.3">
      <c r="A16" s="2"/>
      <c r="B16" s="2"/>
      <c r="C16" s="2"/>
    </row>
    <row r="17" spans="1:9" x14ac:dyDescent="0.3">
      <c r="A17" s="2" t="s">
        <v>5</v>
      </c>
      <c r="B17" s="3">
        <f>SUM(B4:B14)</f>
        <v>209830.62</v>
      </c>
      <c r="C17" s="2">
        <f>SUM(C4:C14)</f>
        <v>209830.62</v>
      </c>
    </row>
    <row r="18" spans="1:9" x14ac:dyDescent="0.3">
      <c r="B18" s="10"/>
    </row>
    <row r="19" spans="1:9" x14ac:dyDescent="0.3">
      <c r="A19" t="s">
        <v>29</v>
      </c>
      <c r="B19" s="10"/>
      <c r="C19" s="11">
        <f>(C17-B17)</f>
        <v>0</v>
      </c>
      <c r="D19" s="11">
        <f>SUM(C19,E26)</f>
        <v>72153.259999999995</v>
      </c>
    </row>
    <row r="20" spans="1:9" x14ac:dyDescent="0.3">
      <c r="B20" s="10"/>
    </row>
    <row r="21" spans="1:9" x14ac:dyDescent="0.3">
      <c r="D21" s="8" t="s">
        <v>16</v>
      </c>
      <c r="E21" s="2">
        <v>10000</v>
      </c>
      <c r="F21" s="2"/>
      <c r="G21" s="2"/>
      <c r="H21" s="1" t="s">
        <v>22</v>
      </c>
      <c r="I21" s="1" t="s">
        <v>23</v>
      </c>
    </row>
    <row r="22" spans="1:9" x14ac:dyDescent="0.3">
      <c r="A22" t="s">
        <v>35</v>
      </c>
      <c r="B22">
        <v>78350</v>
      </c>
      <c r="D22" s="8" t="s">
        <v>18</v>
      </c>
      <c r="E22" s="2">
        <v>209.43</v>
      </c>
      <c r="F22" s="2"/>
      <c r="G22" s="251" t="s">
        <v>21</v>
      </c>
      <c r="H22" s="2">
        <v>3669.56</v>
      </c>
      <c r="I22" s="2"/>
    </row>
    <row r="23" spans="1:9" x14ac:dyDescent="0.3">
      <c r="A23" t="s">
        <v>34</v>
      </c>
      <c r="B23">
        <v>30000</v>
      </c>
      <c r="D23" s="8" t="s">
        <v>19</v>
      </c>
      <c r="E23" s="2">
        <v>71943.83</v>
      </c>
      <c r="F23" s="2"/>
      <c r="G23" s="251"/>
      <c r="H23" s="2">
        <v>5000</v>
      </c>
      <c r="I23" s="2"/>
    </row>
    <row r="24" spans="1:9" x14ac:dyDescent="0.3">
      <c r="A24" t="s">
        <v>11</v>
      </c>
      <c r="B24">
        <v>20000</v>
      </c>
      <c r="D24" s="8" t="s">
        <v>20</v>
      </c>
      <c r="E24" s="2"/>
      <c r="F24" s="2"/>
      <c r="G24" s="8" t="s">
        <v>25</v>
      </c>
      <c r="H24" s="2">
        <v>2098.36</v>
      </c>
      <c r="I24" s="2"/>
    </row>
    <row r="25" spans="1:9" x14ac:dyDescent="0.3">
      <c r="D25" s="8"/>
      <c r="E25" s="2"/>
      <c r="F25" s="2"/>
      <c r="G25" s="8" t="s">
        <v>24</v>
      </c>
      <c r="H25" s="2"/>
      <c r="I25" s="2">
        <v>9.14</v>
      </c>
    </row>
    <row r="26" spans="1:9" x14ac:dyDescent="0.3">
      <c r="D26" s="8" t="s">
        <v>10</v>
      </c>
      <c r="E26" s="2">
        <f>SUM(E22:E23)</f>
        <v>72153.259999999995</v>
      </c>
      <c r="F26" s="2"/>
      <c r="G26" s="8" t="s">
        <v>10</v>
      </c>
      <c r="H26" s="2">
        <f>SUM(H22:H24)</f>
        <v>10767.92</v>
      </c>
      <c r="I26" s="2">
        <f>(H26*I25)</f>
        <v>98418.788800000009</v>
      </c>
    </row>
    <row r="30" spans="1:9" ht="57.6" x14ac:dyDescent="0.3">
      <c r="D30" s="8" t="s">
        <v>28</v>
      </c>
      <c r="E30" s="2">
        <v>21000</v>
      </c>
      <c r="F30" s="2"/>
      <c r="G30" s="12" t="s">
        <v>27</v>
      </c>
    </row>
    <row r="31" spans="1:9" ht="57.6" x14ac:dyDescent="0.3">
      <c r="D31" s="8" t="s">
        <v>30</v>
      </c>
      <c r="E31" s="2">
        <v>7500</v>
      </c>
      <c r="F31" s="2"/>
      <c r="G31" s="12" t="s">
        <v>31</v>
      </c>
    </row>
  </sheetData>
  <mergeCells count="1">
    <mergeCell ref="G22:G2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A9B2-78D9-48A7-B8D4-005475F9E2B6}">
  <dimension ref="A1:Y44"/>
  <sheetViews>
    <sheetView workbookViewId="0">
      <selection activeCell="G27" sqref="G27"/>
    </sheetView>
  </sheetViews>
  <sheetFormatPr defaultRowHeight="14.4" x14ac:dyDescent="0.3"/>
  <cols>
    <col min="1" max="1" width="14.6640625" bestFit="1" customWidth="1"/>
    <col min="2" max="2" width="7.88671875" bestFit="1" customWidth="1"/>
    <col min="3" max="3" width="11.109375" bestFit="1" customWidth="1"/>
    <col min="4" max="4" width="13.33203125" bestFit="1" customWidth="1"/>
    <col min="5" max="5" width="21.44140625" bestFit="1" customWidth="1"/>
    <col min="6" max="6" width="10.44140625" bestFit="1" customWidth="1"/>
    <col min="7" max="7" width="23" bestFit="1" customWidth="1"/>
    <col min="8" max="8" width="7.33203125" bestFit="1" customWidth="1"/>
    <col min="9" max="9" width="14" bestFit="1" customWidth="1"/>
    <col min="10" max="10" width="6" bestFit="1" customWidth="1"/>
    <col min="11" max="11" width="9.5546875" bestFit="1" customWidth="1"/>
    <col min="12" max="12" width="8" customWidth="1"/>
    <col min="13" max="13" width="17.88671875" bestFit="1" customWidth="1"/>
    <col min="14" max="14" width="9.6640625" bestFit="1" customWidth="1"/>
    <col min="15" max="15" width="8.6640625" bestFit="1" customWidth="1"/>
    <col min="16" max="16" width="6.5546875" bestFit="1" customWidth="1"/>
    <col min="17" max="17" width="14.5546875" bestFit="1" customWidth="1"/>
    <col min="18" max="18" width="10.6640625" bestFit="1" customWidth="1"/>
    <col min="21" max="21" width="11.33203125" bestFit="1" customWidth="1"/>
    <col min="22" max="22" width="9.5546875" bestFit="1" customWidth="1"/>
    <col min="24" max="24" width="11.33203125" bestFit="1" customWidth="1"/>
  </cols>
  <sheetData>
    <row r="1" spans="1:25" x14ac:dyDescent="0.3">
      <c r="A1" s="43" t="s">
        <v>6</v>
      </c>
      <c r="B1" s="73">
        <v>22000</v>
      </c>
      <c r="C1" s="73"/>
      <c r="D1" s="72"/>
      <c r="E1" s="264" t="s">
        <v>277</v>
      </c>
      <c r="F1" s="265"/>
      <c r="I1" s="279" t="s">
        <v>361</v>
      </c>
      <c r="J1" s="280"/>
      <c r="K1" s="280"/>
      <c r="L1" s="281"/>
      <c r="M1" s="155" t="s">
        <v>388</v>
      </c>
      <c r="N1" s="93">
        <v>2250000</v>
      </c>
    </row>
    <row r="2" spans="1:25" x14ac:dyDescent="0.3">
      <c r="A2" s="43" t="s">
        <v>0</v>
      </c>
      <c r="B2" s="73">
        <v>0</v>
      </c>
      <c r="C2" s="73"/>
      <c r="D2" s="72"/>
      <c r="E2" s="43" t="s">
        <v>309</v>
      </c>
      <c r="F2" s="73">
        <v>86000</v>
      </c>
      <c r="G2" t="s">
        <v>310</v>
      </c>
      <c r="I2" s="110" t="s">
        <v>365</v>
      </c>
      <c r="J2" s="159">
        <v>4</v>
      </c>
      <c r="K2" s="159">
        <v>2200</v>
      </c>
      <c r="L2" s="174">
        <f>(J2*K2)</f>
        <v>8800</v>
      </c>
      <c r="M2" s="61" t="s">
        <v>177</v>
      </c>
      <c r="N2" s="94">
        <v>300000</v>
      </c>
      <c r="P2" s="30"/>
    </row>
    <row r="3" spans="1:25" x14ac:dyDescent="0.3">
      <c r="A3" s="43" t="s">
        <v>1</v>
      </c>
      <c r="B3" s="73">
        <v>5000</v>
      </c>
      <c r="C3" s="108">
        <v>5000</v>
      </c>
      <c r="D3" s="72"/>
      <c r="E3" s="43" t="s">
        <v>265</v>
      </c>
      <c r="F3" s="73">
        <v>0</v>
      </c>
      <c r="G3" s="73"/>
      <c r="H3" s="30"/>
      <c r="I3" s="110" t="s">
        <v>382</v>
      </c>
      <c r="J3" s="157">
        <v>10</v>
      </c>
      <c r="K3" s="157">
        <v>999</v>
      </c>
      <c r="L3" s="158">
        <f t="shared" ref="L3" si="0">(J3*K3)</f>
        <v>9990</v>
      </c>
      <c r="M3" s="61" t="s">
        <v>6</v>
      </c>
      <c r="N3" s="94">
        <v>200000</v>
      </c>
      <c r="P3" s="30"/>
    </row>
    <row r="4" spans="1:25" ht="15" thickBot="1" x14ac:dyDescent="0.35">
      <c r="A4" s="43" t="s">
        <v>2</v>
      </c>
      <c r="B4" s="73">
        <v>2000</v>
      </c>
      <c r="C4" s="108">
        <v>2000</v>
      </c>
      <c r="D4" s="72"/>
      <c r="E4" s="43" t="s">
        <v>204</v>
      </c>
      <c r="F4" s="73">
        <v>49900</v>
      </c>
      <c r="G4" s="168"/>
      <c r="I4" s="110" t="s">
        <v>379</v>
      </c>
      <c r="J4" s="157"/>
      <c r="K4" s="157"/>
      <c r="L4" s="158">
        <v>9000</v>
      </c>
      <c r="M4" s="61"/>
      <c r="N4" s="95">
        <v>250000</v>
      </c>
      <c r="T4" s="73" t="s">
        <v>397</v>
      </c>
      <c r="U4" s="73">
        <f>(V5/40)</f>
        <v>53750</v>
      </c>
      <c r="V4" s="43"/>
    </row>
    <row r="5" spans="1:25" ht="15" thickBot="1" x14ac:dyDescent="0.35">
      <c r="A5" s="43" t="s">
        <v>89</v>
      </c>
      <c r="B5" s="73">
        <v>32706</v>
      </c>
      <c r="C5" s="108">
        <v>32707</v>
      </c>
      <c r="D5" s="72"/>
      <c r="E5" s="43" t="s">
        <v>205</v>
      </c>
      <c r="F5" s="43">
        <v>18</v>
      </c>
      <c r="I5" s="110" t="s">
        <v>19</v>
      </c>
      <c r="J5" s="157">
        <v>22</v>
      </c>
      <c r="K5" s="157">
        <v>1321.63</v>
      </c>
      <c r="L5" s="158">
        <f t="shared" ref="L5:L10" si="1">(J5*K5)</f>
        <v>29075.86</v>
      </c>
      <c r="M5" s="167" t="s">
        <v>290</v>
      </c>
      <c r="N5" s="96">
        <f>SUM(N2:N4)</f>
        <v>750000</v>
      </c>
      <c r="Q5" s="277" t="s">
        <v>204</v>
      </c>
      <c r="R5" s="278"/>
      <c r="T5" s="43" t="s">
        <v>395</v>
      </c>
      <c r="U5" s="43" t="s">
        <v>396</v>
      </c>
      <c r="V5" s="73">
        <v>2150000</v>
      </c>
      <c r="X5" s="43" t="s">
        <v>399</v>
      </c>
      <c r="Y5" s="73">
        <f>(23*U4)</f>
        <v>1236250</v>
      </c>
    </row>
    <row r="6" spans="1:25" ht="15" thickBot="1" x14ac:dyDescent="0.35">
      <c r="A6" s="43" t="s">
        <v>3</v>
      </c>
      <c r="B6" s="73">
        <v>1500</v>
      </c>
      <c r="C6" s="108">
        <v>1500</v>
      </c>
      <c r="D6" s="72"/>
      <c r="E6" s="43" t="s">
        <v>6</v>
      </c>
      <c r="F6" s="73">
        <f>SUM(F3:F5)</f>
        <v>49918</v>
      </c>
      <c r="G6" s="107" t="s">
        <v>250</v>
      </c>
      <c r="H6" s="166">
        <v>369932</v>
      </c>
      <c r="I6" s="110" t="s">
        <v>362</v>
      </c>
      <c r="J6" s="157">
        <v>6</v>
      </c>
      <c r="K6" s="157">
        <v>1918.68</v>
      </c>
      <c r="L6" s="158">
        <f t="shared" si="1"/>
        <v>11512.08</v>
      </c>
      <c r="M6" s="61"/>
      <c r="N6" s="95"/>
      <c r="Q6" s="126" t="s">
        <v>318</v>
      </c>
      <c r="R6" s="95">
        <v>170000</v>
      </c>
      <c r="T6" s="43"/>
      <c r="U6" s="43"/>
      <c r="V6" s="73"/>
      <c r="X6" s="43"/>
      <c r="Y6" s="73"/>
    </row>
    <row r="7" spans="1:25" ht="15" thickBot="1" x14ac:dyDescent="0.35">
      <c r="A7" s="43" t="s">
        <v>9</v>
      </c>
      <c r="B7" s="73">
        <v>480</v>
      </c>
      <c r="C7" s="108">
        <v>480</v>
      </c>
      <c r="D7" s="72"/>
      <c r="E7" s="43" t="s">
        <v>403</v>
      </c>
      <c r="F7" s="44">
        <v>91000</v>
      </c>
      <c r="G7" s="107" t="s">
        <v>251</v>
      </c>
      <c r="H7" s="166">
        <v>270811</v>
      </c>
      <c r="I7" s="110" t="s">
        <v>363</v>
      </c>
      <c r="J7" s="157">
        <v>5</v>
      </c>
      <c r="K7" s="157">
        <v>1049.19</v>
      </c>
      <c r="L7" s="158">
        <f t="shared" si="1"/>
        <v>5245.9500000000007</v>
      </c>
      <c r="M7" s="69" t="s">
        <v>254</v>
      </c>
      <c r="N7" s="98">
        <f>(N5-N1)</f>
        <v>-1500000</v>
      </c>
      <c r="Q7" s="84" t="s">
        <v>357</v>
      </c>
      <c r="R7" s="146">
        <v>123200</v>
      </c>
      <c r="T7" s="43"/>
      <c r="U7" s="43" t="s">
        <v>398</v>
      </c>
      <c r="V7" s="73">
        <v>40000</v>
      </c>
      <c r="X7" s="43" t="s">
        <v>398</v>
      </c>
      <c r="Y7" s="73">
        <f>(Y5*0.02)</f>
        <v>24725</v>
      </c>
    </row>
    <row r="8" spans="1:25" ht="15" thickBot="1" x14ac:dyDescent="0.35">
      <c r="A8" s="43" t="s">
        <v>151</v>
      </c>
      <c r="B8" s="73">
        <v>11419</v>
      </c>
      <c r="C8" s="108">
        <v>11419</v>
      </c>
      <c r="D8" s="72"/>
      <c r="G8" s="74" t="s">
        <v>252</v>
      </c>
      <c r="H8" s="166">
        <v>640743</v>
      </c>
      <c r="I8" s="110" t="s">
        <v>364</v>
      </c>
      <c r="J8" s="157">
        <v>11</v>
      </c>
      <c r="K8" s="157">
        <v>470.99</v>
      </c>
      <c r="L8" s="158">
        <f t="shared" si="1"/>
        <v>5180.8900000000003</v>
      </c>
      <c r="Q8" s="147" t="s">
        <v>374</v>
      </c>
      <c r="R8" s="165">
        <v>54032</v>
      </c>
      <c r="T8" s="43"/>
      <c r="U8" s="43" t="s">
        <v>400</v>
      </c>
      <c r="V8" s="73">
        <v>60000</v>
      </c>
      <c r="X8" s="43" t="s">
        <v>400</v>
      </c>
      <c r="Y8" s="73">
        <v>30000</v>
      </c>
    </row>
    <row r="9" spans="1:25" ht="15" thickBot="1" x14ac:dyDescent="0.35">
      <c r="A9" s="43" t="s">
        <v>107</v>
      </c>
      <c r="B9" s="73">
        <v>590</v>
      </c>
      <c r="C9" s="108">
        <v>590</v>
      </c>
      <c r="D9" s="72"/>
      <c r="E9" s="88" t="s">
        <v>6</v>
      </c>
      <c r="F9" s="90">
        <v>810000</v>
      </c>
      <c r="I9" s="110" t="s">
        <v>377</v>
      </c>
      <c r="J9" s="157">
        <v>4</v>
      </c>
      <c r="K9" s="157">
        <v>1376.72</v>
      </c>
      <c r="L9" s="158">
        <f t="shared" si="1"/>
        <v>5506.88</v>
      </c>
      <c r="Q9" s="84" t="s">
        <v>346</v>
      </c>
      <c r="R9" s="90">
        <f>(R6+R8)</f>
        <v>224032</v>
      </c>
      <c r="T9" s="43"/>
      <c r="U9" s="43"/>
      <c r="V9" s="73"/>
      <c r="X9" s="43"/>
      <c r="Y9" s="73"/>
    </row>
    <row r="10" spans="1:25" x14ac:dyDescent="0.3">
      <c r="A10" s="43" t="s">
        <v>174</v>
      </c>
      <c r="B10" s="73">
        <v>5000</v>
      </c>
      <c r="C10" s="108">
        <v>4000</v>
      </c>
      <c r="D10" s="72"/>
      <c r="E10" s="87" t="s">
        <v>263</v>
      </c>
      <c r="F10" s="89">
        <v>300000</v>
      </c>
      <c r="G10">
        <f>(F10/50000)</f>
        <v>6</v>
      </c>
      <c r="I10" s="110" t="s">
        <v>387</v>
      </c>
      <c r="J10" s="157">
        <v>5</v>
      </c>
      <c r="K10" s="157">
        <v>936.51</v>
      </c>
      <c r="L10" s="158">
        <f t="shared" si="1"/>
        <v>4682.55</v>
      </c>
      <c r="Q10" s="84" t="s">
        <v>347</v>
      </c>
      <c r="R10" s="95">
        <f>(R7-R8)</f>
        <v>69168</v>
      </c>
      <c r="T10" s="43"/>
      <c r="U10" s="43"/>
      <c r="V10" s="108">
        <f>SUM(V5:V8)</f>
        <v>2250000</v>
      </c>
      <c r="X10" s="43"/>
      <c r="Y10" s="73">
        <f>SUM(Y5:Y8)</f>
        <v>1290975</v>
      </c>
    </row>
    <row r="11" spans="1:25" x14ac:dyDescent="0.3">
      <c r="A11" s="115" t="s">
        <v>249</v>
      </c>
      <c r="B11" s="134">
        <v>9000</v>
      </c>
      <c r="C11" s="73"/>
      <c r="D11" s="72"/>
      <c r="E11" s="43" t="s">
        <v>260</v>
      </c>
      <c r="F11" s="73">
        <f>(F9-F10)</f>
        <v>510000</v>
      </c>
      <c r="I11" s="110" t="s">
        <v>380</v>
      </c>
      <c r="J11" s="157">
        <v>5</v>
      </c>
      <c r="K11" s="157">
        <v>959.34</v>
      </c>
      <c r="L11" s="158">
        <f t="shared" ref="L11:L12" si="2">(J11*K11)</f>
        <v>4796.7</v>
      </c>
      <c r="Q11" s="84" t="s">
        <v>345</v>
      </c>
      <c r="R11" s="95">
        <f>B22</f>
        <v>92345</v>
      </c>
      <c r="T11" s="43"/>
      <c r="U11" s="43"/>
      <c r="V11" s="73"/>
      <c r="X11" s="43"/>
      <c r="Y11" s="73"/>
    </row>
    <row r="12" spans="1:25" ht="15" thickBot="1" x14ac:dyDescent="0.35">
      <c r="A12" s="123" t="s">
        <v>308</v>
      </c>
      <c r="B12" s="123">
        <v>2650</v>
      </c>
      <c r="C12" s="123">
        <v>2650</v>
      </c>
      <c r="D12" s="72"/>
      <c r="E12" s="43" t="s">
        <v>261</v>
      </c>
      <c r="F12" s="73">
        <v>100000</v>
      </c>
      <c r="I12" s="110" t="s">
        <v>385</v>
      </c>
      <c r="J12" s="157">
        <v>50</v>
      </c>
      <c r="K12" s="157">
        <v>43.35</v>
      </c>
      <c r="L12" s="158">
        <f t="shared" si="2"/>
        <v>2167.5</v>
      </c>
      <c r="Q12" s="84"/>
      <c r="R12" s="119"/>
      <c r="T12" s="43"/>
      <c r="U12" s="43" t="s">
        <v>339</v>
      </c>
      <c r="V12" s="73">
        <v>500000</v>
      </c>
      <c r="Y12" s="30"/>
    </row>
    <row r="13" spans="1:25" ht="15" thickBot="1" x14ac:dyDescent="0.35">
      <c r="A13" s="73"/>
      <c r="B13" s="73"/>
      <c r="C13" s="73"/>
      <c r="D13" s="72"/>
      <c r="E13" s="43"/>
      <c r="F13" s="73">
        <f>SUM(F11:F12)</f>
        <v>610000</v>
      </c>
      <c r="G13" s="30">
        <f>(F4-3600)</f>
        <v>46300</v>
      </c>
      <c r="L13" s="175">
        <f>SUM(L3:L12)</f>
        <v>87158.41</v>
      </c>
      <c r="Q13" s="84" t="s">
        <v>214</v>
      </c>
      <c r="R13" s="150">
        <f>(R10-R11)</f>
        <v>-23177</v>
      </c>
      <c r="T13" s="43"/>
      <c r="U13" s="43" t="s">
        <v>401</v>
      </c>
      <c r="V13" s="73">
        <f>(Y10-1050000)</f>
        <v>240975</v>
      </c>
      <c r="Y13" s="30"/>
    </row>
    <row r="14" spans="1:25" x14ac:dyDescent="0.3">
      <c r="A14" s="134" t="s">
        <v>394</v>
      </c>
      <c r="B14" s="134">
        <v>150500</v>
      </c>
      <c r="C14" s="134">
        <v>150500</v>
      </c>
      <c r="D14" s="72"/>
      <c r="E14" s="43" t="s">
        <v>262</v>
      </c>
      <c r="F14" s="73">
        <v>1500000</v>
      </c>
      <c r="Q14" s="84"/>
      <c r="R14" s="95"/>
      <c r="T14" s="43"/>
      <c r="U14" s="43" t="s">
        <v>6</v>
      </c>
      <c r="V14" s="134">
        <v>50000</v>
      </c>
    </row>
    <row r="15" spans="1:25" ht="15" thickBot="1" x14ac:dyDescent="0.35">
      <c r="A15" s="134" t="s">
        <v>393</v>
      </c>
      <c r="B15" s="134">
        <v>5000</v>
      </c>
      <c r="C15" s="134">
        <v>5000</v>
      </c>
      <c r="D15" s="72"/>
      <c r="E15" s="43"/>
      <c r="F15" s="73"/>
      <c r="M15" s="115" t="s">
        <v>273</v>
      </c>
      <c r="N15" s="116">
        <v>150000</v>
      </c>
      <c r="O15" s="43" t="s">
        <v>299</v>
      </c>
      <c r="Q15" s="99"/>
      <c r="R15" s="128"/>
      <c r="T15" s="43"/>
      <c r="U15" s="43"/>
      <c r="V15" s="134">
        <f>SUM(V12:V14)</f>
        <v>790975</v>
      </c>
    </row>
    <row r="16" spans="1:25" ht="15" thickBot="1" x14ac:dyDescent="0.35">
      <c r="A16" s="134" t="s">
        <v>393</v>
      </c>
      <c r="B16" s="134">
        <v>350000</v>
      </c>
      <c r="C16" s="134">
        <v>350000</v>
      </c>
      <c r="D16" s="72"/>
      <c r="E16" s="85"/>
      <c r="F16" s="91"/>
      <c r="I16">
        <v>164000</v>
      </c>
      <c r="K16" s="73">
        <v>1280000</v>
      </c>
      <c r="M16" s="115" t="s">
        <v>289</v>
      </c>
      <c r="N16" s="116">
        <v>200000</v>
      </c>
      <c r="O16" s="113">
        <v>44593</v>
      </c>
      <c r="T16" s="43"/>
      <c r="U16" s="43"/>
      <c r="V16" s="73">
        <f>(V15-V10)</f>
        <v>-1459025</v>
      </c>
    </row>
    <row r="17" spans="1:22" ht="15" thickBot="1" x14ac:dyDescent="0.35">
      <c r="A17" s="123" t="s">
        <v>85</v>
      </c>
      <c r="B17" s="123">
        <v>20000</v>
      </c>
      <c r="C17" s="73"/>
      <c r="D17" s="72"/>
      <c r="E17" s="86" t="s">
        <v>264</v>
      </c>
      <c r="F17" s="92">
        <f>(F13-F14)</f>
        <v>-890000</v>
      </c>
      <c r="I17">
        <v>27000</v>
      </c>
      <c r="K17" s="73">
        <v>30000</v>
      </c>
      <c r="M17" s="123" t="s">
        <v>302</v>
      </c>
      <c r="N17" s="112">
        <f>SUM(N33:N35)</f>
        <v>0</v>
      </c>
      <c r="O17" s="113">
        <v>44593</v>
      </c>
      <c r="T17" s="43"/>
      <c r="U17" s="43" t="s">
        <v>340</v>
      </c>
      <c r="V17" s="73">
        <v>1280000</v>
      </c>
    </row>
    <row r="18" spans="1:22" x14ac:dyDescent="0.3">
      <c r="A18" s="115" t="s">
        <v>386</v>
      </c>
      <c r="B18" s="115">
        <v>20000</v>
      </c>
      <c r="C18" s="73"/>
      <c r="D18" s="72"/>
      <c r="I18">
        <v>12000</v>
      </c>
      <c r="K18" s="73">
        <v>20000</v>
      </c>
      <c r="M18" s="115" t="s">
        <v>297</v>
      </c>
      <c r="N18" s="116">
        <v>30000</v>
      </c>
      <c r="O18" s="113">
        <v>44593</v>
      </c>
      <c r="T18" s="43"/>
      <c r="U18" s="43"/>
    </row>
    <row r="19" spans="1:22" x14ac:dyDescent="0.3">
      <c r="A19" s="115" t="s">
        <v>352</v>
      </c>
      <c r="B19" s="115">
        <v>10000</v>
      </c>
      <c r="C19" s="73"/>
      <c r="D19" s="72"/>
      <c r="H19" s="65"/>
      <c r="I19">
        <v>140000</v>
      </c>
      <c r="K19" s="73">
        <f>SUM(K16:K18)</f>
        <v>1330000</v>
      </c>
      <c r="M19" s="80" t="s">
        <v>268</v>
      </c>
      <c r="N19" s="112">
        <v>11526</v>
      </c>
      <c r="O19" s="113">
        <v>44621</v>
      </c>
      <c r="T19" s="43"/>
      <c r="U19" s="43"/>
      <c r="V19" s="73">
        <f>(V17+V16)</f>
        <v>-179025</v>
      </c>
    </row>
    <row r="20" spans="1:22" x14ac:dyDescent="0.3">
      <c r="A20" s="115" t="s">
        <v>203</v>
      </c>
      <c r="B20" s="116">
        <v>10000</v>
      </c>
      <c r="C20" s="73"/>
      <c r="D20" s="145"/>
      <c r="E20" s="43" t="s">
        <v>182</v>
      </c>
      <c r="F20" s="73">
        <v>354000</v>
      </c>
      <c r="G20" s="43" t="s">
        <v>348</v>
      </c>
      <c r="H20" s="30"/>
      <c r="I20">
        <v>15000</v>
      </c>
      <c r="K20" s="73">
        <f>(K19+N7)</f>
        <v>-170000</v>
      </c>
      <c r="M20" s="124" t="s">
        <v>298</v>
      </c>
      <c r="N20" s="118">
        <v>5000</v>
      </c>
      <c r="O20" s="113">
        <v>44621</v>
      </c>
      <c r="T20" s="43"/>
      <c r="U20" s="43"/>
      <c r="V20" s="73"/>
    </row>
    <row r="21" spans="1:22" x14ac:dyDescent="0.3">
      <c r="A21" s="115" t="s">
        <v>381</v>
      </c>
      <c r="B21" s="116">
        <v>20000</v>
      </c>
      <c r="C21" s="73"/>
      <c r="D21" s="43"/>
      <c r="E21" s="87" t="s">
        <v>260</v>
      </c>
      <c r="F21" s="89">
        <v>500000</v>
      </c>
      <c r="M21" s="115" t="s">
        <v>306</v>
      </c>
      <c r="N21" s="116">
        <v>80000</v>
      </c>
      <c r="O21" s="113">
        <v>44621</v>
      </c>
    </row>
    <row r="22" spans="1:22" x14ac:dyDescent="0.3">
      <c r="A22" s="64" t="s">
        <v>5</v>
      </c>
      <c r="B22" s="73">
        <f>SUM(B1:B13)</f>
        <v>92345</v>
      </c>
      <c r="C22" s="73">
        <f>SUM(C1:C13)</f>
        <v>60346</v>
      </c>
      <c r="D22" s="72"/>
      <c r="E22" s="43" t="s">
        <v>273</v>
      </c>
      <c r="F22" s="73">
        <v>30000</v>
      </c>
      <c r="I22">
        <v>1300000</v>
      </c>
      <c r="M22" s="115" t="s">
        <v>307</v>
      </c>
      <c r="N22" s="116">
        <v>154000</v>
      </c>
      <c r="O22" s="113">
        <v>44621</v>
      </c>
    </row>
    <row r="23" spans="1:22" x14ac:dyDescent="0.3">
      <c r="A23" s="43"/>
      <c r="B23" s="43"/>
      <c r="C23" s="43"/>
      <c r="D23" s="72"/>
      <c r="E23" s="43"/>
      <c r="F23" s="73">
        <f>SUM(F20:F22)</f>
        <v>884000</v>
      </c>
      <c r="I23">
        <v>1050000</v>
      </c>
      <c r="M23" s="124" t="s">
        <v>308</v>
      </c>
      <c r="N23" s="118">
        <v>4000</v>
      </c>
      <c r="O23" s="113">
        <v>44621</v>
      </c>
    </row>
    <row r="24" spans="1:22" ht="15" thickBot="1" x14ac:dyDescent="0.35">
      <c r="A24" s="64" t="s">
        <v>228</v>
      </c>
      <c r="B24" s="43"/>
      <c r="C24" s="62">
        <f>(C22-B22)</f>
        <v>-31999</v>
      </c>
      <c r="D24" s="43" t="s">
        <v>227</v>
      </c>
      <c r="E24" s="85"/>
      <c r="F24" s="85"/>
      <c r="I24">
        <f>(I22-I23)</f>
        <v>250000</v>
      </c>
      <c r="M24" s="43" t="s">
        <v>5</v>
      </c>
      <c r="N24" s="73">
        <f>SUM(N15:N23)</f>
        <v>634526</v>
      </c>
      <c r="O24" s="113"/>
    </row>
    <row r="25" spans="1:22" ht="15" thickBot="1" x14ac:dyDescent="0.35">
      <c r="A25" s="64"/>
      <c r="B25" s="43"/>
      <c r="C25" s="43"/>
      <c r="D25" s="43"/>
      <c r="E25" s="103" t="s">
        <v>276</v>
      </c>
      <c r="F25" s="92"/>
      <c r="M25" s="43"/>
      <c r="N25" s="106"/>
      <c r="O25" s="114"/>
      <c r="Q25" s="275" t="s">
        <v>321</v>
      </c>
      <c r="R25" s="276"/>
    </row>
    <row r="26" spans="1:22" x14ac:dyDescent="0.3">
      <c r="A26" s="64" t="s">
        <v>225</v>
      </c>
      <c r="B26" s="43"/>
      <c r="C26" s="62">
        <f>(F6+C24)</f>
        <v>17919</v>
      </c>
      <c r="D26" s="43"/>
      <c r="Q26" s="271" t="s">
        <v>325</v>
      </c>
      <c r="R26" s="272"/>
    </row>
    <row r="27" spans="1:22" x14ac:dyDescent="0.3">
      <c r="Q27" s="84" t="s">
        <v>349</v>
      </c>
      <c r="R27" s="95">
        <v>354000</v>
      </c>
    </row>
    <row r="28" spans="1:22" ht="15" thickBot="1" x14ac:dyDescent="0.35">
      <c r="E28" s="115" t="s">
        <v>273</v>
      </c>
      <c r="F28" s="116">
        <v>150000</v>
      </c>
      <c r="G28" s="61" t="s">
        <v>335</v>
      </c>
      <c r="H28" s="43">
        <v>49700</v>
      </c>
      <c r="I28" s="43">
        <f>(H28*J28)</f>
        <v>298200</v>
      </c>
      <c r="J28" s="43">
        <v>6</v>
      </c>
      <c r="Q28" s="149" t="s">
        <v>322</v>
      </c>
      <c r="R28" s="95"/>
    </row>
    <row r="29" spans="1:22" x14ac:dyDescent="0.3">
      <c r="A29" s="268" t="s">
        <v>303</v>
      </c>
      <c r="B29" s="269"/>
      <c r="C29" s="270"/>
      <c r="E29" s="115" t="s">
        <v>351</v>
      </c>
      <c r="F29" s="116">
        <v>354000</v>
      </c>
      <c r="G29" s="61" t="s">
        <v>280</v>
      </c>
      <c r="H29" s="43"/>
      <c r="I29" s="43">
        <f>(I28*J29/100)</f>
        <v>32802</v>
      </c>
      <c r="J29" s="43">
        <v>11</v>
      </c>
      <c r="M29" s="43" t="s">
        <v>389</v>
      </c>
      <c r="N29" s="73">
        <v>2500</v>
      </c>
      <c r="Q29" s="84" t="s">
        <v>326</v>
      </c>
      <c r="R29" s="95">
        <f>(R27-R28)</f>
        <v>354000</v>
      </c>
    </row>
    <row r="30" spans="1:22" x14ac:dyDescent="0.3">
      <c r="A30" s="84" t="s">
        <v>304</v>
      </c>
      <c r="B30" s="43"/>
      <c r="C30" s="139">
        <v>8000</v>
      </c>
      <c r="E30" s="115" t="s">
        <v>297</v>
      </c>
      <c r="F30" s="116">
        <v>40000</v>
      </c>
      <c r="G30" s="61" t="s">
        <v>281</v>
      </c>
      <c r="H30" s="43"/>
      <c r="I30" s="43">
        <v>6000</v>
      </c>
      <c r="J30" s="43"/>
      <c r="M30" s="43" t="s">
        <v>390</v>
      </c>
      <c r="N30" s="73">
        <v>148500</v>
      </c>
      <c r="Q30" s="84"/>
      <c r="R30" s="95"/>
    </row>
    <row r="31" spans="1:22" x14ac:dyDescent="0.3">
      <c r="A31" s="84" t="s">
        <v>305</v>
      </c>
      <c r="B31" s="43"/>
      <c r="C31" s="139">
        <v>20526</v>
      </c>
      <c r="E31" s="115" t="s">
        <v>306</v>
      </c>
      <c r="F31" s="116">
        <v>80000</v>
      </c>
      <c r="G31" s="61"/>
      <c r="H31" s="43"/>
      <c r="I31" s="43">
        <f>(I29+I30)</f>
        <v>38802</v>
      </c>
      <c r="J31" s="43"/>
      <c r="M31" s="43" t="s">
        <v>391</v>
      </c>
      <c r="N31" s="73">
        <v>2000</v>
      </c>
      <c r="Q31" s="271" t="s">
        <v>154</v>
      </c>
      <c r="R31" s="272"/>
    </row>
    <row r="32" spans="1:22" x14ac:dyDescent="0.3">
      <c r="A32" s="84" t="s">
        <v>336</v>
      </c>
      <c r="B32" s="43"/>
      <c r="C32" s="139">
        <v>21500</v>
      </c>
      <c r="E32" s="115" t="s">
        <v>329</v>
      </c>
      <c r="F32" s="116">
        <v>112500</v>
      </c>
      <c r="G32" s="61"/>
      <c r="H32" s="43"/>
      <c r="I32" s="43">
        <f>(I28+I31)</f>
        <v>337002</v>
      </c>
      <c r="J32" s="43"/>
      <c r="M32" s="43" t="s">
        <v>392</v>
      </c>
      <c r="N32" s="73">
        <v>650</v>
      </c>
      <c r="Q32" s="84" t="s">
        <v>323</v>
      </c>
      <c r="R32" s="95">
        <v>112500</v>
      </c>
    </row>
    <row r="33" spans="1:18" x14ac:dyDescent="0.3">
      <c r="A33" s="43" t="s">
        <v>353</v>
      </c>
      <c r="B33" s="43"/>
      <c r="C33" s="73">
        <v>60000</v>
      </c>
      <c r="D33" t="s">
        <v>360</v>
      </c>
      <c r="E33" s="43"/>
      <c r="F33" s="73"/>
      <c r="M33" s="43"/>
      <c r="N33" s="73"/>
      <c r="Q33" s="84" t="s">
        <v>324</v>
      </c>
      <c r="R33" s="95">
        <v>86000</v>
      </c>
    </row>
    <row r="34" spans="1:18" x14ac:dyDescent="0.3">
      <c r="A34" s="43" t="s">
        <v>356</v>
      </c>
      <c r="B34" s="43"/>
      <c r="C34" s="73">
        <v>20000</v>
      </c>
      <c r="E34" s="115" t="s">
        <v>307</v>
      </c>
      <c r="F34" s="116">
        <f>SUM(F28:F33)</f>
        <v>736500</v>
      </c>
      <c r="M34" s="43"/>
      <c r="N34" s="73"/>
      <c r="Q34" s="84" t="s">
        <v>326</v>
      </c>
      <c r="R34" s="95">
        <f>(R32-R33)</f>
        <v>26500</v>
      </c>
    </row>
    <row r="35" spans="1:18" ht="15" thickBot="1" x14ac:dyDescent="0.35">
      <c r="A35" s="151" t="s">
        <v>5</v>
      </c>
      <c r="B35" s="152"/>
      <c r="C35" s="153">
        <f>SUM(C34)</f>
        <v>20000</v>
      </c>
      <c r="E35" s="115"/>
      <c r="F35" s="116"/>
      <c r="G35" s="61" t="s">
        <v>334</v>
      </c>
      <c r="H35" s="43">
        <v>49750</v>
      </c>
      <c r="I35" s="43">
        <f>(H35*J35)</f>
        <v>99500</v>
      </c>
      <c r="J35" s="43">
        <v>2</v>
      </c>
      <c r="M35" s="43"/>
      <c r="N35" s="73"/>
      <c r="Q35" s="84"/>
      <c r="R35" s="119"/>
    </row>
    <row r="36" spans="1:18" ht="15" thickBot="1" x14ac:dyDescent="0.35">
      <c r="G36" s="43" t="s">
        <v>280</v>
      </c>
      <c r="H36" s="43"/>
      <c r="I36" s="43">
        <f>(I35*J36/100)</f>
        <v>9723.14</v>
      </c>
      <c r="J36" s="43">
        <v>9.7720000000000002</v>
      </c>
      <c r="M36" s="43"/>
      <c r="N36" s="73"/>
      <c r="Q36" s="99" t="s">
        <v>327</v>
      </c>
      <c r="R36" s="128">
        <f>(R29+R34)</f>
        <v>380500</v>
      </c>
    </row>
    <row r="37" spans="1:18" x14ac:dyDescent="0.3">
      <c r="G37" s="43"/>
      <c r="H37" s="43"/>
      <c r="I37" s="43">
        <f>SUM(I35:I36)</f>
        <v>109223.14</v>
      </c>
      <c r="J37" s="43"/>
      <c r="M37" s="43"/>
      <c r="N37" s="73"/>
    </row>
    <row r="38" spans="1:18" x14ac:dyDescent="0.3">
      <c r="E38" s="43"/>
      <c r="F38" s="73"/>
      <c r="G38" s="61" t="s">
        <v>333</v>
      </c>
      <c r="H38" s="43"/>
      <c r="I38" s="43">
        <f>(I37*J38/100)</f>
        <v>3276.6941999999999</v>
      </c>
      <c r="J38" s="43">
        <v>3</v>
      </c>
    </row>
    <row r="39" spans="1:18" ht="15" thickBot="1" x14ac:dyDescent="0.35">
      <c r="E39" s="43" t="s">
        <v>339</v>
      </c>
      <c r="F39" s="73"/>
      <c r="G39" s="61"/>
      <c r="H39" s="43"/>
      <c r="I39" s="43">
        <f>(I37+I38)</f>
        <v>112499.8342</v>
      </c>
      <c r="J39" s="43"/>
    </row>
    <row r="40" spans="1:18" ht="15" thickBot="1" x14ac:dyDescent="0.35">
      <c r="E40" s="43"/>
      <c r="F40" s="73"/>
      <c r="Q40" s="135" t="s">
        <v>331</v>
      </c>
      <c r="R40" s="137">
        <f>(F6+C24)</f>
        <v>17919</v>
      </c>
    </row>
    <row r="41" spans="1:18" x14ac:dyDescent="0.3">
      <c r="E41" s="141" t="s">
        <v>340</v>
      </c>
      <c r="F41" s="142">
        <f>(F38-F39)</f>
        <v>0</v>
      </c>
    </row>
    <row r="42" spans="1:18" x14ac:dyDescent="0.3">
      <c r="E42" s="141" t="s">
        <v>341</v>
      </c>
      <c r="F42" s="142">
        <v>32502</v>
      </c>
    </row>
    <row r="43" spans="1:18" x14ac:dyDescent="0.3">
      <c r="E43" s="141" t="s">
        <v>343</v>
      </c>
      <c r="F43" s="142">
        <v>38040</v>
      </c>
    </row>
    <row r="44" spans="1:18" x14ac:dyDescent="0.3">
      <c r="E44" s="141" t="s">
        <v>342</v>
      </c>
      <c r="F44" s="142">
        <v>46371</v>
      </c>
    </row>
  </sheetData>
  <mergeCells count="7">
    <mergeCell ref="A29:C29"/>
    <mergeCell ref="Q31:R31"/>
    <mergeCell ref="E1:F1"/>
    <mergeCell ref="I1:L1"/>
    <mergeCell ref="Q5:R5"/>
    <mergeCell ref="Q25:R25"/>
    <mergeCell ref="Q26:R2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B0F5-9331-43CD-B335-BBF415C27E29}">
  <dimension ref="A1:Z44"/>
  <sheetViews>
    <sheetView workbookViewId="0">
      <selection activeCell="G27" sqref="G27"/>
    </sheetView>
  </sheetViews>
  <sheetFormatPr defaultRowHeight="14.4" x14ac:dyDescent="0.3"/>
  <cols>
    <col min="1" max="1" width="14.6640625" bestFit="1" customWidth="1"/>
    <col min="2" max="2" width="7.88671875" bestFit="1" customWidth="1"/>
    <col min="3" max="3" width="11.109375" bestFit="1" customWidth="1"/>
    <col min="4" max="4" width="13.33203125" bestFit="1" customWidth="1"/>
    <col min="5" max="5" width="21.44140625" bestFit="1" customWidth="1"/>
    <col min="6" max="6" width="10.44140625" bestFit="1" customWidth="1"/>
    <col min="7" max="7" width="23" bestFit="1" customWidth="1"/>
    <col min="8" max="8" width="7.33203125" bestFit="1" customWidth="1"/>
    <col min="9" max="9" width="14" bestFit="1" customWidth="1"/>
    <col min="10" max="10" width="6" bestFit="1" customWidth="1"/>
    <col min="11" max="11" width="9.5546875" bestFit="1" customWidth="1"/>
    <col min="12" max="12" width="8" customWidth="1"/>
    <col min="13" max="13" width="17.88671875" bestFit="1" customWidth="1"/>
    <col min="14" max="14" width="9.6640625" bestFit="1" customWidth="1"/>
    <col min="15" max="15" width="8.6640625" bestFit="1" customWidth="1"/>
    <col min="16" max="16" width="6.5546875" bestFit="1" customWidth="1"/>
    <col min="17" max="17" width="14.5546875" bestFit="1" customWidth="1"/>
    <col min="18" max="18" width="10.6640625" bestFit="1" customWidth="1"/>
    <col min="22" max="22" width="12.5546875" bestFit="1" customWidth="1"/>
    <col min="23" max="23" width="9.5546875" bestFit="1" customWidth="1"/>
    <col min="25" max="25" width="11.33203125" bestFit="1" customWidth="1"/>
  </cols>
  <sheetData>
    <row r="1" spans="1:26" x14ac:dyDescent="0.3">
      <c r="A1" s="43" t="s">
        <v>6</v>
      </c>
      <c r="B1" s="73">
        <v>25000</v>
      </c>
      <c r="C1" s="108">
        <v>25000</v>
      </c>
      <c r="D1" s="72"/>
      <c r="E1" s="264" t="s">
        <v>277</v>
      </c>
      <c r="F1" s="265"/>
      <c r="I1" s="279" t="s">
        <v>361</v>
      </c>
      <c r="J1" s="280"/>
      <c r="K1" s="280"/>
      <c r="L1" s="281"/>
      <c r="M1" s="155" t="s">
        <v>388</v>
      </c>
      <c r="N1" s="93">
        <v>2250000</v>
      </c>
    </row>
    <row r="2" spans="1:26" x14ac:dyDescent="0.3">
      <c r="A2" s="43" t="s">
        <v>0</v>
      </c>
      <c r="B2" s="73">
        <v>0</v>
      </c>
      <c r="C2" s="73"/>
      <c r="D2" s="72"/>
      <c r="E2" s="43" t="s">
        <v>309</v>
      </c>
      <c r="F2" s="73">
        <v>86000</v>
      </c>
      <c r="G2" t="s">
        <v>310</v>
      </c>
      <c r="I2" s="110" t="s">
        <v>365</v>
      </c>
      <c r="J2" s="159">
        <v>4</v>
      </c>
      <c r="K2" s="159">
        <v>2200</v>
      </c>
      <c r="L2" s="174">
        <f>(J2*K2)</f>
        <v>8800</v>
      </c>
      <c r="M2" s="61" t="s">
        <v>177</v>
      </c>
      <c r="N2" s="94">
        <v>300000</v>
      </c>
      <c r="P2" s="30"/>
    </row>
    <row r="3" spans="1:26" x14ac:dyDescent="0.3">
      <c r="A3" s="43" t="s">
        <v>1</v>
      </c>
      <c r="B3" s="73">
        <v>5000</v>
      </c>
      <c r="C3" s="108">
        <v>5000</v>
      </c>
      <c r="D3" s="72"/>
      <c r="E3" s="43" t="s">
        <v>265</v>
      </c>
      <c r="F3" s="73">
        <v>0</v>
      </c>
      <c r="G3" s="73"/>
      <c r="H3" s="30"/>
      <c r="I3" s="110" t="s">
        <v>382</v>
      </c>
      <c r="J3" s="157">
        <v>10</v>
      </c>
      <c r="K3" s="157">
        <v>999</v>
      </c>
      <c r="L3" s="158">
        <f t="shared" ref="L3" si="0">(J3*K3)</f>
        <v>9990</v>
      </c>
      <c r="M3" s="61" t="s">
        <v>6</v>
      </c>
      <c r="N3" s="94">
        <v>200000</v>
      </c>
      <c r="P3" s="30"/>
    </row>
    <row r="4" spans="1:26" ht="15" thickBot="1" x14ac:dyDescent="0.35">
      <c r="A4" s="43" t="s">
        <v>2</v>
      </c>
      <c r="B4" s="73">
        <v>2000</v>
      </c>
      <c r="C4" s="108">
        <v>2000</v>
      </c>
      <c r="D4" s="72"/>
      <c r="E4" s="43" t="s">
        <v>204</v>
      </c>
      <c r="F4" s="73">
        <v>83400</v>
      </c>
      <c r="G4" s="168"/>
      <c r="I4" s="110" t="s">
        <v>379</v>
      </c>
      <c r="J4" s="157"/>
      <c r="K4" s="157"/>
      <c r="L4" s="158">
        <v>9000</v>
      </c>
      <c r="M4" s="61"/>
      <c r="N4" s="95">
        <v>250000</v>
      </c>
      <c r="U4" s="73" t="s">
        <v>397</v>
      </c>
      <c r="V4" s="73">
        <f>(W5/40)</f>
        <v>53750</v>
      </c>
      <c r="W4" s="43"/>
    </row>
    <row r="5" spans="1:26" ht="15" thickBot="1" x14ac:dyDescent="0.35">
      <c r="A5" s="43" t="s">
        <v>89</v>
      </c>
      <c r="B5" s="73">
        <v>32706</v>
      </c>
      <c r="C5" s="108">
        <v>32706</v>
      </c>
      <c r="D5" s="72"/>
      <c r="E5" s="43" t="s">
        <v>205</v>
      </c>
      <c r="F5" s="43">
        <v>315</v>
      </c>
      <c r="I5" s="110" t="s">
        <v>19</v>
      </c>
      <c r="J5" s="157">
        <v>22</v>
      </c>
      <c r="K5" s="157">
        <v>1321.63</v>
      </c>
      <c r="L5" s="158">
        <f t="shared" ref="L5:L12" si="1">(J5*K5)</f>
        <v>29075.86</v>
      </c>
      <c r="M5" s="167" t="s">
        <v>290</v>
      </c>
      <c r="N5" s="96">
        <f>SUM(N2:N4)</f>
        <v>750000</v>
      </c>
      <c r="Q5" s="277" t="s">
        <v>204</v>
      </c>
      <c r="R5" s="278"/>
      <c r="U5" s="43" t="s">
        <v>395</v>
      </c>
      <c r="V5" s="43" t="s">
        <v>396</v>
      </c>
      <c r="W5" s="73">
        <v>2150000</v>
      </c>
      <c r="Y5" s="43" t="s">
        <v>399</v>
      </c>
      <c r="Z5" s="73">
        <f>(23*V4)</f>
        <v>1236250</v>
      </c>
    </row>
    <row r="6" spans="1:26" ht="15" thickBot="1" x14ac:dyDescent="0.35">
      <c r="A6" s="43" t="s">
        <v>3</v>
      </c>
      <c r="B6" s="73">
        <v>1500</v>
      </c>
      <c r="C6" s="108">
        <v>1500</v>
      </c>
      <c r="D6" s="72"/>
      <c r="E6" s="43" t="s">
        <v>6</v>
      </c>
      <c r="F6" s="73">
        <f>SUM(F3:F5)</f>
        <v>83715</v>
      </c>
      <c r="G6" s="107" t="s">
        <v>250</v>
      </c>
      <c r="H6" s="166">
        <v>369932</v>
      </c>
      <c r="I6" s="110" t="s">
        <v>362</v>
      </c>
      <c r="J6" s="157">
        <v>6</v>
      </c>
      <c r="K6" s="157">
        <v>1918.68</v>
      </c>
      <c r="L6" s="158">
        <f t="shared" si="1"/>
        <v>11512.08</v>
      </c>
      <c r="M6" s="61"/>
      <c r="N6" s="95"/>
      <c r="Q6" s="126" t="s">
        <v>318</v>
      </c>
      <c r="R6" s="95">
        <v>170000</v>
      </c>
      <c r="U6" s="43"/>
      <c r="V6" s="43"/>
      <c r="W6" s="73"/>
      <c r="Y6" s="43"/>
      <c r="Z6" s="73"/>
    </row>
    <row r="7" spans="1:26" ht="15" thickBot="1" x14ac:dyDescent="0.35">
      <c r="A7" s="43" t="s">
        <v>9</v>
      </c>
      <c r="B7" s="73">
        <v>480</v>
      </c>
      <c r="C7" s="108">
        <v>480</v>
      </c>
      <c r="D7" s="72"/>
      <c r="E7" s="43" t="s">
        <v>402</v>
      </c>
      <c r="F7" s="44">
        <v>104000</v>
      </c>
      <c r="G7" s="107" t="s">
        <v>251</v>
      </c>
      <c r="H7" s="166">
        <v>270811</v>
      </c>
      <c r="I7" s="110" t="s">
        <v>363</v>
      </c>
      <c r="J7" s="157">
        <v>5</v>
      </c>
      <c r="K7" s="157">
        <v>1049.19</v>
      </c>
      <c r="L7" s="158">
        <f t="shared" si="1"/>
        <v>5245.9500000000007</v>
      </c>
      <c r="M7" s="69"/>
      <c r="N7" s="176">
        <f>(N5-N1)</f>
        <v>-1500000</v>
      </c>
      <c r="Q7" s="84" t="s">
        <v>357</v>
      </c>
      <c r="R7" s="146">
        <v>123200</v>
      </c>
      <c r="U7" s="43"/>
      <c r="V7" s="43" t="s">
        <v>398</v>
      </c>
      <c r="W7" s="73">
        <v>40000</v>
      </c>
      <c r="Y7" s="43" t="s">
        <v>398</v>
      </c>
      <c r="Z7" s="73">
        <f>(Z5*0.02)</f>
        <v>24725</v>
      </c>
    </row>
    <row r="8" spans="1:26" ht="15" thickBot="1" x14ac:dyDescent="0.35">
      <c r="A8" s="43" t="s">
        <v>151</v>
      </c>
      <c r="B8" s="73">
        <v>11419</v>
      </c>
      <c r="C8" s="108">
        <v>11419</v>
      </c>
      <c r="D8" s="72"/>
      <c r="G8" s="74" t="s">
        <v>252</v>
      </c>
      <c r="H8" s="166">
        <v>640743</v>
      </c>
      <c r="I8" s="110" t="s">
        <v>364</v>
      </c>
      <c r="J8" s="157">
        <v>11</v>
      </c>
      <c r="K8" s="157">
        <v>470.99</v>
      </c>
      <c r="L8" s="158">
        <f t="shared" si="1"/>
        <v>5180.8900000000003</v>
      </c>
      <c r="M8" s="69" t="s">
        <v>254</v>
      </c>
      <c r="N8" s="95">
        <v>1274000</v>
      </c>
      <c r="Q8" s="147" t="s">
        <v>374</v>
      </c>
      <c r="R8" s="165">
        <v>54032</v>
      </c>
      <c r="U8" s="43"/>
      <c r="V8" s="43" t="s">
        <v>400</v>
      </c>
      <c r="W8" s="73">
        <v>50000</v>
      </c>
      <c r="Y8" s="43" t="s">
        <v>400</v>
      </c>
      <c r="Z8" s="73">
        <v>30000</v>
      </c>
    </row>
    <row r="9" spans="1:26" ht="15" thickBot="1" x14ac:dyDescent="0.35">
      <c r="A9" s="43" t="s">
        <v>107</v>
      </c>
      <c r="B9" s="73">
        <v>590</v>
      </c>
      <c r="C9" s="108">
        <v>590</v>
      </c>
      <c r="D9" s="72"/>
      <c r="I9" s="110" t="s">
        <v>377</v>
      </c>
      <c r="J9" s="157">
        <v>4</v>
      </c>
      <c r="K9" s="157">
        <v>1376.72</v>
      </c>
      <c r="L9" s="158">
        <f t="shared" si="1"/>
        <v>5506.88</v>
      </c>
      <c r="N9" s="98">
        <f>(N8+N7)</f>
        <v>-226000</v>
      </c>
      <c r="Q9" s="84" t="s">
        <v>346</v>
      </c>
      <c r="R9" s="90">
        <f>(R6+R8)</f>
        <v>224032</v>
      </c>
      <c r="U9" s="43"/>
      <c r="V9" s="43"/>
      <c r="W9" s="73"/>
      <c r="Y9" s="43"/>
      <c r="Z9" s="73"/>
    </row>
    <row r="10" spans="1:26" x14ac:dyDescent="0.3">
      <c r="A10" s="43" t="s">
        <v>174</v>
      </c>
      <c r="B10" s="73">
        <v>5000</v>
      </c>
      <c r="C10" s="108">
        <v>5000</v>
      </c>
      <c r="D10" s="72"/>
      <c r="I10" s="110" t="s">
        <v>387</v>
      </c>
      <c r="J10" s="157">
        <v>5</v>
      </c>
      <c r="K10" s="157">
        <v>936.51</v>
      </c>
      <c r="L10" s="158">
        <f t="shared" si="1"/>
        <v>4682.55</v>
      </c>
      <c r="M10" t="s">
        <v>6</v>
      </c>
      <c r="N10" s="96">
        <v>20000</v>
      </c>
      <c r="Q10" s="84" t="s">
        <v>347</v>
      </c>
      <c r="R10" s="95">
        <f>(R7-R8)</f>
        <v>69168</v>
      </c>
      <c r="U10" s="43"/>
      <c r="V10" s="43"/>
      <c r="W10" s="108">
        <f>SUM(W5:W8)</f>
        <v>2240000</v>
      </c>
      <c r="Y10" s="43"/>
      <c r="Z10" s="73">
        <f>SUM(Z5:Z8)</f>
        <v>1290975</v>
      </c>
    </row>
    <row r="11" spans="1:26" ht="15" thickBot="1" x14ac:dyDescent="0.35">
      <c r="A11" s="115" t="s">
        <v>249</v>
      </c>
      <c r="B11" s="134">
        <v>9000</v>
      </c>
      <c r="C11" s="73"/>
      <c r="D11" s="72"/>
      <c r="I11" s="110" t="s">
        <v>380</v>
      </c>
      <c r="J11" s="157">
        <v>5</v>
      </c>
      <c r="K11" s="157">
        <v>959.34</v>
      </c>
      <c r="L11" s="158">
        <f t="shared" si="1"/>
        <v>4796.7</v>
      </c>
      <c r="M11" t="s">
        <v>406</v>
      </c>
      <c r="N11" s="96">
        <v>30000</v>
      </c>
      <c r="Q11" s="84" t="s">
        <v>345</v>
      </c>
      <c r="R11" s="95">
        <f>B22</f>
        <v>103221</v>
      </c>
      <c r="U11" s="43"/>
      <c r="V11" s="43"/>
      <c r="W11" s="73"/>
      <c r="Y11" s="43"/>
      <c r="Z11" s="73"/>
    </row>
    <row r="12" spans="1:26" ht="15" thickBot="1" x14ac:dyDescent="0.35">
      <c r="A12" s="123" t="s">
        <v>308</v>
      </c>
      <c r="B12" s="123"/>
      <c r="C12" s="73"/>
      <c r="D12" s="72"/>
      <c r="I12" s="110" t="s">
        <v>385</v>
      </c>
      <c r="J12" s="157">
        <v>50</v>
      </c>
      <c r="K12" s="157">
        <v>43.35</v>
      </c>
      <c r="L12" s="158">
        <f t="shared" si="1"/>
        <v>2167.5</v>
      </c>
      <c r="N12" s="98">
        <f>(N9+N10+N11)</f>
        <v>-176000</v>
      </c>
      <c r="Q12" s="84"/>
      <c r="R12" s="119"/>
      <c r="U12" s="43"/>
      <c r="V12" s="43" t="s">
        <v>339</v>
      </c>
      <c r="W12" s="134">
        <v>500000</v>
      </c>
      <c r="Z12" s="30"/>
    </row>
    <row r="13" spans="1:26" ht="15" thickBot="1" x14ac:dyDescent="0.35">
      <c r="A13" s="73" t="s">
        <v>405</v>
      </c>
      <c r="B13" s="73">
        <v>10526</v>
      </c>
      <c r="C13" s="108">
        <v>10526</v>
      </c>
      <c r="D13" s="72"/>
      <c r="L13" s="175">
        <f>SUM(L3:L12)</f>
        <v>87158.41</v>
      </c>
      <c r="Q13" s="84" t="s">
        <v>214</v>
      </c>
      <c r="R13" s="150">
        <f>(R10-R11)</f>
        <v>-34053</v>
      </c>
      <c r="U13" s="43"/>
      <c r="V13" s="43" t="s">
        <v>401</v>
      </c>
      <c r="W13" s="73">
        <v>250000</v>
      </c>
      <c r="X13" s="30">
        <v>240975</v>
      </c>
      <c r="Z13" s="30"/>
    </row>
    <row r="14" spans="1:26" x14ac:dyDescent="0.3">
      <c r="A14" s="73"/>
      <c r="B14" s="73"/>
      <c r="C14" s="73"/>
      <c r="D14" s="72"/>
      <c r="Q14" s="84"/>
      <c r="R14" s="95"/>
      <c r="U14" s="43"/>
      <c r="V14" s="43" t="s">
        <v>6</v>
      </c>
      <c r="W14" s="134">
        <v>50000</v>
      </c>
    </row>
    <row r="15" spans="1:26" ht="15" thickBot="1" x14ac:dyDescent="0.35">
      <c r="A15" s="73"/>
      <c r="B15" s="73"/>
      <c r="C15" s="73"/>
      <c r="D15" s="72"/>
      <c r="M15" s="115" t="s">
        <v>273</v>
      </c>
      <c r="N15" s="116">
        <v>150000</v>
      </c>
      <c r="O15" s="43" t="s">
        <v>299</v>
      </c>
      <c r="Q15" s="99"/>
      <c r="R15" s="128"/>
      <c r="U15" s="43"/>
      <c r="V15" s="43" t="s">
        <v>407</v>
      </c>
      <c r="W15" s="134">
        <v>5000</v>
      </c>
    </row>
    <row r="16" spans="1:26" x14ac:dyDescent="0.3">
      <c r="A16" s="73"/>
      <c r="B16" s="73"/>
      <c r="C16" s="73"/>
      <c r="D16" s="72"/>
      <c r="I16">
        <v>164000</v>
      </c>
      <c r="K16" s="73">
        <v>1280000</v>
      </c>
      <c r="M16" s="115" t="s">
        <v>289</v>
      </c>
      <c r="N16" s="116">
        <v>200000</v>
      </c>
      <c r="O16" s="113">
        <v>44593</v>
      </c>
      <c r="U16" s="43"/>
      <c r="V16" s="43" t="s">
        <v>408</v>
      </c>
      <c r="W16" s="134">
        <v>10000</v>
      </c>
    </row>
    <row r="17" spans="1:26" x14ac:dyDescent="0.3">
      <c r="A17" s="123" t="s">
        <v>85</v>
      </c>
      <c r="B17" s="123">
        <v>20000</v>
      </c>
      <c r="C17" s="73"/>
      <c r="D17" s="72"/>
      <c r="I17">
        <v>27000</v>
      </c>
      <c r="K17" s="73">
        <v>30000</v>
      </c>
      <c r="M17" s="123" t="s">
        <v>302</v>
      </c>
      <c r="N17" s="112">
        <f>SUM(N33:N35)</f>
        <v>0</v>
      </c>
      <c r="O17" s="113">
        <v>44593</v>
      </c>
      <c r="U17" s="43"/>
      <c r="V17" s="43"/>
      <c r="W17" s="134">
        <f>SUM(W12:W16)</f>
        <v>815000</v>
      </c>
    </row>
    <row r="18" spans="1:26" x14ac:dyDescent="0.3">
      <c r="A18" s="115" t="s">
        <v>386</v>
      </c>
      <c r="B18" s="116">
        <v>20000</v>
      </c>
      <c r="C18" s="73"/>
      <c r="D18" s="72"/>
      <c r="I18">
        <v>12000</v>
      </c>
      <c r="K18" s="73">
        <v>20000</v>
      </c>
      <c r="M18" s="115" t="s">
        <v>297</v>
      </c>
      <c r="N18" s="116">
        <v>30000</v>
      </c>
      <c r="O18" s="113">
        <v>44593</v>
      </c>
      <c r="U18" s="43"/>
      <c r="V18" s="43"/>
      <c r="W18" s="73">
        <f>(W10-W17)</f>
        <v>1425000</v>
      </c>
    </row>
    <row r="19" spans="1:26" x14ac:dyDescent="0.3">
      <c r="A19" s="115" t="s">
        <v>352</v>
      </c>
      <c r="B19" s="116">
        <v>10000</v>
      </c>
      <c r="C19" s="73"/>
      <c r="D19" s="72"/>
      <c r="H19" s="65"/>
      <c r="I19">
        <v>140000</v>
      </c>
      <c r="K19" s="73">
        <f>SUM(K16:K18)</f>
        <v>1330000</v>
      </c>
      <c r="M19" s="80" t="s">
        <v>268</v>
      </c>
      <c r="N19" s="112">
        <v>11526</v>
      </c>
      <c r="O19" s="113">
        <v>44621</v>
      </c>
      <c r="U19" s="43"/>
      <c r="V19" s="43" t="s">
        <v>409</v>
      </c>
      <c r="W19" s="73">
        <v>1274000</v>
      </c>
      <c r="Y19" t="s">
        <v>400</v>
      </c>
      <c r="Z19" s="73">
        <v>54000</v>
      </c>
    </row>
    <row r="20" spans="1:26" ht="15" thickBot="1" x14ac:dyDescent="0.35">
      <c r="A20" s="115" t="s">
        <v>203</v>
      </c>
      <c r="B20" s="116">
        <v>10000</v>
      </c>
      <c r="C20" s="73"/>
      <c r="D20" s="145"/>
      <c r="E20" s="43" t="s">
        <v>182</v>
      </c>
      <c r="F20" s="73">
        <v>354000</v>
      </c>
      <c r="G20" s="43" t="s">
        <v>348</v>
      </c>
      <c r="H20" s="30"/>
      <c r="I20">
        <v>15000</v>
      </c>
      <c r="K20" s="73">
        <f>(K19+N7)</f>
        <v>-170000</v>
      </c>
      <c r="M20" s="124" t="s">
        <v>298</v>
      </c>
      <c r="N20" s="118">
        <v>5000</v>
      </c>
      <c r="O20" s="113">
        <v>44621</v>
      </c>
      <c r="U20" s="43"/>
      <c r="V20" s="43"/>
      <c r="Y20" t="s">
        <v>412</v>
      </c>
      <c r="Z20" s="73">
        <v>93000</v>
      </c>
    </row>
    <row r="21" spans="1:26" ht="15" thickBot="1" x14ac:dyDescent="0.35">
      <c r="A21" s="115" t="s">
        <v>381</v>
      </c>
      <c r="B21" s="116">
        <v>20000</v>
      </c>
      <c r="C21" s="73"/>
      <c r="D21" s="43"/>
      <c r="E21" s="87" t="s">
        <v>260</v>
      </c>
      <c r="F21" s="89">
        <v>500000</v>
      </c>
      <c r="M21" s="115" t="s">
        <v>306</v>
      </c>
      <c r="N21" s="116">
        <v>80000</v>
      </c>
      <c r="O21" s="113">
        <v>44621</v>
      </c>
      <c r="U21" s="43"/>
      <c r="V21" s="104" t="s">
        <v>410</v>
      </c>
      <c r="W21" s="177">
        <f>(W19-W18)</f>
        <v>-151000</v>
      </c>
      <c r="Z21" s="73">
        <f>SUM(Z19:Z20)</f>
        <v>147000</v>
      </c>
    </row>
    <row r="22" spans="1:26" x14ac:dyDescent="0.3">
      <c r="A22" s="64" t="s">
        <v>5</v>
      </c>
      <c r="B22" s="73">
        <f>SUM(B1:B13)</f>
        <v>103221</v>
      </c>
      <c r="C22" s="73">
        <f>SUM(C1:C13)</f>
        <v>94221</v>
      </c>
      <c r="D22" s="72"/>
      <c r="E22" s="43" t="s">
        <v>273</v>
      </c>
      <c r="F22" s="73">
        <v>30000</v>
      </c>
      <c r="I22">
        <v>1300000</v>
      </c>
      <c r="M22" s="115" t="s">
        <v>307</v>
      </c>
      <c r="N22" s="116">
        <v>154000</v>
      </c>
      <c r="O22" s="113">
        <v>44621</v>
      </c>
      <c r="U22" s="43"/>
      <c r="V22" s="43"/>
      <c r="W22" s="89"/>
      <c r="Y22" t="s">
        <v>411</v>
      </c>
      <c r="Z22" s="73">
        <v>90000</v>
      </c>
    </row>
    <row r="23" spans="1:26" x14ac:dyDescent="0.3">
      <c r="A23" s="43"/>
      <c r="B23" s="43"/>
      <c r="C23" s="43"/>
      <c r="D23" s="72"/>
      <c r="E23" s="43"/>
      <c r="F23" s="73">
        <f>SUM(F20:F22)</f>
        <v>884000</v>
      </c>
      <c r="I23">
        <v>1050000</v>
      </c>
      <c r="M23" s="124" t="s">
        <v>308</v>
      </c>
      <c r="N23" s="118">
        <v>4000</v>
      </c>
      <c r="O23" s="113">
        <v>44621</v>
      </c>
      <c r="Z23" s="73">
        <f>(Z21-Z22)</f>
        <v>57000</v>
      </c>
    </row>
    <row r="24" spans="1:26" ht="15" thickBot="1" x14ac:dyDescent="0.35">
      <c r="A24" s="64" t="s">
        <v>228</v>
      </c>
      <c r="B24" s="43"/>
      <c r="C24" s="62">
        <f>(C22-B22)</f>
        <v>-9000</v>
      </c>
      <c r="D24" s="43" t="s">
        <v>227</v>
      </c>
      <c r="I24">
        <f>(I22-I23)</f>
        <v>250000</v>
      </c>
      <c r="M24" s="43" t="s">
        <v>5</v>
      </c>
      <c r="N24" s="73">
        <f>SUM(N15:N23)</f>
        <v>634526</v>
      </c>
      <c r="O24" s="113"/>
      <c r="Y24" s="65"/>
      <c r="Z24" s="73"/>
    </row>
    <row r="25" spans="1:26" x14ac:dyDescent="0.3">
      <c r="A25" s="64"/>
      <c r="B25" s="43"/>
      <c r="C25" s="43"/>
      <c r="D25" s="43"/>
      <c r="M25" s="43"/>
      <c r="N25" s="106"/>
      <c r="O25" s="114"/>
      <c r="Q25" s="275" t="s">
        <v>321</v>
      </c>
      <c r="R25" s="276"/>
      <c r="Y25" t="s">
        <v>142</v>
      </c>
      <c r="Z25" s="73">
        <v>200000</v>
      </c>
    </row>
    <row r="26" spans="1:26" x14ac:dyDescent="0.3">
      <c r="A26" s="64" t="s">
        <v>225</v>
      </c>
      <c r="B26" s="43"/>
      <c r="C26" s="62">
        <f>(F6+C24)</f>
        <v>74715</v>
      </c>
      <c r="D26" s="43"/>
      <c r="Q26" s="271" t="s">
        <v>325</v>
      </c>
      <c r="R26" s="272"/>
      <c r="Y26" t="s">
        <v>206</v>
      </c>
      <c r="Z26" s="73">
        <f>(Z23+Z25)</f>
        <v>257000</v>
      </c>
    </row>
    <row r="27" spans="1:26" x14ac:dyDescent="0.3">
      <c r="Q27" s="84" t="s">
        <v>349</v>
      </c>
      <c r="R27" s="95">
        <v>354000</v>
      </c>
      <c r="Z27" s="73"/>
    </row>
    <row r="28" spans="1:26" ht="15" thickBot="1" x14ac:dyDescent="0.35">
      <c r="E28" s="115" t="s">
        <v>273</v>
      </c>
      <c r="F28" s="116">
        <v>150000</v>
      </c>
      <c r="G28" s="61" t="s">
        <v>335</v>
      </c>
      <c r="H28" s="43">
        <v>49700</v>
      </c>
      <c r="I28" s="43">
        <f>(H28*J28)</f>
        <v>298200</v>
      </c>
      <c r="J28" s="43">
        <v>6</v>
      </c>
      <c r="Q28" s="149" t="s">
        <v>322</v>
      </c>
      <c r="R28" s="95"/>
      <c r="Y28" t="s">
        <v>413</v>
      </c>
      <c r="Z28" s="73">
        <v>260000</v>
      </c>
    </row>
    <row r="29" spans="1:26" x14ac:dyDescent="0.3">
      <c r="A29" s="268" t="s">
        <v>303</v>
      </c>
      <c r="B29" s="269"/>
      <c r="C29" s="270"/>
      <c r="E29" s="115" t="s">
        <v>351</v>
      </c>
      <c r="F29" s="116">
        <v>354000</v>
      </c>
      <c r="G29" s="61" t="s">
        <v>280</v>
      </c>
      <c r="H29" s="43"/>
      <c r="I29" s="43">
        <f>(I28*J29/100)</f>
        <v>32802</v>
      </c>
      <c r="J29" s="43">
        <v>11</v>
      </c>
      <c r="M29" s="43" t="s">
        <v>389</v>
      </c>
      <c r="N29" s="73">
        <v>2500</v>
      </c>
      <c r="Q29" s="84" t="s">
        <v>326</v>
      </c>
      <c r="R29" s="95">
        <f>(R27-R28)</f>
        <v>354000</v>
      </c>
      <c r="Z29" s="30">
        <f>(Z28-Z26)</f>
        <v>3000</v>
      </c>
    </row>
    <row r="30" spans="1:26" x14ac:dyDescent="0.3">
      <c r="A30" s="84" t="s">
        <v>304</v>
      </c>
      <c r="B30" s="43"/>
      <c r="C30" s="139">
        <v>8000</v>
      </c>
      <c r="E30" s="115" t="s">
        <v>297</v>
      </c>
      <c r="F30" s="116">
        <v>40000</v>
      </c>
      <c r="G30" s="61" t="s">
        <v>281</v>
      </c>
      <c r="H30" s="43"/>
      <c r="I30" s="43">
        <v>6000</v>
      </c>
      <c r="J30" s="43"/>
      <c r="M30" s="43" t="s">
        <v>390</v>
      </c>
      <c r="N30" s="73">
        <v>148500</v>
      </c>
      <c r="Q30" s="84"/>
      <c r="R30" s="95"/>
    </row>
    <row r="31" spans="1:26" x14ac:dyDescent="0.3">
      <c r="A31" s="84" t="s">
        <v>305</v>
      </c>
      <c r="B31" s="43"/>
      <c r="C31" s="139">
        <v>20526</v>
      </c>
      <c r="E31" s="115" t="s">
        <v>306</v>
      </c>
      <c r="F31" s="116">
        <v>80000</v>
      </c>
      <c r="G31" s="61"/>
      <c r="H31" s="43"/>
      <c r="I31" s="43">
        <f>(I29+I30)</f>
        <v>38802</v>
      </c>
      <c r="J31" s="43"/>
      <c r="M31" s="43" t="s">
        <v>391</v>
      </c>
      <c r="N31" s="73">
        <v>2000</v>
      </c>
      <c r="Q31" s="271" t="s">
        <v>154</v>
      </c>
      <c r="R31" s="272"/>
    </row>
    <row r="32" spans="1:26" x14ac:dyDescent="0.3">
      <c r="A32" s="84" t="s">
        <v>336</v>
      </c>
      <c r="B32" s="43"/>
      <c r="C32" s="139">
        <v>21500</v>
      </c>
      <c r="E32" s="115" t="s">
        <v>329</v>
      </c>
      <c r="F32" s="116">
        <v>112500</v>
      </c>
      <c r="G32" s="61"/>
      <c r="H32" s="43"/>
      <c r="I32" s="43">
        <f>(I28+I31)</f>
        <v>337002</v>
      </c>
      <c r="J32" s="43"/>
      <c r="M32" s="43" t="s">
        <v>392</v>
      </c>
      <c r="N32" s="73">
        <v>650</v>
      </c>
      <c r="Q32" s="84" t="s">
        <v>323</v>
      </c>
      <c r="R32" s="95">
        <v>112500</v>
      </c>
    </row>
    <row r="33" spans="1:18" x14ac:dyDescent="0.3">
      <c r="A33" s="43" t="s">
        <v>353</v>
      </c>
      <c r="B33" s="43"/>
      <c r="C33" s="73">
        <v>60000</v>
      </c>
      <c r="D33" t="s">
        <v>360</v>
      </c>
      <c r="E33" s="43"/>
      <c r="F33" s="73"/>
      <c r="M33" s="43"/>
      <c r="N33" s="73"/>
      <c r="Q33" s="84" t="s">
        <v>324</v>
      </c>
      <c r="R33" s="95">
        <v>86000</v>
      </c>
    </row>
    <row r="34" spans="1:18" x14ac:dyDescent="0.3">
      <c r="A34" s="43" t="s">
        <v>356</v>
      </c>
      <c r="B34" s="43"/>
      <c r="C34" s="73">
        <v>20000</v>
      </c>
      <c r="E34" s="115" t="s">
        <v>307</v>
      </c>
      <c r="F34" s="116">
        <f>SUM(F28:F33)</f>
        <v>736500</v>
      </c>
      <c r="M34" s="43"/>
      <c r="N34" s="73"/>
      <c r="Q34" s="84" t="s">
        <v>326</v>
      </c>
      <c r="R34" s="95">
        <f>(R32-R33)</f>
        <v>26500</v>
      </c>
    </row>
    <row r="35" spans="1:18" ht="15" thickBot="1" x14ac:dyDescent="0.35">
      <c r="A35" s="151" t="s">
        <v>5</v>
      </c>
      <c r="B35" s="152"/>
      <c r="C35" s="153">
        <f>SUM(C34)</f>
        <v>20000</v>
      </c>
      <c r="E35" s="115"/>
      <c r="F35" s="116"/>
      <c r="G35" s="61" t="s">
        <v>334</v>
      </c>
      <c r="H35" s="43">
        <v>49750</v>
      </c>
      <c r="I35" s="43">
        <f>(H35*J35)</f>
        <v>99500</v>
      </c>
      <c r="J35" s="43">
        <v>2</v>
      </c>
      <c r="M35" s="43"/>
      <c r="N35" s="73"/>
      <c r="Q35" s="84"/>
      <c r="R35" s="119"/>
    </row>
    <row r="36" spans="1:18" ht="15" thickBot="1" x14ac:dyDescent="0.35">
      <c r="G36" s="43" t="s">
        <v>280</v>
      </c>
      <c r="H36" s="43"/>
      <c r="I36" s="43">
        <f>(I35*J36/100)</f>
        <v>9723.14</v>
      </c>
      <c r="J36" s="43">
        <v>9.7720000000000002</v>
      </c>
      <c r="M36" s="43"/>
      <c r="N36" s="73"/>
      <c r="Q36" s="99" t="s">
        <v>327</v>
      </c>
      <c r="R36" s="128">
        <f>(R29+R34)</f>
        <v>380500</v>
      </c>
    </row>
    <row r="37" spans="1:18" x14ac:dyDescent="0.3">
      <c r="G37" s="43"/>
      <c r="H37" s="43"/>
      <c r="I37" s="43">
        <f>SUM(I35:I36)</f>
        <v>109223.14</v>
      </c>
      <c r="J37" s="43"/>
      <c r="M37" s="43"/>
      <c r="N37" s="73"/>
    </row>
    <row r="38" spans="1:18" x14ac:dyDescent="0.3">
      <c r="E38" s="43"/>
      <c r="F38" s="73"/>
      <c r="G38" s="61" t="s">
        <v>333</v>
      </c>
      <c r="H38" s="43"/>
      <c r="I38" s="43">
        <f>(I37*J38/100)</f>
        <v>3276.6941999999999</v>
      </c>
      <c r="J38" s="43">
        <v>3</v>
      </c>
    </row>
    <row r="39" spans="1:18" ht="15" thickBot="1" x14ac:dyDescent="0.35">
      <c r="E39" s="43" t="s">
        <v>339</v>
      </c>
      <c r="F39" s="73"/>
      <c r="G39" s="61"/>
      <c r="H39" s="43"/>
      <c r="I39" s="43">
        <f>(I37+I38)</f>
        <v>112499.8342</v>
      </c>
      <c r="J39" s="43"/>
    </row>
    <row r="40" spans="1:18" ht="15" thickBot="1" x14ac:dyDescent="0.35">
      <c r="E40" s="43"/>
      <c r="F40" s="73"/>
      <c r="Q40" s="135" t="s">
        <v>331</v>
      </c>
      <c r="R40" s="137">
        <f>(F6+C24)</f>
        <v>74715</v>
      </c>
    </row>
    <row r="41" spans="1:18" x14ac:dyDescent="0.3">
      <c r="E41" s="141" t="s">
        <v>340</v>
      </c>
      <c r="F41" s="142">
        <f>(F38-F39)</f>
        <v>0</v>
      </c>
    </row>
    <row r="42" spans="1:18" x14ac:dyDescent="0.3">
      <c r="E42" s="141" t="s">
        <v>341</v>
      </c>
      <c r="F42" s="142">
        <v>32502</v>
      </c>
    </row>
    <row r="43" spans="1:18" x14ac:dyDescent="0.3">
      <c r="E43" s="141" t="s">
        <v>343</v>
      </c>
      <c r="F43" s="142">
        <v>38040</v>
      </c>
    </row>
    <row r="44" spans="1:18" x14ac:dyDescent="0.3">
      <c r="E44" s="141" t="s">
        <v>342</v>
      </c>
      <c r="F44" s="142">
        <v>46371</v>
      </c>
    </row>
  </sheetData>
  <mergeCells count="7">
    <mergeCell ref="A29:C29"/>
    <mergeCell ref="Q31:R31"/>
    <mergeCell ref="E1:F1"/>
    <mergeCell ref="I1:L1"/>
    <mergeCell ref="Q5:R5"/>
    <mergeCell ref="Q25:R25"/>
    <mergeCell ref="Q26:R26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37E77-C12C-4D98-BCB3-DC32CF52FAFA}">
  <dimension ref="A1:Z41"/>
  <sheetViews>
    <sheetView workbookViewId="0">
      <selection activeCell="G27" sqref="G27"/>
    </sheetView>
  </sheetViews>
  <sheetFormatPr defaultRowHeight="14.4" x14ac:dyDescent="0.3"/>
  <cols>
    <col min="1" max="1" width="14.44140625" bestFit="1" customWidth="1"/>
    <col min="2" max="2" width="7.88671875" bestFit="1" customWidth="1"/>
    <col min="3" max="3" width="9.6640625" bestFit="1" customWidth="1"/>
    <col min="4" max="4" width="13.33203125" bestFit="1" customWidth="1"/>
    <col min="5" max="5" width="18.6640625" bestFit="1" customWidth="1"/>
    <col min="6" max="6" width="10.44140625" bestFit="1" customWidth="1"/>
    <col min="7" max="7" width="23" bestFit="1" customWidth="1"/>
    <col min="8" max="8" width="7.33203125" bestFit="1" customWidth="1"/>
    <col min="9" max="9" width="14" bestFit="1" customWidth="1"/>
    <col min="10" max="10" width="6" bestFit="1" customWidth="1"/>
    <col min="12" max="12" width="9" bestFit="1" customWidth="1"/>
    <col min="13" max="13" width="17.88671875" bestFit="1" customWidth="1"/>
    <col min="14" max="14" width="9.6640625" bestFit="1" customWidth="1"/>
    <col min="15" max="15" width="8.6640625" bestFit="1" customWidth="1"/>
    <col min="17" max="17" width="14.5546875" bestFit="1" customWidth="1"/>
    <col min="18" max="18" width="10.44140625" bestFit="1" customWidth="1"/>
    <col min="21" max="21" width="7" bestFit="1" customWidth="1"/>
    <col min="22" max="22" width="12.5546875" bestFit="1" customWidth="1"/>
    <col min="24" max="24" width="7.88671875" bestFit="1" customWidth="1"/>
    <col min="25" max="25" width="11.33203125" bestFit="1" customWidth="1"/>
  </cols>
  <sheetData>
    <row r="1" spans="1:26" x14ac:dyDescent="0.3">
      <c r="A1" s="43" t="s">
        <v>6</v>
      </c>
      <c r="B1" s="73">
        <v>30000</v>
      </c>
      <c r="C1" s="108">
        <v>30000</v>
      </c>
      <c r="D1" s="72"/>
      <c r="E1" s="264" t="s">
        <v>277</v>
      </c>
      <c r="F1" s="265"/>
      <c r="I1" s="279" t="s">
        <v>361</v>
      </c>
      <c r="J1" s="280"/>
      <c r="K1" s="280"/>
      <c r="L1" s="281"/>
      <c r="M1" s="155" t="s">
        <v>388</v>
      </c>
      <c r="N1" s="93">
        <v>2250000</v>
      </c>
    </row>
    <row r="2" spans="1:26" x14ac:dyDescent="0.3">
      <c r="A2" s="43" t="s">
        <v>0</v>
      </c>
      <c r="B2" s="73">
        <v>0</v>
      </c>
      <c r="C2" s="73"/>
      <c r="D2" s="72"/>
      <c r="E2" s="43" t="s">
        <v>309</v>
      </c>
      <c r="F2" s="73">
        <v>86000</v>
      </c>
      <c r="G2" t="s">
        <v>310</v>
      </c>
      <c r="I2" s="110" t="s">
        <v>365</v>
      </c>
      <c r="J2" s="159">
        <v>4</v>
      </c>
      <c r="K2" s="159">
        <v>2200</v>
      </c>
      <c r="L2" s="174">
        <f>(J2*K2)</f>
        <v>8800</v>
      </c>
      <c r="M2" s="61" t="s">
        <v>177</v>
      </c>
      <c r="N2" s="94">
        <v>300000</v>
      </c>
      <c r="P2" s="30"/>
    </row>
    <row r="3" spans="1:26" x14ac:dyDescent="0.3">
      <c r="A3" s="43" t="s">
        <v>1</v>
      </c>
      <c r="B3" s="73">
        <v>5000</v>
      </c>
      <c r="C3" s="108">
        <v>5000</v>
      </c>
      <c r="D3" s="72"/>
      <c r="E3" s="43" t="s">
        <v>265</v>
      </c>
      <c r="F3" s="73">
        <v>0</v>
      </c>
      <c r="G3" s="73"/>
      <c r="H3" s="30"/>
      <c r="I3" s="110" t="s">
        <v>382</v>
      </c>
      <c r="J3" s="157">
        <v>10</v>
      </c>
      <c r="K3" s="157">
        <v>999</v>
      </c>
      <c r="L3" s="158">
        <f t="shared" ref="L3" si="0">(J3*K3)</f>
        <v>9990</v>
      </c>
      <c r="M3" s="61" t="s">
        <v>6</v>
      </c>
      <c r="N3" s="94">
        <v>200000</v>
      </c>
      <c r="P3" s="30"/>
    </row>
    <row r="4" spans="1:26" ht="15" thickBot="1" x14ac:dyDescent="0.35">
      <c r="A4" s="43" t="s">
        <v>2</v>
      </c>
      <c r="B4" s="73">
        <v>2000</v>
      </c>
      <c r="C4" s="108">
        <v>2000</v>
      </c>
      <c r="D4" s="72"/>
      <c r="E4" s="43" t="s">
        <v>204</v>
      </c>
      <c r="F4" s="73">
        <v>3400</v>
      </c>
      <c r="G4" s="168"/>
      <c r="I4" s="110" t="s">
        <v>379</v>
      </c>
      <c r="J4" s="157"/>
      <c r="K4" s="157"/>
      <c r="L4" s="158">
        <v>9000</v>
      </c>
      <c r="M4" s="61"/>
      <c r="N4" s="95">
        <v>250000</v>
      </c>
      <c r="U4" s="73" t="s">
        <v>397</v>
      </c>
      <c r="V4" s="73">
        <f>(W5/40)</f>
        <v>53750</v>
      </c>
      <c r="W4" s="43"/>
    </row>
    <row r="5" spans="1:26" ht="15" thickBot="1" x14ac:dyDescent="0.35">
      <c r="A5" s="43" t="s">
        <v>89</v>
      </c>
      <c r="B5" s="73">
        <v>32706</v>
      </c>
      <c r="C5" s="108">
        <v>32706</v>
      </c>
      <c r="D5" s="72"/>
      <c r="E5" s="43" t="s">
        <v>205</v>
      </c>
      <c r="F5" s="43">
        <v>315</v>
      </c>
      <c r="I5" s="110" t="s">
        <v>19</v>
      </c>
      <c r="J5" s="157">
        <v>22</v>
      </c>
      <c r="K5" s="157">
        <v>1321.63</v>
      </c>
      <c r="L5" s="158">
        <f t="shared" ref="L5:L12" si="1">(J5*K5)</f>
        <v>29075.86</v>
      </c>
      <c r="M5" s="167" t="s">
        <v>290</v>
      </c>
      <c r="N5" s="96">
        <f>SUM(N2:N4)</f>
        <v>750000</v>
      </c>
      <c r="Q5" s="277" t="s">
        <v>204</v>
      </c>
      <c r="R5" s="278"/>
      <c r="U5" s="43" t="s">
        <v>395</v>
      </c>
      <c r="V5" s="43" t="s">
        <v>396</v>
      </c>
      <c r="W5" s="73">
        <v>2150000</v>
      </c>
      <c r="Y5" s="43" t="s">
        <v>399</v>
      </c>
      <c r="Z5" s="73">
        <f>(23*V4)</f>
        <v>1236250</v>
      </c>
    </row>
    <row r="6" spans="1:26" ht="15" thickBot="1" x14ac:dyDescent="0.35">
      <c r="A6" s="43" t="s">
        <v>3</v>
      </c>
      <c r="B6" s="73">
        <v>1500</v>
      </c>
      <c r="C6" s="108">
        <v>1500</v>
      </c>
      <c r="D6" s="72"/>
      <c r="E6" s="43" t="s">
        <v>6</v>
      </c>
      <c r="F6" s="73">
        <f>SUM(F3:F5)</f>
        <v>3715</v>
      </c>
      <c r="G6" s="107" t="s">
        <v>250</v>
      </c>
      <c r="H6" s="166">
        <v>369932</v>
      </c>
      <c r="I6" s="110" t="s">
        <v>362</v>
      </c>
      <c r="J6" s="157">
        <v>6</v>
      </c>
      <c r="K6" s="157">
        <v>1918.68</v>
      </c>
      <c r="L6" s="158">
        <f t="shared" si="1"/>
        <v>11512.08</v>
      </c>
      <c r="M6" s="61"/>
      <c r="N6" s="95"/>
      <c r="Q6" s="126" t="s">
        <v>318</v>
      </c>
      <c r="R6" s="95">
        <v>170000</v>
      </c>
      <c r="U6" s="43"/>
      <c r="V6" s="43"/>
      <c r="W6" s="73"/>
      <c r="Y6" s="43"/>
      <c r="Z6" s="73"/>
    </row>
    <row r="7" spans="1:26" ht="15" thickBot="1" x14ac:dyDescent="0.35">
      <c r="A7" s="43" t="s">
        <v>9</v>
      </c>
      <c r="B7" s="73">
        <v>352</v>
      </c>
      <c r="C7" s="108">
        <v>352</v>
      </c>
      <c r="D7" s="72"/>
      <c r="E7" s="43" t="s">
        <v>430</v>
      </c>
      <c r="F7" s="44">
        <v>104000</v>
      </c>
      <c r="G7" s="107" t="s">
        <v>251</v>
      </c>
      <c r="H7" s="166">
        <v>270811</v>
      </c>
      <c r="I7" s="110" t="s">
        <v>363</v>
      </c>
      <c r="J7" s="157">
        <v>5</v>
      </c>
      <c r="K7" s="157">
        <v>1049.19</v>
      </c>
      <c r="L7" s="158">
        <f t="shared" si="1"/>
        <v>5245.9500000000007</v>
      </c>
      <c r="M7" s="69"/>
      <c r="N7" s="176">
        <f>(N5-N1)</f>
        <v>-1500000</v>
      </c>
      <c r="Q7" s="84" t="s">
        <v>357</v>
      </c>
      <c r="R7" s="146">
        <v>123200</v>
      </c>
      <c r="U7" s="43"/>
      <c r="V7" s="43" t="s">
        <v>398</v>
      </c>
      <c r="W7" s="73">
        <v>40000</v>
      </c>
      <c r="Y7" s="43" t="s">
        <v>398</v>
      </c>
      <c r="Z7" s="73">
        <f>(Z5*0.02)</f>
        <v>24725</v>
      </c>
    </row>
    <row r="8" spans="1:26" ht="15" thickBot="1" x14ac:dyDescent="0.35">
      <c r="A8" s="43" t="s">
        <v>151</v>
      </c>
      <c r="B8" s="73">
        <v>11419</v>
      </c>
      <c r="C8" s="108">
        <v>11419</v>
      </c>
      <c r="D8" s="72"/>
      <c r="G8" s="74" t="s">
        <v>252</v>
      </c>
      <c r="H8" s="166">
        <v>640743</v>
      </c>
      <c r="I8" s="110" t="s">
        <v>364</v>
      </c>
      <c r="J8" s="157">
        <v>11</v>
      </c>
      <c r="K8" s="157">
        <v>470.99</v>
      </c>
      <c r="L8" s="158">
        <f t="shared" si="1"/>
        <v>5180.8900000000003</v>
      </c>
      <c r="M8" s="69" t="s">
        <v>254</v>
      </c>
      <c r="N8" s="95">
        <v>1274000</v>
      </c>
      <c r="Q8" s="147" t="s">
        <v>374</v>
      </c>
      <c r="R8" s="165">
        <v>54032</v>
      </c>
      <c r="U8" s="43"/>
      <c r="V8" s="43" t="s">
        <v>400</v>
      </c>
      <c r="W8" s="73">
        <v>50000</v>
      </c>
      <c r="Y8" s="43" t="s">
        <v>400</v>
      </c>
      <c r="Z8" s="73">
        <v>30000</v>
      </c>
    </row>
    <row r="9" spans="1:26" ht="15" thickBot="1" x14ac:dyDescent="0.35">
      <c r="A9" s="43" t="s">
        <v>107</v>
      </c>
      <c r="B9" s="73">
        <v>590</v>
      </c>
      <c r="C9" s="108">
        <v>590</v>
      </c>
      <c r="D9" s="72"/>
      <c r="I9" s="110" t="s">
        <v>377</v>
      </c>
      <c r="J9" s="157">
        <v>4</v>
      </c>
      <c r="K9" s="157">
        <v>1376.72</v>
      </c>
      <c r="L9" s="158">
        <f t="shared" si="1"/>
        <v>5506.88</v>
      </c>
      <c r="N9" s="98">
        <f>(N8+N7)</f>
        <v>-226000</v>
      </c>
      <c r="Q9" s="84" t="s">
        <v>346</v>
      </c>
      <c r="R9" s="90">
        <f>(R6+R8)</f>
        <v>224032</v>
      </c>
      <c r="U9" s="43"/>
      <c r="V9" s="43"/>
      <c r="W9" s="73"/>
      <c r="Y9" s="43"/>
      <c r="Z9" s="73"/>
    </row>
    <row r="10" spans="1:26" x14ac:dyDescent="0.3">
      <c r="A10" s="43" t="s">
        <v>174</v>
      </c>
      <c r="B10" s="73">
        <v>5000</v>
      </c>
      <c r="C10" s="108">
        <v>1500</v>
      </c>
      <c r="D10" s="72"/>
      <c r="I10" s="110" t="s">
        <v>387</v>
      </c>
      <c r="J10" s="157">
        <v>5</v>
      </c>
      <c r="K10" s="157">
        <v>936.51</v>
      </c>
      <c r="L10" s="158">
        <f t="shared" si="1"/>
        <v>4682.55</v>
      </c>
      <c r="M10" t="s">
        <v>6</v>
      </c>
      <c r="N10" s="96">
        <v>20000</v>
      </c>
      <c r="Q10" s="84" t="s">
        <v>347</v>
      </c>
      <c r="R10" s="95">
        <f>(R7-R8)</f>
        <v>69168</v>
      </c>
      <c r="U10" s="43"/>
      <c r="V10" s="43"/>
      <c r="W10" s="108">
        <f>SUM(W5:W8)</f>
        <v>2240000</v>
      </c>
      <c r="Y10" s="43"/>
      <c r="Z10" s="73">
        <f>SUM(Z5:Z8)</f>
        <v>1290975</v>
      </c>
    </row>
    <row r="11" spans="1:26" ht="15" thickBot="1" x14ac:dyDescent="0.35">
      <c r="A11" s="178" t="s">
        <v>414</v>
      </c>
      <c r="B11" s="179">
        <v>21452</v>
      </c>
      <c r="C11" s="108">
        <v>21452</v>
      </c>
      <c r="D11" s="72"/>
      <c r="I11" s="110" t="s">
        <v>380</v>
      </c>
      <c r="J11" s="157">
        <v>5</v>
      </c>
      <c r="K11" s="157">
        <v>959.34</v>
      </c>
      <c r="L11" s="158">
        <f t="shared" si="1"/>
        <v>4796.7</v>
      </c>
      <c r="M11" t="s">
        <v>406</v>
      </c>
      <c r="N11" s="96">
        <v>30000</v>
      </c>
      <c r="Q11" s="84" t="s">
        <v>345</v>
      </c>
      <c r="R11" s="95">
        <f>B22</f>
        <v>132519</v>
      </c>
      <c r="U11" s="43"/>
      <c r="V11" s="43"/>
      <c r="W11" s="73"/>
      <c r="Y11" s="43"/>
      <c r="Z11" s="73"/>
    </row>
    <row r="12" spans="1:26" ht="15" thickBot="1" x14ac:dyDescent="0.35">
      <c r="A12" s="115" t="s">
        <v>249</v>
      </c>
      <c r="B12" s="134">
        <v>9000</v>
      </c>
      <c r="C12" s="73"/>
      <c r="D12" s="72"/>
      <c r="I12" s="110" t="s">
        <v>385</v>
      </c>
      <c r="J12" s="157">
        <v>50</v>
      </c>
      <c r="K12" s="157">
        <v>43.35</v>
      </c>
      <c r="L12" s="158">
        <f t="shared" si="1"/>
        <v>2167.5</v>
      </c>
      <c r="N12" s="98">
        <f>(N9+N10+N11)</f>
        <v>-176000</v>
      </c>
      <c r="Q12" s="84"/>
      <c r="R12" s="119"/>
      <c r="U12" s="43"/>
      <c r="V12" s="43" t="s">
        <v>339</v>
      </c>
      <c r="W12" s="134">
        <v>500000</v>
      </c>
      <c r="Z12" s="30"/>
    </row>
    <row r="13" spans="1:26" ht="15" thickBot="1" x14ac:dyDescent="0.35">
      <c r="A13" s="123" t="s">
        <v>308</v>
      </c>
      <c r="B13" s="123">
        <v>3500</v>
      </c>
      <c r="C13" s="123"/>
      <c r="D13" s="72"/>
      <c r="L13" s="175">
        <f>SUM(L3:L12)</f>
        <v>87158.41</v>
      </c>
      <c r="Q13" s="84" t="s">
        <v>214</v>
      </c>
      <c r="R13" s="150">
        <f>(R10-R11)</f>
        <v>-63351</v>
      </c>
      <c r="U13" s="43"/>
      <c r="V13" s="43" t="s">
        <v>401</v>
      </c>
      <c r="W13" s="73">
        <v>250000</v>
      </c>
      <c r="X13" s="30">
        <v>240975</v>
      </c>
      <c r="Z13" s="30"/>
    </row>
    <row r="14" spans="1:26" x14ac:dyDescent="0.3">
      <c r="A14" s="123" t="s">
        <v>416</v>
      </c>
      <c r="B14" s="123">
        <v>10000</v>
      </c>
      <c r="C14" s="123">
        <v>10000</v>
      </c>
      <c r="D14" s="72"/>
      <c r="Q14" s="84"/>
      <c r="R14" s="95"/>
      <c r="U14" s="43"/>
      <c r="V14" s="43" t="s">
        <v>6</v>
      </c>
      <c r="W14" s="134">
        <v>50000</v>
      </c>
    </row>
    <row r="15" spans="1:26" ht="15" thickBot="1" x14ac:dyDescent="0.35">
      <c r="A15" s="73"/>
      <c r="B15" s="73"/>
      <c r="C15" s="73"/>
      <c r="D15" s="72"/>
      <c r="M15" s="115" t="s">
        <v>273</v>
      </c>
      <c r="N15" s="116">
        <v>150000</v>
      </c>
      <c r="O15" s="43" t="s">
        <v>299</v>
      </c>
      <c r="Q15" s="99"/>
      <c r="R15" s="128"/>
      <c r="U15" s="43"/>
      <c r="V15" s="43" t="s">
        <v>407</v>
      </c>
      <c r="W15" s="134">
        <v>5000</v>
      </c>
    </row>
    <row r="16" spans="1:26" x14ac:dyDescent="0.3">
      <c r="A16" s="73"/>
      <c r="B16" s="73"/>
      <c r="C16" s="73"/>
      <c r="D16" s="73"/>
      <c r="I16">
        <v>164000</v>
      </c>
      <c r="K16" s="73">
        <v>1280000</v>
      </c>
      <c r="M16" s="115" t="s">
        <v>289</v>
      </c>
      <c r="N16" s="116">
        <v>200000</v>
      </c>
      <c r="O16" s="113">
        <v>44593</v>
      </c>
      <c r="U16" s="43"/>
      <c r="V16" s="43" t="s">
        <v>408</v>
      </c>
      <c r="W16" s="134">
        <v>10000</v>
      </c>
    </row>
    <row r="17" spans="1:26" x14ac:dyDescent="0.3">
      <c r="A17" s="73"/>
      <c r="B17" s="73"/>
      <c r="C17" s="73" t="s">
        <v>415</v>
      </c>
      <c r="D17" s="72"/>
      <c r="I17">
        <v>27000</v>
      </c>
      <c r="K17" s="73">
        <v>30000</v>
      </c>
      <c r="M17" s="123" t="s">
        <v>302</v>
      </c>
      <c r="N17" s="112">
        <f>SUM(N33:N35)</f>
        <v>0</v>
      </c>
      <c r="O17" s="113">
        <v>44593</v>
      </c>
      <c r="U17" s="43"/>
      <c r="V17" s="43"/>
      <c r="W17" s="134">
        <f>SUM(W12:W16)</f>
        <v>815000</v>
      </c>
    </row>
    <row r="18" spans="1:26" x14ac:dyDescent="0.3">
      <c r="A18" s="123" t="s">
        <v>81</v>
      </c>
      <c r="B18" s="123">
        <v>100000</v>
      </c>
      <c r="C18" s="73"/>
      <c r="D18" s="72"/>
      <c r="I18">
        <v>12000</v>
      </c>
      <c r="K18" s="73">
        <v>20000</v>
      </c>
      <c r="M18" s="115" t="s">
        <v>297</v>
      </c>
      <c r="N18" s="116">
        <v>30000</v>
      </c>
      <c r="O18" s="113">
        <v>44593</v>
      </c>
      <c r="U18" s="43"/>
      <c r="V18" s="43"/>
      <c r="W18" s="73">
        <f>(W10-W17)</f>
        <v>1425000</v>
      </c>
    </row>
    <row r="19" spans="1:26" x14ac:dyDescent="0.3">
      <c r="A19" s="123" t="s">
        <v>123</v>
      </c>
      <c r="B19" s="123">
        <v>100000</v>
      </c>
      <c r="C19" s="73"/>
      <c r="D19" s="72"/>
      <c r="H19" s="65"/>
      <c r="I19">
        <v>140000</v>
      </c>
      <c r="K19" s="73">
        <f>SUM(K16:K18)</f>
        <v>1330000</v>
      </c>
      <c r="M19" s="80" t="s">
        <v>268</v>
      </c>
      <c r="N19" s="112">
        <v>11526</v>
      </c>
      <c r="O19" s="113">
        <v>44621</v>
      </c>
      <c r="U19" s="43"/>
      <c r="V19" s="43" t="s">
        <v>409</v>
      </c>
      <c r="W19" s="73">
        <v>1274000</v>
      </c>
      <c r="Y19" t="s">
        <v>400</v>
      </c>
      <c r="Z19" s="73">
        <v>54000</v>
      </c>
    </row>
    <row r="20" spans="1:26" ht="15" thickBot="1" x14ac:dyDescent="0.35">
      <c r="A20" s="115" t="s">
        <v>203</v>
      </c>
      <c r="B20" s="116">
        <v>10000</v>
      </c>
      <c r="C20" s="73"/>
      <c r="D20" s="145"/>
      <c r="E20" s="43" t="s">
        <v>182</v>
      </c>
      <c r="F20" s="73">
        <v>354000</v>
      </c>
      <c r="G20" s="43" t="s">
        <v>348</v>
      </c>
      <c r="H20" s="30"/>
      <c r="I20">
        <v>15000</v>
      </c>
      <c r="K20" s="73">
        <f>(K19+N7)</f>
        <v>-170000</v>
      </c>
      <c r="M20" s="124" t="s">
        <v>298</v>
      </c>
      <c r="N20" s="118">
        <v>5000</v>
      </c>
      <c r="O20" s="113">
        <v>44621</v>
      </c>
      <c r="U20" s="43"/>
      <c r="V20" s="43"/>
      <c r="Y20" t="s">
        <v>412</v>
      </c>
      <c r="Z20" s="73">
        <v>93000</v>
      </c>
    </row>
    <row r="21" spans="1:26" ht="15" thickBot="1" x14ac:dyDescent="0.35">
      <c r="A21" s="115" t="s">
        <v>381</v>
      </c>
      <c r="B21" s="116">
        <v>20000</v>
      </c>
      <c r="C21" s="73"/>
      <c r="D21" s="43"/>
      <c r="E21" s="87" t="s">
        <v>260</v>
      </c>
      <c r="F21" s="89">
        <v>500000</v>
      </c>
      <c r="M21" s="115" t="s">
        <v>306</v>
      </c>
      <c r="N21" s="116">
        <v>80000</v>
      </c>
      <c r="O21" s="113">
        <v>44621</v>
      </c>
      <c r="U21" s="43"/>
      <c r="V21" s="104" t="s">
        <v>410</v>
      </c>
      <c r="W21" s="177">
        <f>(W19-W18)</f>
        <v>-151000</v>
      </c>
      <c r="Z21" s="73">
        <f>SUM(Z19:Z20)</f>
        <v>147000</v>
      </c>
    </row>
    <row r="22" spans="1:26" x14ac:dyDescent="0.3">
      <c r="A22" s="64" t="s">
        <v>5</v>
      </c>
      <c r="B22" s="73">
        <f>SUM(B1:B14)</f>
        <v>132519</v>
      </c>
      <c r="C22" s="73">
        <f>SUM(C1:C14)</f>
        <v>116519</v>
      </c>
      <c r="D22" s="72"/>
      <c r="E22" s="43" t="s">
        <v>273</v>
      </c>
      <c r="F22" s="73">
        <v>30000</v>
      </c>
      <c r="I22">
        <v>1300000</v>
      </c>
      <c r="M22" s="115" t="s">
        <v>307</v>
      </c>
      <c r="N22" s="116">
        <v>154000</v>
      </c>
      <c r="O22" s="113">
        <v>44621</v>
      </c>
      <c r="U22" s="43"/>
      <c r="V22" s="43"/>
      <c r="W22" s="89"/>
      <c r="Y22" t="s">
        <v>411</v>
      </c>
      <c r="Z22" s="73">
        <v>90000</v>
      </c>
    </row>
    <row r="23" spans="1:26" x14ac:dyDescent="0.3">
      <c r="A23" s="43"/>
      <c r="B23" s="43"/>
      <c r="C23" s="43"/>
      <c r="D23" s="72"/>
      <c r="E23" s="43"/>
      <c r="F23" s="73">
        <f>SUM(F20:F22)</f>
        <v>884000</v>
      </c>
      <c r="I23">
        <v>1050000</v>
      </c>
      <c r="M23" s="124" t="s">
        <v>308</v>
      </c>
      <c r="N23" s="118">
        <v>4000</v>
      </c>
      <c r="O23" s="113">
        <v>44621</v>
      </c>
      <c r="Z23" s="73">
        <f>(Z21-Z22)</f>
        <v>57000</v>
      </c>
    </row>
    <row r="24" spans="1:26" ht="15" thickBot="1" x14ac:dyDescent="0.35">
      <c r="A24" s="64" t="s">
        <v>228</v>
      </c>
      <c r="B24" s="43"/>
      <c r="C24" s="62">
        <f>(C22-B22)</f>
        <v>-16000</v>
      </c>
      <c r="D24" s="43" t="s">
        <v>227</v>
      </c>
      <c r="I24">
        <f>(I22-I23)</f>
        <v>250000</v>
      </c>
      <c r="M24" s="43" t="s">
        <v>5</v>
      </c>
      <c r="N24" s="73">
        <f>SUM(N15:N23)</f>
        <v>634526</v>
      </c>
      <c r="O24" s="113"/>
      <c r="Y24" s="65"/>
      <c r="Z24" s="73"/>
    </row>
    <row r="25" spans="1:26" x14ac:dyDescent="0.3">
      <c r="A25" s="64"/>
      <c r="B25" s="43"/>
      <c r="C25" s="43"/>
      <c r="D25" s="43"/>
      <c r="M25" s="43"/>
      <c r="N25" s="106"/>
      <c r="O25" s="114"/>
      <c r="Q25" s="275" t="s">
        <v>321</v>
      </c>
      <c r="R25" s="276"/>
      <c r="Y25" t="s">
        <v>142</v>
      </c>
      <c r="Z25" s="73">
        <v>200000</v>
      </c>
    </row>
    <row r="26" spans="1:26" x14ac:dyDescent="0.3">
      <c r="A26" s="64" t="s">
        <v>225</v>
      </c>
      <c r="B26" s="43"/>
      <c r="C26" s="62">
        <f>(F6+C24)</f>
        <v>-12285</v>
      </c>
      <c r="D26" s="43"/>
      <c r="Q26" s="271" t="s">
        <v>325</v>
      </c>
      <c r="R26" s="272"/>
      <c r="Y26" t="s">
        <v>206</v>
      </c>
      <c r="Z26" s="73">
        <f>(Z23+Z25)</f>
        <v>257000</v>
      </c>
    </row>
    <row r="27" spans="1:26" x14ac:dyDescent="0.3">
      <c r="Q27" s="84" t="s">
        <v>349</v>
      </c>
      <c r="R27" s="95">
        <v>354000</v>
      </c>
      <c r="Z27" s="73"/>
    </row>
    <row r="28" spans="1:26" ht="15" thickBot="1" x14ac:dyDescent="0.35">
      <c r="E28" s="115" t="s">
        <v>273</v>
      </c>
      <c r="F28" s="116">
        <v>150000</v>
      </c>
      <c r="G28" s="61" t="s">
        <v>335</v>
      </c>
      <c r="H28" s="43">
        <v>49700</v>
      </c>
      <c r="I28" s="43">
        <f>(H28*J28)</f>
        <v>298200</v>
      </c>
      <c r="J28" s="43">
        <v>6</v>
      </c>
      <c r="Q28" s="149" t="s">
        <v>322</v>
      </c>
      <c r="R28" s="95"/>
      <c r="Y28" t="s">
        <v>413</v>
      </c>
      <c r="Z28" s="73">
        <v>260000</v>
      </c>
    </row>
    <row r="29" spans="1:26" x14ac:dyDescent="0.3">
      <c r="A29" s="268" t="s">
        <v>303</v>
      </c>
      <c r="B29" s="269"/>
      <c r="C29" s="270"/>
      <c r="E29" s="115" t="s">
        <v>351</v>
      </c>
      <c r="F29" s="116">
        <v>354000</v>
      </c>
      <c r="G29" s="61" t="s">
        <v>280</v>
      </c>
      <c r="H29" s="43"/>
      <c r="I29" s="43">
        <f>(I28*J29/100)</f>
        <v>32802</v>
      </c>
      <c r="J29" s="43">
        <v>11</v>
      </c>
      <c r="M29" s="43" t="s">
        <v>389</v>
      </c>
      <c r="N29" s="73">
        <v>2500</v>
      </c>
      <c r="Q29" s="84" t="s">
        <v>326</v>
      </c>
      <c r="R29" s="95">
        <f>(R27-R28)</f>
        <v>354000</v>
      </c>
      <c r="Z29" s="30">
        <f>(Z28-Z26)</f>
        <v>3000</v>
      </c>
    </row>
    <row r="30" spans="1:26" x14ac:dyDescent="0.3">
      <c r="A30" s="84" t="s">
        <v>304</v>
      </c>
      <c r="B30" s="43"/>
      <c r="C30" s="139">
        <v>8000</v>
      </c>
      <c r="E30" s="115" t="s">
        <v>297</v>
      </c>
      <c r="F30" s="116">
        <v>40000</v>
      </c>
      <c r="G30" s="61" t="s">
        <v>281</v>
      </c>
      <c r="H30" s="43"/>
      <c r="I30" s="43">
        <v>6000</v>
      </c>
      <c r="J30" s="43"/>
      <c r="M30" s="43" t="s">
        <v>390</v>
      </c>
      <c r="N30" s="73">
        <v>148500</v>
      </c>
      <c r="Q30" s="84"/>
      <c r="R30" s="95"/>
    </row>
    <row r="31" spans="1:26" x14ac:dyDescent="0.3">
      <c r="A31" s="84" t="s">
        <v>305</v>
      </c>
      <c r="B31" s="43"/>
      <c r="C31" s="139">
        <v>20526</v>
      </c>
      <c r="E31" s="115" t="s">
        <v>306</v>
      </c>
      <c r="F31" s="116">
        <v>80000</v>
      </c>
      <c r="G31" s="61"/>
      <c r="H31" s="43"/>
      <c r="I31" s="43">
        <f>(I29+I30)</f>
        <v>38802</v>
      </c>
      <c r="J31" s="43"/>
      <c r="M31" s="43" t="s">
        <v>391</v>
      </c>
      <c r="N31" s="73">
        <v>2000</v>
      </c>
      <c r="Q31" s="271" t="s">
        <v>154</v>
      </c>
      <c r="R31" s="272"/>
    </row>
    <row r="32" spans="1:26" x14ac:dyDescent="0.3">
      <c r="A32" s="84" t="s">
        <v>336</v>
      </c>
      <c r="B32" s="43"/>
      <c r="C32" s="139">
        <v>21500</v>
      </c>
      <c r="E32" s="115" t="s">
        <v>329</v>
      </c>
      <c r="F32" s="116">
        <v>112500</v>
      </c>
      <c r="G32" s="61"/>
      <c r="H32" s="43"/>
      <c r="I32" s="43">
        <f>(I28+I31)</f>
        <v>337002</v>
      </c>
      <c r="J32" s="43"/>
      <c r="M32" s="43" t="s">
        <v>392</v>
      </c>
      <c r="N32" s="73">
        <v>650</v>
      </c>
      <c r="Q32" s="84" t="s">
        <v>323</v>
      </c>
      <c r="R32" s="95">
        <v>112500</v>
      </c>
    </row>
    <row r="33" spans="1:18" x14ac:dyDescent="0.3">
      <c r="A33" s="43" t="s">
        <v>353</v>
      </c>
      <c r="B33" s="43"/>
      <c r="C33" s="73">
        <v>60000</v>
      </c>
      <c r="D33" t="s">
        <v>360</v>
      </c>
      <c r="E33" s="43"/>
      <c r="F33" s="73"/>
      <c r="M33" s="43"/>
      <c r="N33" s="73"/>
      <c r="Q33" s="84" t="s">
        <v>324</v>
      </c>
      <c r="R33" s="95">
        <v>86000</v>
      </c>
    </row>
    <row r="34" spans="1:18" x14ac:dyDescent="0.3">
      <c r="A34" s="43" t="s">
        <v>356</v>
      </c>
      <c r="B34" s="43"/>
      <c r="C34" s="73">
        <v>20000</v>
      </c>
      <c r="E34" s="115" t="s">
        <v>307</v>
      </c>
      <c r="F34" s="116">
        <f>SUM(F28:F33)</f>
        <v>736500</v>
      </c>
      <c r="M34" s="43"/>
      <c r="N34" s="73"/>
      <c r="Q34" s="84" t="s">
        <v>326</v>
      </c>
      <c r="R34" s="95">
        <f>(R32-R33)</f>
        <v>26500</v>
      </c>
    </row>
    <row r="35" spans="1:18" ht="15" thickBot="1" x14ac:dyDescent="0.35">
      <c r="A35" s="151" t="s">
        <v>5</v>
      </c>
      <c r="B35" s="152"/>
      <c r="C35" s="153">
        <f>SUM(C34)</f>
        <v>20000</v>
      </c>
      <c r="E35" s="115"/>
      <c r="F35" s="116"/>
      <c r="G35" s="61" t="s">
        <v>334</v>
      </c>
      <c r="H35" s="43">
        <v>49750</v>
      </c>
      <c r="I35" s="43">
        <f>(H35*J35)</f>
        <v>99500</v>
      </c>
      <c r="J35" s="43">
        <v>2</v>
      </c>
      <c r="M35" s="43"/>
      <c r="N35" s="73"/>
      <c r="Q35" s="84"/>
      <c r="R35" s="119"/>
    </row>
    <row r="36" spans="1:18" ht="15" thickBot="1" x14ac:dyDescent="0.35">
      <c r="G36" s="43" t="s">
        <v>280</v>
      </c>
      <c r="H36" s="43"/>
      <c r="I36" s="43">
        <f>(I35*J36/100)</f>
        <v>9723.14</v>
      </c>
      <c r="J36" s="43">
        <v>9.7720000000000002</v>
      </c>
      <c r="M36" s="43"/>
      <c r="N36" s="73"/>
      <c r="Q36" s="99" t="s">
        <v>327</v>
      </c>
      <c r="R36" s="128">
        <f>(R29+R34)</f>
        <v>380500</v>
      </c>
    </row>
    <row r="37" spans="1:18" x14ac:dyDescent="0.3">
      <c r="G37" s="43"/>
      <c r="H37" s="43"/>
      <c r="I37" s="43">
        <f>SUM(I35:I36)</f>
        <v>109223.14</v>
      </c>
      <c r="J37" s="43"/>
      <c r="M37" s="43"/>
      <c r="N37" s="73"/>
    </row>
    <row r="38" spans="1:18" x14ac:dyDescent="0.3">
      <c r="E38" s="43"/>
      <c r="F38" s="73"/>
      <c r="G38" s="61" t="s">
        <v>333</v>
      </c>
      <c r="H38" s="43"/>
      <c r="I38" s="43">
        <f>(I37*J38/100)</f>
        <v>3276.6941999999999</v>
      </c>
      <c r="J38" s="43">
        <v>3</v>
      </c>
    </row>
    <row r="39" spans="1:18" ht="15" thickBot="1" x14ac:dyDescent="0.35">
      <c r="E39" s="43" t="s">
        <v>339</v>
      </c>
      <c r="F39" s="73"/>
      <c r="G39" s="61"/>
      <c r="H39" s="43"/>
      <c r="I39" s="43">
        <f>(I37+I38)</f>
        <v>112499.8342</v>
      </c>
      <c r="J39" s="43"/>
    </row>
    <row r="40" spans="1:18" ht="15" thickBot="1" x14ac:dyDescent="0.35">
      <c r="E40" s="43"/>
      <c r="F40" s="73"/>
      <c r="Q40" s="135" t="s">
        <v>331</v>
      </c>
      <c r="R40" s="137">
        <f>(F6+C24)</f>
        <v>-12285</v>
      </c>
    </row>
    <row r="41" spans="1:18" x14ac:dyDescent="0.3">
      <c r="E41" s="141" t="s">
        <v>340</v>
      </c>
      <c r="F41" s="142">
        <f>(F38-F39)</f>
        <v>0</v>
      </c>
    </row>
  </sheetData>
  <mergeCells count="7">
    <mergeCell ref="A29:C29"/>
    <mergeCell ref="Q31:R31"/>
    <mergeCell ref="E1:F1"/>
    <mergeCell ref="I1:L1"/>
    <mergeCell ref="Q5:R5"/>
    <mergeCell ref="Q25:R25"/>
    <mergeCell ref="Q26:R2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6DA6-DF3A-4D92-86C2-A8C06D3108D5}">
  <dimension ref="A1:S27"/>
  <sheetViews>
    <sheetView zoomScaleNormal="100" workbookViewId="0">
      <selection activeCell="G27" sqref="G27"/>
    </sheetView>
  </sheetViews>
  <sheetFormatPr defaultRowHeight="14.4" x14ac:dyDescent="0.3"/>
  <cols>
    <col min="1" max="1" width="14.44140625" bestFit="1" customWidth="1"/>
    <col min="2" max="2" width="7.88671875" bestFit="1" customWidth="1"/>
    <col min="3" max="3" width="11.109375" bestFit="1" customWidth="1"/>
    <col min="4" max="4" width="13.33203125" bestFit="1" customWidth="1"/>
    <col min="5" max="5" width="18.6640625" bestFit="1" customWidth="1"/>
    <col min="6" max="6" width="10.44140625" bestFit="1" customWidth="1"/>
    <col min="7" max="7" width="26" bestFit="1" customWidth="1"/>
    <col min="8" max="8" width="8.109375" bestFit="1" customWidth="1"/>
    <col min="9" max="9" width="14" bestFit="1" customWidth="1"/>
    <col min="10" max="10" width="6" bestFit="1" customWidth="1"/>
    <col min="12" max="12" width="9" bestFit="1" customWidth="1"/>
    <col min="13" max="13" width="17.88671875" bestFit="1" customWidth="1"/>
    <col min="14" max="14" width="9.6640625" bestFit="1" customWidth="1"/>
    <col min="15" max="15" width="8.6640625" bestFit="1" customWidth="1"/>
    <col min="17" max="17" width="14.5546875" bestFit="1" customWidth="1"/>
    <col min="18" max="18" width="10.44140625" bestFit="1" customWidth="1"/>
    <col min="21" max="21" width="7" bestFit="1" customWidth="1"/>
    <col min="22" max="22" width="12.5546875" bestFit="1" customWidth="1"/>
    <col min="24" max="24" width="7.88671875" bestFit="1" customWidth="1"/>
    <col min="25" max="25" width="11.33203125" bestFit="1" customWidth="1"/>
  </cols>
  <sheetData>
    <row r="1" spans="1:19" x14ac:dyDescent="0.3">
      <c r="A1" s="43" t="s">
        <v>6</v>
      </c>
      <c r="B1" s="73">
        <v>30000</v>
      </c>
      <c r="C1" s="108">
        <v>30000</v>
      </c>
      <c r="D1" s="72"/>
      <c r="E1" s="264" t="s">
        <v>277</v>
      </c>
      <c r="F1" s="265"/>
      <c r="I1" s="279" t="s">
        <v>361</v>
      </c>
      <c r="J1" s="280"/>
      <c r="K1" s="280"/>
      <c r="L1" s="281"/>
    </row>
    <row r="2" spans="1:19" x14ac:dyDescent="0.3">
      <c r="A2" s="43" t="s">
        <v>0</v>
      </c>
      <c r="B2" s="73">
        <v>0</v>
      </c>
      <c r="C2" s="73"/>
      <c r="D2" s="72"/>
      <c r="E2" s="43" t="s">
        <v>309</v>
      </c>
      <c r="F2" s="73">
        <v>86000</v>
      </c>
      <c r="G2" t="s">
        <v>310</v>
      </c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19" x14ac:dyDescent="0.3">
      <c r="A3" s="43" t="s">
        <v>1</v>
      </c>
      <c r="B3" s="73">
        <v>6500</v>
      </c>
      <c r="C3" s="108">
        <v>6500</v>
      </c>
      <c r="D3" s="72"/>
      <c r="E3" s="43" t="s">
        <v>265</v>
      </c>
      <c r="F3" s="73">
        <v>56500</v>
      </c>
      <c r="G3" s="73" t="s">
        <v>419</v>
      </c>
      <c r="H3" s="30"/>
      <c r="I3" s="110" t="s">
        <v>382</v>
      </c>
      <c r="J3" s="157">
        <v>10</v>
      </c>
      <c r="K3" s="157">
        <v>999</v>
      </c>
      <c r="L3" s="158">
        <f t="shared" ref="L3" si="0">(J3*K3)</f>
        <v>9990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</row>
    <row r="4" spans="1:19" x14ac:dyDescent="0.3">
      <c r="A4" s="43" t="s">
        <v>2</v>
      </c>
      <c r="B4" s="73">
        <v>2000</v>
      </c>
      <c r="C4" s="108">
        <v>2000</v>
      </c>
      <c r="D4" s="72"/>
      <c r="E4" s="43" t="s">
        <v>204</v>
      </c>
      <c r="F4" s="73">
        <v>8500</v>
      </c>
      <c r="G4" s="168"/>
      <c r="I4" s="110" t="s">
        <v>379</v>
      </c>
      <c r="J4" s="157"/>
      <c r="K4" s="157"/>
      <c r="L4" s="158">
        <v>9000</v>
      </c>
      <c r="N4" s="43"/>
      <c r="O4" s="43"/>
      <c r="P4" s="73"/>
      <c r="R4" s="43"/>
      <c r="S4" s="73"/>
    </row>
    <row r="5" spans="1:19" x14ac:dyDescent="0.3">
      <c r="A5" s="43" t="s">
        <v>89</v>
      </c>
      <c r="B5" s="73">
        <v>32706</v>
      </c>
      <c r="C5" s="108">
        <v>32706</v>
      </c>
      <c r="D5" s="72"/>
      <c r="E5" s="43" t="s">
        <v>205</v>
      </c>
      <c r="F5" s="43">
        <v>108</v>
      </c>
      <c r="G5" t="s">
        <v>420</v>
      </c>
      <c r="I5" s="110" t="s">
        <v>19</v>
      </c>
      <c r="J5" s="157">
        <v>22</v>
      </c>
      <c r="K5" s="157">
        <v>1321.63</v>
      </c>
      <c r="L5" s="158">
        <f t="shared" ref="L5:L12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</row>
    <row r="6" spans="1:19" x14ac:dyDescent="0.3">
      <c r="A6" s="43" t="s">
        <v>3</v>
      </c>
      <c r="B6" s="73">
        <v>1500</v>
      </c>
      <c r="C6" s="108">
        <v>1500</v>
      </c>
      <c r="D6" s="72"/>
      <c r="E6" s="43" t="s">
        <v>6</v>
      </c>
      <c r="F6" s="73">
        <f>SUM(F4:F5)</f>
        <v>8608</v>
      </c>
      <c r="I6" s="110" t="s">
        <v>362</v>
      </c>
      <c r="J6" s="157">
        <v>6</v>
      </c>
      <c r="K6" s="157">
        <v>1918.68</v>
      </c>
      <c r="L6" s="158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</row>
    <row r="7" spans="1:19" x14ac:dyDescent="0.3">
      <c r="A7" s="43" t="s">
        <v>9</v>
      </c>
      <c r="B7" s="73">
        <v>352</v>
      </c>
      <c r="C7" s="108">
        <v>352</v>
      </c>
      <c r="D7" s="72"/>
      <c r="E7" s="43" t="s">
        <v>428</v>
      </c>
      <c r="F7" s="44">
        <v>104000</v>
      </c>
      <c r="I7" s="110" t="s">
        <v>363</v>
      </c>
      <c r="J7" s="157">
        <v>5</v>
      </c>
      <c r="K7" s="157">
        <v>1049.19</v>
      </c>
      <c r="L7" s="158">
        <f t="shared" si="1"/>
        <v>5245.9500000000007</v>
      </c>
      <c r="N7" s="43"/>
      <c r="O7" s="43"/>
      <c r="P7" s="73"/>
      <c r="R7" s="43"/>
      <c r="S7" s="73"/>
    </row>
    <row r="8" spans="1:19" x14ac:dyDescent="0.3">
      <c r="A8" s="43" t="s">
        <v>151</v>
      </c>
      <c r="B8" s="73">
        <v>11419</v>
      </c>
      <c r="C8" s="108">
        <v>11419</v>
      </c>
      <c r="D8" s="72"/>
      <c r="I8" s="110" t="s">
        <v>364</v>
      </c>
      <c r="J8" s="157">
        <v>11</v>
      </c>
      <c r="K8" s="157">
        <v>470.99</v>
      </c>
      <c r="L8" s="158">
        <f t="shared" si="1"/>
        <v>5180.8900000000003</v>
      </c>
      <c r="N8" s="43"/>
      <c r="O8" s="43"/>
      <c r="P8" s="108">
        <f>SUM(P3:P6)</f>
        <v>2240000</v>
      </c>
      <c r="R8" s="43"/>
      <c r="S8" s="73">
        <f>SUM(S3:S6)</f>
        <v>1290975</v>
      </c>
    </row>
    <row r="9" spans="1:19" x14ac:dyDescent="0.3">
      <c r="A9" s="43" t="s">
        <v>107</v>
      </c>
      <c r="B9" s="73">
        <v>590</v>
      </c>
      <c r="C9" s="108">
        <v>590</v>
      </c>
      <c r="D9" s="72"/>
      <c r="E9" s="43" t="s">
        <v>423</v>
      </c>
      <c r="F9" s="73">
        <v>31500</v>
      </c>
      <c r="G9" t="s">
        <v>426</v>
      </c>
      <c r="I9" s="110" t="s">
        <v>377</v>
      </c>
      <c r="J9" s="157">
        <v>4</v>
      </c>
      <c r="K9" s="157">
        <v>1376.72</v>
      </c>
      <c r="L9" s="158">
        <f t="shared" si="1"/>
        <v>5506.88</v>
      </c>
      <c r="N9" s="43"/>
      <c r="O9" s="43"/>
      <c r="P9" s="73"/>
      <c r="R9" s="43"/>
      <c r="S9" s="73"/>
    </row>
    <row r="10" spans="1:19" x14ac:dyDescent="0.3">
      <c r="A10" s="43" t="s">
        <v>174</v>
      </c>
      <c r="B10" s="73">
        <v>5000</v>
      </c>
      <c r="C10" s="108">
        <v>5000</v>
      </c>
      <c r="D10" s="72"/>
      <c r="E10" s="116" t="s">
        <v>425</v>
      </c>
      <c r="F10" s="116">
        <v>5000</v>
      </c>
      <c r="I10" s="110" t="s">
        <v>387</v>
      </c>
      <c r="J10" s="157">
        <v>5</v>
      </c>
      <c r="K10" s="157">
        <v>936.51</v>
      </c>
      <c r="L10" s="158">
        <f t="shared" si="1"/>
        <v>4682.55</v>
      </c>
      <c r="N10" s="43"/>
      <c r="O10" s="43" t="s">
        <v>339</v>
      </c>
      <c r="P10" s="134">
        <v>500000</v>
      </c>
      <c r="S10" s="30"/>
    </row>
    <row r="11" spans="1:19" x14ac:dyDescent="0.3">
      <c r="A11" s="178" t="s">
        <v>414</v>
      </c>
      <c r="B11" s="179">
        <v>21452</v>
      </c>
      <c r="C11" s="108">
        <v>21452</v>
      </c>
      <c r="D11" s="72"/>
      <c r="E11" s="116" t="s">
        <v>422</v>
      </c>
      <c r="F11" s="116">
        <v>15000</v>
      </c>
      <c r="I11" s="110" t="s">
        <v>380</v>
      </c>
      <c r="J11" s="157">
        <v>5</v>
      </c>
      <c r="K11" s="157">
        <v>959.34</v>
      </c>
      <c r="L11" s="158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</row>
    <row r="12" spans="1:19" ht="15" thickBot="1" x14ac:dyDescent="0.35">
      <c r="A12" s="115" t="s">
        <v>249</v>
      </c>
      <c r="B12" s="134">
        <v>9000</v>
      </c>
      <c r="C12" s="134">
        <v>9000</v>
      </c>
      <c r="D12" s="72"/>
      <c r="E12" s="116" t="s">
        <v>381</v>
      </c>
      <c r="F12" s="116">
        <v>5000</v>
      </c>
      <c r="I12" s="110" t="s">
        <v>385</v>
      </c>
      <c r="J12" s="157">
        <v>50</v>
      </c>
      <c r="K12" s="157">
        <v>43.35</v>
      </c>
      <c r="L12" s="158">
        <f t="shared" si="1"/>
        <v>2167.5</v>
      </c>
      <c r="N12" s="43"/>
      <c r="O12" s="43" t="s">
        <v>6</v>
      </c>
      <c r="P12" s="134">
        <v>50000</v>
      </c>
    </row>
    <row r="13" spans="1:19" ht="15" thickBot="1" x14ac:dyDescent="0.35">
      <c r="A13" s="123" t="s">
        <v>308</v>
      </c>
      <c r="B13" s="123">
        <v>3000</v>
      </c>
      <c r="C13" s="123">
        <v>3000</v>
      </c>
      <c r="D13" s="72"/>
      <c r="L13" s="175">
        <f>SUM(L3:L12)</f>
        <v>87158.41</v>
      </c>
      <c r="N13" s="43"/>
      <c r="O13" s="43" t="s">
        <v>407</v>
      </c>
      <c r="P13" s="134">
        <v>5000</v>
      </c>
    </row>
    <row r="14" spans="1:19" x14ac:dyDescent="0.3">
      <c r="A14" s="123" t="s">
        <v>417</v>
      </c>
      <c r="B14" s="123">
        <v>15000</v>
      </c>
      <c r="C14" s="123">
        <v>15000</v>
      </c>
      <c r="D14" s="72"/>
      <c r="E14" s="43" t="s">
        <v>424</v>
      </c>
      <c r="F14" s="73">
        <v>20000</v>
      </c>
      <c r="N14" s="43"/>
      <c r="O14" s="43" t="s">
        <v>408</v>
      </c>
      <c r="P14" s="134">
        <v>10000</v>
      </c>
    </row>
    <row r="15" spans="1:19" x14ac:dyDescent="0.3">
      <c r="A15" s="43"/>
      <c r="B15" s="43"/>
      <c r="C15" s="73"/>
      <c r="D15" s="72"/>
      <c r="E15" s="43" t="s">
        <v>421</v>
      </c>
      <c r="F15" s="73">
        <v>25000</v>
      </c>
      <c r="G15" s="167" t="s">
        <v>273</v>
      </c>
      <c r="H15" s="116">
        <v>150000</v>
      </c>
      <c r="I15" s="180">
        <v>44986</v>
      </c>
      <c r="N15" s="43"/>
      <c r="O15" s="43"/>
      <c r="P15" s="134">
        <f>SUM(P10:P14)</f>
        <v>815000</v>
      </c>
    </row>
    <row r="16" spans="1:19" x14ac:dyDescent="0.3">
      <c r="A16" s="73"/>
      <c r="B16" s="73"/>
      <c r="C16" s="73"/>
      <c r="D16" s="73"/>
      <c r="E16" s="43" t="s">
        <v>381</v>
      </c>
      <c r="F16" s="73">
        <v>5000</v>
      </c>
      <c r="G16" s="167" t="s">
        <v>306</v>
      </c>
      <c r="H16" s="116">
        <v>150000</v>
      </c>
      <c r="I16" s="113">
        <v>44986</v>
      </c>
      <c r="N16" s="43"/>
      <c r="O16" s="43"/>
      <c r="P16" s="73">
        <f>(P8-P15)</f>
        <v>1425000</v>
      </c>
    </row>
    <row r="17" spans="1:19" x14ac:dyDescent="0.3">
      <c r="A17" s="123" t="s">
        <v>81</v>
      </c>
      <c r="B17" s="123">
        <v>100000</v>
      </c>
      <c r="C17" s="73"/>
      <c r="D17" s="72"/>
      <c r="E17" s="43" t="s">
        <v>163</v>
      </c>
      <c r="F17" s="73">
        <v>1500</v>
      </c>
      <c r="G17" s="167" t="s">
        <v>109</v>
      </c>
      <c r="H17" s="116">
        <v>18195</v>
      </c>
      <c r="I17" s="113">
        <v>44958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19" ht="15" thickBot="1" x14ac:dyDescent="0.35">
      <c r="A18" s="123" t="s">
        <v>123</v>
      </c>
      <c r="B18" s="123">
        <v>100000</v>
      </c>
      <c r="C18" s="73"/>
      <c r="D18" s="72"/>
      <c r="E18" s="43" t="s">
        <v>425</v>
      </c>
      <c r="F18" s="73">
        <v>5000</v>
      </c>
      <c r="G18" s="181" t="s">
        <v>268</v>
      </c>
      <c r="H18" s="112">
        <v>11526</v>
      </c>
      <c r="I18" s="113">
        <v>44958</v>
      </c>
      <c r="N18" s="43"/>
      <c r="O18" s="43"/>
      <c r="R18" t="s">
        <v>412</v>
      </c>
      <c r="S18" s="73">
        <v>93000</v>
      </c>
    </row>
    <row r="19" spans="1:19" ht="15" thickBot="1" x14ac:dyDescent="0.35">
      <c r="A19" s="116" t="s">
        <v>421</v>
      </c>
      <c r="B19" s="116">
        <v>15000</v>
      </c>
      <c r="C19" s="73"/>
      <c r="D19" s="72"/>
      <c r="G19" s="80" t="s">
        <v>298</v>
      </c>
      <c r="H19" s="80">
        <v>5000</v>
      </c>
      <c r="I19" s="113">
        <v>44896</v>
      </c>
      <c r="K19" t="s">
        <v>418</v>
      </c>
      <c r="L19">
        <v>1</v>
      </c>
      <c r="N19" s="43"/>
      <c r="O19" s="104" t="s">
        <v>410</v>
      </c>
      <c r="P19" s="177">
        <f>(P17-P16)</f>
        <v>-151000</v>
      </c>
      <c r="S19" s="73">
        <f>SUM(S17:S18)</f>
        <v>147000</v>
      </c>
    </row>
    <row r="20" spans="1:19" x14ac:dyDescent="0.3">
      <c r="A20" s="116" t="s">
        <v>203</v>
      </c>
      <c r="B20" s="116">
        <v>10000</v>
      </c>
      <c r="C20" s="73"/>
      <c r="D20" s="145"/>
      <c r="G20" s="80" t="s">
        <v>256</v>
      </c>
      <c r="H20" s="80">
        <v>15000</v>
      </c>
      <c r="I20" s="113">
        <v>44927</v>
      </c>
      <c r="N20" s="43"/>
      <c r="O20" s="43"/>
      <c r="P20" s="89"/>
      <c r="R20" t="s">
        <v>411</v>
      </c>
      <c r="S20" s="73">
        <v>90000</v>
      </c>
    </row>
    <row r="21" spans="1:19" x14ac:dyDescent="0.3">
      <c r="A21" s="115" t="s">
        <v>381</v>
      </c>
      <c r="B21" s="116">
        <v>25000</v>
      </c>
      <c r="C21" s="73"/>
      <c r="D21" s="43"/>
      <c r="G21" s="115"/>
      <c r="H21" s="116"/>
      <c r="I21" s="113"/>
      <c r="S21" s="73">
        <f>(S19-S20)</f>
        <v>57000</v>
      </c>
    </row>
    <row r="22" spans="1:19" x14ac:dyDescent="0.3">
      <c r="A22" s="64" t="s">
        <v>5</v>
      </c>
      <c r="B22" s="73">
        <f>SUM(B1:B14)</f>
        <v>138519</v>
      </c>
      <c r="C22" s="73">
        <f>SUM(C1:C14)</f>
        <v>138519</v>
      </c>
      <c r="D22" s="72"/>
      <c r="G22" s="115"/>
      <c r="H22" s="116"/>
      <c r="I22" s="113"/>
      <c r="R22" s="65"/>
      <c r="S22" s="73"/>
    </row>
    <row r="23" spans="1:19" x14ac:dyDescent="0.3">
      <c r="A23" s="43"/>
      <c r="B23" s="43"/>
      <c r="C23" s="43"/>
      <c r="D23" s="72"/>
      <c r="G23" s="124"/>
      <c r="H23" s="118"/>
      <c r="I23" s="113"/>
      <c r="R23" t="s">
        <v>142</v>
      </c>
      <c r="S23" s="73">
        <v>200000</v>
      </c>
    </row>
    <row r="24" spans="1:19" x14ac:dyDescent="0.3">
      <c r="A24" s="64" t="s">
        <v>228</v>
      </c>
      <c r="B24" s="43"/>
      <c r="C24" s="62">
        <f>(C22-B22)</f>
        <v>0</v>
      </c>
      <c r="D24" s="43" t="s">
        <v>227</v>
      </c>
      <c r="G24" s="43"/>
      <c r="H24" s="73"/>
      <c r="I24" s="113"/>
      <c r="R24" t="s">
        <v>206</v>
      </c>
      <c r="S24" s="73">
        <f>(S21+S23)</f>
        <v>257000</v>
      </c>
    </row>
    <row r="25" spans="1:19" x14ac:dyDescent="0.3">
      <c r="A25" s="64"/>
      <c r="B25" s="43"/>
      <c r="C25" s="43"/>
      <c r="D25" s="43"/>
      <c r="G25" s="43"/>
      <c r="H25" s="106"/>
      <c r="I25" s="114"/>
      <c r="S25" s="73"/>
    </row>
    <row r="26" spans="1:19" x14ac:dyDescent="0.3">
      <c r="A26" s="64" t="s">
        <v>225</v>
      </c>
      <c r="B26" s="43"/>
      <c r="C26" s="62">
        <f>(F6+C24)</f>
        <v>8608</v>
      </c>
      <c r="D26" s="43"/>
      <c r="K26" s="30"/>
      <c r="R26" t="s">
        <v>413</v>
      </c>
      <c r="S26" s="73">
        <v>260000</v>
      </c>
    </row>
    <row r="27" spans="1:19" x14ac:dyDescent="0.3">
      <c r="S27" s="30">
        <f>(S26-S24)</f>
        <v>3000</v>
      </c>
    </row>
  </sheetData>
  <mergeCells count="2">
    <mergeCell ref="E1:F1"/>
    <mergeCell ref="I1:L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EAE3-214E-4555-9A3D-6DA2A9A46589}">
  <dimension ref="A1:S29"/>
  <sheetViews>
    <sheetView workbookViewId="0">
      <selection activeCell="G27" sqref="G27"/>
    </sheetView>
  </sheetViews>
  <sheetFormatPr defaultRowHeight="14.4" x14ac:dyDescent="0.3"/>
  <cols>
    <col min="1" max="1" width="15.6640625" bestFit="1" customWidth="1"/>
    <col min="2" max="2" width="7.88671875" bestFit="1" customWidth="1"/>
    <col min="3" max="3" width="11.109375" bestFit="1" customWidth="1"/>
    <col min="4" max="4" width="13.33203125" bestFit="1" customWidth="1"/>
    <col min="5" max="5" width="18.6640625" bestFit="1" customWidth="1"/>
    <col min="6" max="6" width="10.44140625" bestFit="1" customWidth="1"/>
    <col min="7" max="7" width="26" bestFit="1" customWidth="1"/>
    <col min="8" max="8" width="8.109375" bestFit="1" customWidth="1"/>
    <col min="9" max="9" width="14" bestFit="1" customWidth="1"/>
    <col min="10" max="10" width="6" bestFit="1" customWidth="1"/>
    <col min="12" max="12" width="9" bestFit="1" customWidth="1"/>
    <col min="13" max="13" width="17.88671875" bestFit="1" customWidth="1"/>
    <col min="14" max="14" width="9.6640625" bestFit="1" customWidth="1"/>
    <col min="15" max="15" width="12.5546875" bestFit="1" customWidth="1"/>
    <col min="17" max="17" width="14.5546875" bestFit="1" customWidth="1"/>
    <col min="18" max="18" width="10.44140625" bestFit="1" customWidth="1"/>
  </cols>
  <sheetData>
    <row r="1" spans="1:19" x14ac:dyDescent="0.3">
      <c r="A1" s="43" t="s">
        <v>6</v>
      </c>
      <c r="B1" s="73">
        <v>24000</v>
      </c>
      <c r="C1" s="108">
        <v>24000</v>
      </c>
      <c r="D1" s="72"/>
      <c r="E1" s="264" t="s">
        <v>277</v>
      </c>
      <c r="F1" s="265"/>
      <c r="I1" s="279" t="s">
        <v>361</v>
      </c>
      <c r="J1" s="280"/>
      <c r="K1" s="280"/>
      <c r="L1" s="281"/>
    </row>
    <row r="2" spans="1:19" x14ac:dyDescent="0.3">
      <c r="A2" s="43" t="s">
        <v>0</v>
      </c>
      <c r="B2" s="73">
        <v>0</v>
      </c>
      <c r="C2" s="73"/>
      <c r="D2" s="72"/>
      <c r="E2" s="43" t="s">
        <v>309</v>
      </c>
      <c r="F2" s="73">
        <v>86000</v>
      </c>
      <c r="G2" t="s">
        <v>310</v>
      </c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19" x14ac:dyDescent="0.3">
      <c r="A3" s="43" t="s">
        <v>1</v>
      </c>
      <c r="B3" s="73">
        <v>6500</v>
      </c>
      <c r="C3" s="108">
        <v>6500</v>
      </c>
      <c r="D3" s="72"/>
      <c r="E3" s="43" t="s">
        <v>265</v>
      </c>
      <c r="F3" s="73">
        <v>27</v>
      </c>
      <c r="G3" s="73" t="s">
        <v>419</v>
      </c>
      <c r="H3" s="30"/>
      <c r="I3" s="110" t="s">
        <v>382</v>
      </c>
      <c r="J3" s="157">
        <v>10</v>
      </c>
      <c r="K3" s="157">
        <v>999</v>
      </c>
      <c r="L3" s="158">
        <f t="shared" ref="L3" si="0">(J3*K3)</f>
        <v>9990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</row>
    <row r="4" spans="1:19" x14ac:dyDescent="0.3">
      <c r="A4" s="43" t="s">
        <v>2</v>
      </c>
      <c r="B4" s="73">
        <v>2000</v>
      </c>
      <c r="C4" s="108">
        <v>2000</v>
      </c>
      <c r="D4" s="72"/>
      <c r="E4" s="43" t="s">
        <v>204</v>
      </c>
      <c r="F4" s="73">
        <v>45000</v>
      </c>
      <c r="G4" s="73">
        <v>137000</v>
      </c>
      <c r="I4" s="110" t="s">
        <v>379</v>
      </c>
      <c r="J4" s="157"/>
      <c r="K4" s="157"/>
      <c r="L4" s="158">
        <v>9000</v>
      </c>
      <c r="N4" s="43"/>
      <c r="O4" s="43"/>
      <c r="P4" s="73"/>
      <c r="R4" s="43"/>
      <c r="S4" s="73"/>
    </row>
    <row r="5" spans="1:19" x14ac:dyDescent="0.3">
      <c r="A5" s="43" t="s">
        <v>89</v>
      </c>
      <c r="B5" s="73">
        <v>32706</v>
      </c>
      <c r="C5" s="108">
        <v>32706</v>
      </c>
      <c r="D5" s="72"/>
      <c r="E5" s="43" t="s">
        <v>205</v>
      </c>
      <c r="F5" s="43">
        <v>18</v>
      </c>
      <c r="I5" s="110" t="s">
        <v>19</v>
      </c>
      <c r="J5" s="157">
        <v>22</v>
      </c>
      <c r="K5" s="157">
        <v>1321.63</v>
      </c>
      <c r="L5" s="158">
        <f t="shared" ref="L5:L12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</row>
    <row r="6" spans="1:19" x14ac:dyDescent="0.3">
      <c r="A6" s="43" t="s">
        <v>3</v>
      </c>
      <c r="B6" s="73">
        <v>1000</v>
      </c>
      <c r="C6" s="108">
        <v>1000</v>
      </c>
      <c r="D6" s="72"/>
      <c r="E6" s="43" t="s">
        <v>6</v>
      </c>
      <c r="F6" s="73">
        <f>SUM(F4:F5)</f>
        <v>45018</v>
      </c>
      <c r="I6" s="110" t="s">
        <v>362</v>
      </c>
      <c r="J6" s="157">
        <v>6</v>
      </c>
      <c r="K6" s="157">
        <v>1918.68</v>
      </c>
      <c r="L6" s="158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</row>
    <row r="7" spans="1:19" x14ac:dyDescent="0.3">
      <c r="A7" s="43" t="s">
        <v>9</v>
      </c>
      <c r="B7" s="73">
        <v>313</v>
      </c>
      <c r="C7" s="108">
        <v>313</v>
      </c>
      <c r="D7" s="72"/>
      <c r="E7" s="43" t="s">
        <v>429</v>
      </c>
      <c r="F7" s="44">
        <v>104000</v>
      </c>
      <c r="I7" s="110" t="s">
        <v>363</v>
      </c>
      <c r="J7" s="157">
        <v>5</v>
      </c>
      <c r="K7" s="157">
        <v>1049.19</v>
      </c>
      <c r="L7" s="158">
        <f t="shared" si="1"/>
        <v>5245.9500000000007</v>
      </c>
      <c r="N7" s="43"/>
      <c r="O7" s="43"/>
      <c r="P7" s="73"/>
      <c r="R7" s="43"/>
      <c r="S7" s="73"/>
    </row>
    <row r="8" spans="1:19" x14ac:dyDescent="0.3">
      <c r="A8" s="43" t="s">
        <v>151</v>
      </c>
      <c r="B8" s="73">
        <v>11419</v>
      </c>
      <c r="C8" s="108">
        <v>11419</v>
      </c>
      <c r="D8" s="72"/>
      <c r="I8" s="110" t="s">
        <v>364</v>
      </c>
      <c r="J8" s="157">
        <v>11</v>
      </c>
      <c r="K8" s="157">
        <v>470.99</v>
      </c>
      <c r="L8" s="158">
        <f t="shared" si="1"/>
        <v>5180.8900000000003</v>
      </c>
      <c r="N8" s="43"/>
      <c r="O8" s="43"/>
      <c r="P8" s="108">
        <f>SUM(P3:P6)</f>
        <v>2240000</v>
      </c>
      <c r="R8" s="43"/>
      <c r="S8" s="73">
        <f>SUM(S3:S6)</f>
        <v>1290975</v>
      </c>
    </row>
    <row r="9" spans="1:19" x14ac:dyDescent="0.3">
      <c r="A9" s="43" t="s">
        <v>107</v>
      </c>
      <c r="B9" s="73">
        <v>590</v>
      </c>
      <c r="C9" s="108">
        <v>590</v>
      </c>
      <c r="D9" s="72"/>
      <c r="E9" s="43" t="s">
        <v>423</v>
      </c>
      <c r="F9" s="73">
        <v>31500</v>
      </c>
      <c r="G9" t="s">
        <v>426</v>
      </c>
      <c r="I9" s="110" t="s">
        <v>377</v>
      </c>
      <c r="J9" s="157">
        <v>4</v>
      </c>
      <c r="K9" s="157">
        <v>1376.72</v>
      </c>
      <c r="L9" s="158">
        <f t="shared" si="1"/>
        <v>5506.88</v>
      </c>
      <c r="N9" s="43"/>
      <c r="O9" s="43"/>
      <c r="P9" s="73"/>
      <c r="R9" s="43"/>
      <c r="S9" s="73"/>
    </row>
    <row r="10" spans="1:19" x14ac:dyDescent="0.3">
      <c r="A10" s="43" t="s">
        <v>174</v>
      </c>
      <c r="B10" s="73">
        <v>5000</v>
      </c>
      <c r="C10" s="108">
        <v>3000</v>
      </c>
      <c r="D10" s="72"/>
      <c r="E10" s="116" t="s">
        <v>425</v>
      </c>
      <c r="F10" s="116">
        <v>5000</v>
      </c>
      <c r="I10" s="110" t="s">
        <v>387</v>
      </c>
      <c r="J10" s="157">
        <v>5</v>
      </c>
      <c r="K10" s="157">
        <v>936.51</v>
      </c>
      <c r="L10" s="158">
        <f t="shared" si="1"/>
        <v>4682.55</v>
      </c>
      <c r="N10" s="43"/>
      <c r="O10" s="43" t="s">
        <v>339</v>
      </c>
      <c r="P10" s="134">
        <v>500000</v>
      </c>
      <c r="S10" s="30"/>
    </row>
    <row r="11" spans="1:19" x14ac:dyDescent="0.3">
      <c r="A11" s="178" t="s">
        <v>414</v>
      </c>
      <c r="B11" s="179">
        <v>21452</v>
      </c>
      <c r="C11" s="108">
        <v>21452</v>
      </c>
      <c r="D11" s="72"/>
      <c r="E11" s="116" t="s">
        <v>422</v>
      </c>
      <c r="F11" s="116">
        <v>15000</v>
      </c>
      <c r="I11" s="110" t="s">
        <v>380</v>
      </c>
      <c r="J11" s="157">
        <v>5</v>
      </c>
      <c r="K11" s="157">
        <v>959.34</v>
      </c>
      <c r="L11" s="158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</row>
    <row r="12" spans="1:19" ht="15" thickBot="1" x14ac:dyDescent="0.35">
      <c r="A12" s="115" t="s">
        <v>249</v>
      </c>
      <c r="B12" s="134">
        <v>9000</v>
      </c>
      <c r="C12" s="134">
        <v>9000</v>
      </c>
      <c r="D12" s="72"/>
      <c r="E12" s="116" t="s">
        <v>381</v>
      </c>
      <c r="F12" s="116">
        <v>5000</v>
      </c>
      <c r="I12" s="110" t="s">
        <v>385</v>
      </c>
      <c r="J12" s="157">
        <v>50</v>
      </c>
      <c r="K12" s="157">
        <v>43.35</v>
      </c>
      <c r="L12" s="158">
        <f t="shared" si="1"/>
        <v>2167.5</v>
      </c>
      <c r="N12" s="43"/>
      <c r="O12" s="43" t="s">
        <v>6</v>
      </c>
      <c r="P12" s="134">
        <v>50000</v>
      </c>
    </row>
    <row r="13" spans="1:19" ht="15" thickBot="1" x14ac:dyDescent="0.35">
      <c r="A13" s="123" t="s">
        <v>308</v>
      </c>
      <c r="B13" s="123">
        <v>1100</v>
      </c>
      <c r="C13" s="108">
        <v>1100</v>
      </c>
      <c r="D13" s="72"/>
      <c r="L13" s="175">
        <f>SUM(L3:L12)</f>
        <v>87158.41</v>
      </c>
      <c r="N13" s="43"/>
      <c r="O13" s="43" t="s">
        <v>407</v>
      </c>
      <c r="P13" s="134">
        <v>5000</v>
      </c>
    </row>
    <row r="14" spans="1:19" x14ac:dyDescent="0.3">
      <c r="A14" s="73" t="s">
        <v>427</v>
      </c>
      <c r="B14" s="73">
        <v>2000</v>
      </c>
      <c r="C14" s="108">
        <v>2000</v>
      </c>
      <c r="D14" s="72"/>
      <c r="E14" s="43" t="s">
        <v>424</v>
      </c>
      <c r="F14" s="73">
        <v>20000</v>
      </c>
      <c r="N14" s="43"/>
      <c r="O14" s="43" t="s">
        <v>408</v>
      </c>
      <c r="P14" s="134">
        <v>10000</v>
      </c>
    </row>
    <row r="15" spans="1:19" x14ac:dyDescent="0.3">
      <c r="A15" s="43" t="s">
        <v>376</v>
      </c>
      <c r="B15" s="73">
        <v>7267</v>
      </c>
      <c r="C15" s="108">
        <v>7267</v>
      </c>
      <c r="D15" s="72"/>
      <c r="E15" s="43" t="s">
        <v>421</v>
      </c>
      <c r="F15" s="73">
        <v>25000</v>
      </c>
      <c r="G15" s="167" t="s">
        <v>273</v>
      </c>
      <c r="H15" s="116">
        <v>150000</v>
      </c>
      <c r="I15" s="180">
        <v>44986</v>
      </c>
      <c r="N15" s="43"/>
      <c r="O15" s="43"/>
      <c r="P15" s="134">
        <f>SUM(P10:P14)</f>
        <v>815000</v>
      </c>
    </row>
    <row r="16" spans="1:19" x14ac:dyDescent="0.3">
      <c r="A16" s="73" t="s">
        <v>432</v>
      </c>
      <c r="B16" s="73">
        <v>5000</v>
      </c>
      <c r="C16" s="108">
        <v>5000</v>
      </c>
      <c r="D16" s="73"/>
      <c r="E16" s="43" t="s">
        <v>381</v>
      </c>
      <c r="F16" s="73">
        <v>5000</v>
      </c>
      <c r="G16" s="167" t="s">
        <v>306</v>
      </c>
      <c r="H16" s="116">
        <v>150000</v>
      </c>
      <c r="I16" s="113">
        <v>44986</v>
      </c>
      <c r="N16" s="43"/>
      <c r="O16" s="43"/>
      <c r="P16" s="73">
        <f>(P8-P15)</f>
        <v>1425000</v>
      </c>
    </row>
    <row r="17" spans="1:19" x14ac:dyDescent="0.3">
      <c r="A17" s="43" t="s">
        <v>98</v>
      </c>
      <c r="B17" s="73">
        <v>4000</v>
      </c>
      <c r="C17" s="108">
        <v>4000</v>
      </c>
      <c r="D17" s="43"/>
      <c r="E17" s="43" t="s">
        <v>163</v>
      </c>
      <c r="F17" s="73">
        <v>1500</v>
      </c>
      <c r="G17" s="167" t="s">
        <v>109</v>
      </c>
      <c r="H17" s="116">
        <v>18195</v>
      </c>
      <c r="I17" s="113">
        <v>44958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19" ht="15" thickBot="1" x14ac:dyDescent="0.35">
      <c r="A18" t="s">
        <v>434</v>
      </c>
      <c r="B18" s="179">
        <v>900</v>
      </c>
      <c r="C18" s="182">
        <v>900</v>
      </c>
      <c r="E18" s="43" t="s">
        <v>425</v>
      </c>
      <c r="F18" s="73">
        <v>5000</v>
      </c>
      <c r="G18" s="181" t="s">
        <v>268</v>
      </c>
      <c r="H18" s="112">
        <v>11526</v>
      </c>
      <c r="I18" s="113">
        <v>44958</v>
      </c>
      <c r="N18" s="43"/>
      <c r="O18" s="43"/>
      <c r="R18" t="s">
        <v>412</v>
      </c>
      <c r="S18" s="73">
        <v>93000</v>
      </c>
    </row>
    <row r="19" spans="1:19" ht="15" thickBot="1" x14ac:dyDescent="0.35">
      <c r="A19" s="123" t="s">
        <v>433</v>
      </c>
      <c r="B19" s="123">
        <v>2100</v>
      </c>
      <c r="C19" s="123">
        <v>2100</v>
      </c>
      <c r="D19" s="43"/>
      <c r="G19" s="80" t="s">
        <v>298</v>
      </c>
      <c r="H19" s="80">
        <v>5000</v>
      </c>
      <c r="I19" s="113">
        <v>44896</v>
      </c>
      <c r="K19" t="s">
        <v>418</v>
      </c>
      <c r="L19">
        <v>1</v>
      </c>
      <c r="N19" s="43"/>
      <c r="O19" s="104" t="s">
        <v>410</v>
      </c>
      <c r="P19" s="177">
        <f>(P17-P16)</f>
        <v>-151000</v>
      </c>
      <c r="S19" s="73">
        <f>SUM(S17:S18)</f>
        <v>147000</v>
      </c>
    </row>
    <row r="20" spans="1:19" x14ac:dyDescent="0.3">
      <c r="A20" s="123" t="s">
        <v>81</v>
      </c>
      <c r="B20" s="123">
        <v>100000</v>
      </c>
      <c r="C20" s="73"/>
      <c r="D20" s="72"/>
      <c r="G20" s="80" t="s">
        <v>256</v>
      </c>
      <c r="H20" s="80">
        <v>15000</v>
      </c>
      <c r="I20" s="113">
        <v>44932</v>
      </c>
      <c r="N20" s="43"/>
      <c r="O20" s="43"/>
      <c r="P20" s="89"/>
      <c r="R20" t="s">
        <v>411</v>
      </c>
      <c r="S20" s="73">
        <v>90000</v>
      </c>
    </row>
    <row r="21" spans="1:19" x14ac:dyDescent="0.3">
      <c r="A21" s="123" t="s">
        <v>123</v>
      </c>
      <c r="B21" s="123">
        <v>100000</v>
      </c>
      <c r="C21" s="73"/>
      <c r="D21" s="72"/>
      <c r="G21" s="115" t="s">
        <v>431</v>
      </c>
      <c r="H21" s="116">
        <v>20481</v>
      </c>
      <c r="I21" s="113">
        <v>44905</v>
      </c>
      <c r="S21" s="73">
        <f>(S19-S20)</f>
        <v>57000</v>
      </c>
    </row>
    <row r="22" spans="1:19" x14ac:dyDescent="0.3">
      <c r="A22" s="116" t="s">
        <v>421</v>
      </c>
      <c r="B22" s="116">
        <v>15000</v>
      </c>
      <c r="C22" s="73"/>
      <c r="D22" s="72"/>
      <c r="G22" s="115"/>
      <c r="H22" s="116"/>
      <c r="I22" s="113"/>
      <c r="R22" s="65"/>
      <c r="S22" s="73"/>
    </row>
    <row r="23" spans="1:19" x14ac:dyDescent="0.3">
      <c r="A23" s="116" t="s">
        <v>203</v>
      </c>
      <c r="B23" s="116">
        <v>10000</v>
      </c>
      <c r="C23" s="73"/>
      <c r="D23" s="145"/>
      <c r="G23" s="124"/>
      <c r="H23" s="118"/>
      <c r="I23" s="113"/>
      <c r="R23" t="s">
        <v>142</v>
      </c>
      <c r="S23" s="73">
        <v>200000</v>
      </c>
    </row>
    <row r="24" spans="1:19" x14ac:dyDescent="0.3">
      <c r="A24" s="115" t="s">
        <v>381</v>
      </c>
      <c r="B24" s="116">
        <v>25000</v>
      </c>
      <c r="C24" s="73"/>
      <c r="D24" s="43"/>
      <c r="G24" s="43"/>
      <c r="H24" s="73"/>
      <c r="I24" s="113"/>
      <c r="R24" t="s">
        <v>206</v>
      </c>
      <c r="S24" s="73">
        <f>(S21+S23)</f>
        <v>257000</v>
      </c>
    </row>
    <row r="25" spans="1:19" x14ac:dyDescent="0.3">
      <c r="A25" s="64" t="s">
        <v>5</v>
      </c>
      <c r="B25" s="73">
        <f>SUM(B1:B15)</f>
        <v>124347</v>
      </c>
      <c r="C25" s="73">
        <f>SUM(C1:C19)</f>
        <v>134347</v>
      </c>
      <c r="D25" s="72"/>
      <c r="G25" s="43"/>
      <c r="H25" s="106"/>
      <c r="I25" s="114"/>
      <c r="S25" s="73"/>
    </row>
    <row r="26" spans="1:19" x14ac:dyDescent="0.3">
      <c r="A26" s="43"/>
      <c r="B26" s="43"/>
      <c r="C26" s="43"/>
      <c r="D26" s="72"/>
      <c r="K26" s="30"/>
      <c r="R26" t="s">
        <v>413</v>
      </c>
      <c r="S26" s="73">
        <v>260000</v>
      </c>
    </row>
    <row r="27" spans="1:19" x14ac:dyDescent="0.3">
      <c r="A27" s="64" t="s">
        <v>228</v>
      </c>
      <c r="B27" s="43"/>
      <c r="C27" s="62">
        <f>(C25-B25)</f>
        <v>10000</v>
      </c>
      <c r="D27" s="43" t="s">
        <v>227</v>
      </c>
      <c r="S27" s="30">
        <f>(S26-S24)</f>
        <v>3000</v>
      </c>
    </row>
    <row r="28" spans="1:19" x14ac:dyDescent="0.3">
      <c r="A28" s="64"/>
      <c r="B28" s="43"/>
      <c r="C28" s="43"/>
      <c r="D28" s="43"/>
    </row>
    <row r="29" spans="1:19" x14ac:dyDescent="0.3">
      <c r="A29" s="64" t="s">
        <v>225</v>
      </c>
      <c r="B29" s="43"/>
      <c r="C29" s="62">
        <f>(F6+C27)</f>
        <v>55018</v>
      </c>
      <c r="D29" s="43"/>
    </row>
  </sheetData>
  <mergeCells count="2">
    <mergeCell ref="E1:F1"/>
    <mergeCell ref="I1:L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F528-D480-41B2-B044-A6EFD792F94F}">
  <dimension ref="A1:S28"/>
  <sheetViews>
    <sheetView workbookViewId="0">
      <selection activeCell="G27" sqref="G27"/>
    </sheetView>
  </sheetViews>
  <sheetFormatPr defaultRowHeight="14.4" x14ac:dyDescent="0.3"/>
  <cols>
    <col min="1" max="1" width="15.6640625" bestFit="1" customWidth="1"/>
    <col min="2" max="2" width="7.88671875" bestFit="1" customWidth="1"/>
    <col min="3" max="3" width="11.109375" bestFit="1" customWidth="1"/>
    <col min="4" max="4" width="13.33203125" bestFit="1" customWidth="1"/>
    <col min="5" max="5" width="18.6640625" bestFit="1" customWidth="1"/>
    <col min="6" max="6" width="10.44140625" bestFit="1" customWidth="1"/>
    <col min="7" max="7" width="26" bestFit="1" customWidth="1"/>
    <col min="8" max="8" width="8.109375" bestFit="1" customWidth="1"/>
    <col min="9" max="9" width="14" bestFit="1" customWidth="1"/>
    <col min="10" max="10" width="6" bestFit="1" customWidth="1"/>
    <col min="12" max="12" width="9" bestFit="1" customWidth="1"/>
    <col min="13" max="13" width="17.88671875" bestFit="1" customWidth="1"/>
    <col min="14" max="14" width="9.6640625" bestFit="1" customWidth="1"/>
    <col min="15" max="15" width="12.5546875" bestFit="1" customWidth="1"/>
    <col min="17" max="17" width="14.5546875" bestFit="1" customWidth="1"/>
    <col min="18" max="18" width="10.44140625" bestFit="1" customWidth="1"/>
  </cols>
  <sheetData>
    <row r="1" spans="1:19" x14ac:dyDescent="0.3">
      <c r="A1" s="43" t="s">
        <v>6</v>
      </c>
      <c r="B1" s="73">
        <v>29000</v>
      </c>
      <c r="C1" s="108">
        <v>29000</v>
      </c>
      <c r="D1" s="72"/>
      <c r="E1" s="264" t="s">
        <v>277</v>
      </c>
      <c r="F1" s="265"/>
      <c r="I1" s="279" t="s">
        <v>361</v>
      </c>
      <c r="J1" s="280"/>
      <c r="K1" s="280"/>
      <c r="L1" s="281"/>
    </row>
    <row r="2" spans="1:19" x14ac:dyDescent="0.3">
      <c r="A2" s="43" t="s">
        <v>0</v>
      </c>
      <c r="B2" s="73">
        <v>622.98</v>
      </c>
      <c r="C2" s="108">
        <v>622.98</v>
      </c>
      <c r="D2" s="72"/>
      <c r="E2" s="43" t="s">
        <v>309</v>
      </c>
      <c r="F2" s="73">
        <v>86000</v>
      </c>
      <c r="G2" t="s">
        <v>310</v>
      </c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19" x14ac:dyDescent="0.3">
      <c r="A3" s="43" t="s">
        <v>1</v>
      </c>
      <c r="B3" s="73">
        <v>9000</v>
      </c>
      <c r="C3" s="108">
        <v>9000</v>
      </c>
      <c r="D3" s="72"/>
      <c r="E3" s="43" t="s">
        <v>265</v>
      </c>
      <c r="F3" s="73">
        <v>108</v>
      </c>
      <c r="G3" s="73" t="s">
        <v>419</v>
      </c>
      <c r="H3" s="30"/>
      <c r="I3" s="110" t="s">
        <v>382</v>
      </c>
      <c r="J3" s="157">
        <v>10</v>
      </c>
      <c r="K3" s="157">
        <v>999</v>
      </c>
      <c r="L3" s="158">
        <f t="shared" ref="L3" si="0">(J3*K3)</f>
        <v>9990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</row>
    <row r="4" spans="1:19" x14ac:dyDescent="0.3">
      <c r="A4" s="43" t="s">
        <v>2</v>
      </c>
      <c r="B4" s="73">
        <v>2000</v>
      </c>
      <c r="C4" s="108">
        <v>2000</v>
      </c>
      <c r="D4" s="72"/>
      <c r="E4" s="43" t="s">
        <v>204</v>
      </c>
      <c r="F4" s="73">
        <v>19000</v>
      </c>
      <c r="G4" s="73">
        <v>137000</v>
      </c>
      <c r="I4" s="110" t="s">
        <v>379</v>
      </c>
      <c r="J4" s="157"/>
      <c r="K4" s="157"/>
      <c r="L4" s="158">
        <v>9000</v>
      </c>
      <c r="N4" s="43"/>
      <c r="O4" s="43"/>
      <c r="P4" s="73"/>
      <c r="R4" s="43"/>
      <c r="S4" s="73"/>
    </row>
    <row r="5" spans="1:19" x14ac:dyDescent="0.3">
      <c r="A5" s="43" t="s">
        <v>89</v>
      </c>
      <c r="B5" s="73">
        <v>33000</v>
      </c>
      <c r="C5" s="108">
        <v>33000</v>
      </c>
      <c r="D5" s="72"/>
      <c r="E5" s="43" t="s">
        <v>205</v>
      </c>
      <c r="F5" s="43">
        <v>18</v>
      </c>
      <c r="I5" s="110" t="s">
        <v>19</v>
      </c>
      <c r="J5" s="157">
        <v>22</v>
      </c>
      <c r="K5" s="157">
        <v>1321.63</v>
      </c>
      <c r="L5" s="158">
        <f t="shared" ref="L5:L12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</row>
    <row r="6" spans="1:19" x14ac:dyDescent="0.3">
      <c r="A6" s="43" t="s">
        <v>3</v>
      </c>
      <c r="B6" s="73">
        <v>1500</v>
      </c>
      <c r="C6" s="108">
        <v>1500</v>
      </c>
      <c r="D6" s="72"/>
      <c r="E6" s="43" t="s">
        <v>6</v>
      </c>
      <c r="F6" s="73">
        <f>SUM(F3:F5)</f>
        <v>19126</v>
      </c>
      <c r="I6" s="110" t="s">
        <v>362</v>
      </c>
      <c r="J6" s="157">
        <v>6</v>
      </c>
      <c r="K6" s="157">
        <v>1918.68</v>
      </c>
      <c r="L6" s="158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</row>
    <row r="7" spans="1:19" x14ac:dyDescent="0.3">
      <c r="A7" s="43" t="s">
        <v>9</v>
      </c>
      <c r="B7" s="73">
        <v>347</v>
      </c>
      <c r="C7" s="108">
        <v>347</v>
      </c>
      <c r="D7" s="72"/>
      <c r="E7" s="43" t="s">
        <v>436</v>
      </c>
      <c r="F7" s="44">
        <v>153000</v>
      </c>
      <c r="I7" s="110" t="s">
        <v>363</v>
      </c>
      <c r="J7" s="157">
        <v>5</v>
      </c>
      <c r="K7" s="157">
        <v>1049.19</v>
      </c>
      <c r="L7" s="158">
        <f t="shared" si="1"/>
        <v>5245.9500000000007</v>
      </c>
      <c r="N7" s="43"/>
      <c r="O7" s="43"/>
      <c r="P7" s="73"/>
      <c r="R7" s="43"/>
      <c r="S7" s="73"/>
    </row>
    <row r="8" spans="1:19" x14ac:dyDescent="0.3">
      <c r="A8" s="43" t="s">
        <v>151</v>
      </c>
      <c r="B8" s="73">
        <v>11419</v>
      </c>
      <c r="C8" s="108">
        <v>11419</v>
      </c>
      <c r="D8" s="72"/>
      <c r="I8" s="110" t="s">
        <v>364</v>
      </c>
      <c r="J8" s="157">
        <v>11</v>
      </c>
      <c r="K8" s="157">
        <v>470.99</v>
      </c>
      <c r="L8" s="158">
        <f t="shared" si="1"/>
        <v>5180.8900000000003</v>
      </c>
      <c r="N8" s="43"/>
      <c r="O8" s="43"/>
      <c r="P8" s="108">
        <f>SUM(P3:P6)</f>
        <v>2240000</v>
      </c>
      <c r="R8" s="43"/>
      <c r="S8" s="73">
        <f>SUM(S3:S6)</f>
        <v>1290975</v>
      </c>
    </row>
    <row r="9" spans="1:19" x14ac:dyDescent="0.3">
      <c r="A9" s="43" t="s">
        <v>107</v>
      </c>
      <c r="B9" s="73">
        <v>590</v>
      </c>
      <c r="C9" s="108">
        <v>590</v>
      </c>
      <c r="D9" s="72"/>
      <c r="E9" s="43" t="s">
        <v>423</v>
      </c>
      <c r="F9" s="73">
        <v>31500</v>
      </c>
      <c r="G9" t="s">
        <v>426</v>
      </c>
      <c r="I9" s="110" t="s">
        <v>377</v>
      </c>
      <c r="J9" s="157">
        <v>4</v>
      </c>
      <c r="K9" s="157">
        <v>1376.72</v>
      </c>
      <c r="L9" s="158">
        <f t="shared" si="1"/>
        <v>5506.88</v>
      </c>
      <c r="N9" s="43"/>
      <c r="O9" s="43"/>
      <c r="P9" s="73"/>
      <c r="R9" s="43"/>
      <c r="S9" s="73"/>
    </row>
    <row r="10" spans="1:19" x14ac:dyDescent="0.3">
      <c r="A10" s="43" t="s">
        <v>437</v>
      </c>
      <c r="B10" s="73">
        <v>15000</v>
      </c>
      <c r="C10" s="108">
        <v>15000</v>
      </c>
      <c r="D10" s="72"/>
      <c r="E10" s="116" t="s">
        <v>425</v>
      </c>
      <c r="F10" s="116">
        <v>5000</v>
      </c>
      <c r="I10" s="110" t="s">
        <v>387</v>
      </c>
      <c r="J10" s="157">
        <v>5</v>
      </c>
      <c r="K10" s="157">
        <v>936.51</v>
      </c>
      <c r="L10" s="158">
        <f t="shared" si="1"/>
        <v>4682.55</v>
      </c>
      <c r="N10" s="43"/>
      <c r="O10" s="43" t="s">
        <v>339</v>
      </c>
      <c r="P10" s="134">
        <v>500000</v>
      </c>
      <c r="S10" s="30"/>
    </row>
    <row r="11" spans="1:19" x14ac:dyDescent="0.3">
      <c r="A11" s="178" t="s">
        <v>414</v>
      </c>
      <c r="B11" s="179">
        <v>21452</v>
      </c>
      <c r="C11" s="108">
        <v>21452</v>
      </c>
      <c r="D11" s="72"/>
      <c r="E11" s="116" t="s">
        <v>422</v>
      </c>
      <c r="F11" s="116">
        <v>15000</v>
      </c>
      <c r="I11" s="110" t="s">
        <v>380</v>
      </c>
      <c r="J11" s="157">
        <v>5</v>
      </c>
      <c r="K11" s="157">
        <v>959.34</v>
      </c>
      <c r="L11" s="158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</row>
    <row r="12" spans="1:19" x14ac:dyDescent="0.3">
      <c r="A12" s="115" t="s">
        <v>249</v>
      </c>
      <c r="B12" s="134">
        <v>9000</v>
      </c>
      <c r="C12" s="73"/>
      <c r="D12" s="72"/>
      <c r="I12" s="110" t="s">
        <v>385</v>
      </c>
      <c r="J12" s="157">
        <v>50</v>
      </c>
      <c r="K12" s="157">
        <v>43.35</v>
      </c>
      <c r="L12" s="158">
        <f t="shared" si="1"/>
        <v>2167.5</v>
      </c>
      <c r="N12" s="43"/>
      <c r="O12" s="43" t="s">
        <v>6</v>
      </c>
      <c r="P12" s="134">
        <v>50000</v>
      </c>
    </row>
    <row r="13" spans="1:19" ht="15" thickBot="1" x14ac:dyDescent="0.35">
      <c r="A13" s="123" t="s">
        <v>308</v>
      </c>
      <c r="B13" s="123">
        <v>4500</v>
      </c>
      <c r="C13" s="123">
        <v>4500</v>
      </c>
      <c r="D13" s="72"/>
      <c r="I13" s="169" t="s">
        <v>438</v>
      </c>
      <c r="J13" s="173">
        <v>102</v>
      </c>
      <c r="K13" s="173">
        <v>19.75</v>
      </c>
      <c r="L13" s="171">
        <f t="shared" ref="L13" si="2">(J13*K13)</f>
        <v>2014.5</v>
      </c>
      <c r="N13" s="43"/>
      <c r="O13" s="43" t="s">
        <v>407</v>
      </c>
      <c r="P13" s="134">
        <v>5000</v>
      </c>
    </row>
    <row r="14" spans="1:19" ht="15" thickBot="1" x14ac:dyDescent="0.35">
      <c r="A14" s="115" t="s">
        <v>435</v>
      </c>
      <c r="B14" s="134">
        <v>20481</v>
      </c>
      <c r="C14" s="134">
        <v>20481</v>
      </c>
      <c r="D14" s="72"/>
      <c r="E14" s="43" t="s">
        <v>424</v>
      </c>
      <c r="F14" s="73">
        <v>20000</v>
      </c>
      <c r="L14" s="184">
        <f>SUM(L4:L13)</f>
        <v>79182.909999999989</v>
      </c>
      <c r="N14" s="43"/>
      <c r="O14" s="43" t="s">
        <v>408</v>
      </c>
      <c r="P14" s="134">
        <v>10000</v>
      </c>
    </row>
    <row r="15" spans="1:19" x14ac:dyDescent="0.3">
      <c r="A15" s="43" t="s">
        <v>256</v>
      </c>
      <c r="B15" s="73">
        <v>7305</v>
      </c>
      <c r="C15" s="108">
        <v>7305</v>
      </c>
      <c r="D15" s="72"/>
      <c r="E15" s="43" t="s">
        <v>421</v>
      </c>
      <c r="F15" s="73">
        <v>25000</v>
      </c>
      <c r="G15" s="167" t="s">
        <v>273</v>
      </c>
      <c r="H15" s="116">
        <v>150000</v>
      </c>
      <c r="I15" s="180">
        <v>44986</v>
      </c>
      <c r="N15" s="43"/>
      <c r="O15" s="43"/>
      <c r="P15" s="134">
        <f>SUM(P10:P14)</f>
        <v>815000</v>
      </c>
    </row>
    <row r="16" spans="1:19" x14ac:dyDescent="0.3">
      <c r="A16" s="43" t="s">
        <v>439</v>
      </c>
      <c r="B16" s="73">
        <v>1906</v>
      </c>
      <c r="C16" s="108">
        <v>1906</v>
      </c>
      <c r="D16" s="43"/>
      <c r="E16" s="43" t="s">
        <v>381</v>
      </c>
      <c r="F16" s="73">
        <v>5000</v>
      </c>
      <c r="G16" s="167" t="s">
        <v>306</v>
      </c>
      <c r="H16" s="116">
        <v>150000</v>
      </c>
      <c r="I16" s="113">
        <v>44986</v>
      </c>
      <c r="N16" s="43"/>
      <c r="O16" s="43"/>
      <c r="P16" s="73">
        <f>(P8-P15)</f>
        <v>1425000</v>
      </c>
    </row>
    <row r="17" spans="1:19" x14ac:dyDescent="0.3">
      <c r="A17" s="115" t="s">
        <v>440</v>
      </c>
      <c r="B17" s="134">
        <f>F24</f>
        <v>4653.8599999999997</v>
      </c>
      <c r="C17" s="134">
        <f>F21+F22</f>
        <v>1653.86</v>
      </c>
      <c r="E17" s="43" t="s">
        <v>163</v>
      </c>
      <c r="F17" s="73">
        <v>1500</v>
      </c>
      <c r="G17" s="167" t="s">
        <v>109</v>
      </c>
      <c r="H17" s="116">
        <v>18195</v>
      </c>
      <c r="I17" s="113">
        <v>44958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19" ht="15" thickBot="1" x14ac:dyDescent="0.35">
      <c r="A18" s="73" t="s">
        <v>109</v>
      </c>
      <c r="B18" s="73">
        <v>18874</v>
      </c>
      <c r="C18" s="108">
        <v>18874</v>
      </c>
      <c r="D18" s="73" t="s">
        <v>164</v>
      </c>
      <c r="E18" s="43" t="s">
        <v>425</v>
      </c>
      <c r="F18" s="73">
        <v>5000</v>
      </c>
      <c r="G18" s="181" t="s">
        <v>268</v>
      </c>
      <c r="H18" s="112">
        <v>11526</v>
      </c>
      <c r="I18" s="113">
        <v>44958</v>
      </c>
      <c r="N18" s="43"/>
      <c r="O18" s="43"/>
      <c r="R18" t="s">
        <v>412</v>
      </c>
      <c r="S18" s="73">
        <v>93000</v>
      </c>
    </row>
    <row r="19" spans="1:19" ht="15" thickBot="1" x14ac:dyDescent="0.35">
      <c r="A19" s="123" t="s">
        <v>81</v>
      </c>
      <c r="B19" s="123">
        <v>100000</v>
      </c>
      <c r="C19" s="123">
        <v>50000</v>
      </c>
      <c r="D19" s="73"/>
      <c r="G19" s="80" t="s">
        <v>298</v>
      </c>
      <c r="H19" s="80">
        <v>5000</v>
      </c>
      <c r="I19" s="113">
        <v>44896</v>
      </c>
      <c r="N19" s="43"/>
      <c r="O19" s="104" t="s">
        <v>410</v>
      </c>
      <c r="P19" s="177">
        <f>(P17-P16)</f>
        <v>-151000</v>
      </c>
      <c r="S19" s="73">
        <f>SUM(S17:S18)</f>
        <v>147000</v>
      </c>
    </row>
    <row r="20" spans="1:19" x14ac:dyDescent="0.3">
      <c r="A20" s="123" t="s">
        <v>123</v>
      </c>
      <c r="B20" s="123">
        <v>100000</v>
      </c>
      <c r="C20" s="123">
        <v>30000</v>
      </c>
      <c r="D20" s="185">
        <v>21000</v>
      </c>
      <c r="G20" s="80" t="s">
        <v>256</v>
      </c>
      <c r="H20" s="80">
        <v>15000</v>
      </c>
      <c r="I20" s="113">
        <v>44932</v>
      </c>
      <c r="N20" s="43"/>
      <c r="O20" s="43"/>
      <c r="P20" s="89"/>
      <c r="R20" t="s">
        <v>411</v>
      </c>
      <c r="S20" s="73">
        <v>90000</v>
      </c>
    </row>
    <row r="21" spans="1:19" x14ac:dyDescent="0.3">
      <c r="A21" s="116" t="s">
        <v>421</v>
      </c>
      <c r="B21" s="116">
        <v>15000</v>
      </c>
      <c r="C21" s="73"/>
      <c r="D21" s="72"/>
      <c r="E21" s="43" t="s">
        <v>442</v>
      </c>
      <c r="F21" s="73">
        <v>234.82</v>
      </c>
      <c r="G21" s="115" t="s">
        <v>431</v>
      </c>
      <c r="H21" s="116">
        <v>20481</v>
      </c>
      <c r="I21" s="113">
        <v>44905</v>
      </c>
      <c r="S21" s="73">
        <f>(S19-S20)</f>
        <v>57000</v>
      </c>
    </row>
    <row r="22" spans="1:19" x14ac:dyDescent="0.3">
      <c r="A22" s="116" t="s">
        <v>203</v>
      </c>
      <c r="B22" s="116">
        <v>10000</v>
      </c>
      <c r="C22" s="73"/>
      <c r="D22" s="145"/>
      <c r="E22" s="43" t="s">
        <v>441</v>
      </c>
      <c r="F22" s="73">
        <v>1419.04</v>
      </c>
      <c r="G22" s="115"/>
      <c r="H22" s="116"/>
      <c r="I22" s="113"/>
      <c r="R22" s="65"/>
      <c r="S22" s="73"/>
    </row>
    <row r="23" spans="1:19" x14ac:dyDescent="0.3">
      <c r="A23" s="115" t="s">
        <v>381</v>
      </c>
      <c r="B23" s="116">
        <v>20000</v>
      </c>
      <c r="C23" s="73"/>
      <c r="D23" s="43"/>
      <c r="E23" s="43" t="s">
        <v>443</v>
      </c>
      <c r="F23" s="73">
        <v>3000</v>
      </c>
      <c r="G23" s="124"/>
      <c r="H23" s="118"/>
      <c r="I23" s="113"/>
      <c r="R23" t="s">
        <v>142</v>
      </c>
      <c r="S23" s="73">
        <v>200000</v>
      </c>
    </row>
    <row r="24" spans="1:19" x14ac:dyDescent="0.3">
      <c r="A24" s="64" t="s">
        <v>5</v>
      </c>
      <c r="B24" s="73">
        <f>SUM(B1:B17)</f>
        <v>171776.83999999997</v>
      </c>
      <c r="C24" s="73">
        <f>SUM(C1:C17)</f>
        <v>159776.83999999997</v>
      </c>
      <c r="D24" s="72"/>
      <c r="E24" s="43"/>
      <c r="F24" s="73">
        <f>SUM(F21:F23)</f>
        <v>4653.8599999999997</v>
      </c>
      <c r="G24" s="43"/>
      <c r="H24" s="73"/>
      <c r="I24" s="113"/>
      <c r="R24" t="s">
        <v>206</v>
      </c>
      <c r="S24" s="73">
        <f>(S21+S23)</f>
        <v>257000</v>
      </c>
    </row>
    <row r="25" spans="1:19" x14ac:dyDescent="0.3">
      <c r="A25" s="43"/>
      <c r="B25" s="43"/>
      <c r="C25" s="43"/>
      <c r="D25" s="72"/>
      <c r="G25" s="43"/>
      <c r="H25" s="106"/>
      <c r="I25" s="114"/>
      <c r="K25" s="183"/>
      <c r="S25" s="73"/>
    </row>
    <row r="26" spans="1:19" x14ac:dyDescent="0.3">
      <c r="A26" s="64" t="s">
        <v>228</v>
      </c>
      <c r="B26" s="43"/>
      <c r="C26" s="62">
        <f>(C24-B24)</f>
        <v>-12000</v>
      </c>
      <c r="D26" s="43" t="s">
        <v>227</v>
      </c>
      <c r="K26" s="30"/>
      <c r="R26" t="s">
        <v>413</v>
      </c>
      <c r="S26" s="73">
        <v>260000</v>
      </c>
    </row>
    <row r="27" spans="1:19" x14ac:dyDescent="0.3">
      <c r="A27" s="64"/>
      <c r="B27" s="43"/>
      <c r="C27" s="43"/>
      <c r="D27" s="43"/>
      <c r="S27" s="30">
        <f>(S26-S24)</f>
        <v>3000</v>
      </c>
    </row>
    <row r="28" spans="1:19" x14ac:dyDescent="0.3">
      <c r="A28" s="64" t="s">
        <v>225</v>
      </c>
      <c r="B28" s="43"/>
      <c r="C28" s="62">
        <f>(F6+C26)</f>
        <v>7126</v>
      </c>
      <c r="D28" s="43"/>
    </row>
  </sheetData>
  <mergeCells count="2">
    <mergeCell ref="E1:F1"/>
    <mergeCell ref="I1:L1"/>
  </mergeCells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E4DB-3AD5-40FB-B3D0-F43AB26401DF}">
  <dimension ref="A1:S28"/>
  <sheetViews>
    <sheetView workbookViewId="0">
      <selection activeCell="G27" sqref="G27"/>
    </sheetView>
  </sheetViews>
  <sheetFormatPr defaultRowHeight="14.4" x14ac:dyDescent="0.3"/>
  <cols>
    <col min="1" max="1" width="17.5546875" bestFit="1" customWidth="1"/>
    <col min="2" max="2" width="9.44140625" bestFit="1" customWidth="1"/>
    <col min="3" max="3" width="11.109375" bestFit="1" customWidth="1"/>
    <col min="4" max="4" width="13.6640625" bestFit="1" customWidth="1"/>
    <col min="5" max="5" width="18.6640625" bestFit="1" customWidth="1"/>
    <col min="6" max="6" width="10.44140625" bestFit="1" customWidth="1"/>
    <col min="7" max="7" width="17.33203125" bestFit="1" customWidth="1"/>
    <col min="8" max="8" width="8.109375" bestFit="1" customWidth="1"/>
    <col min="9" max="9" width="14" bestFit="1" customWidth="1"/>
    <col min="10" max="10" width="4" bestFit="1" customWidth="1"/>
    <col min="11" max="11" width="8" bestFit="1" customWidth="1"/>
    <col min="12" max="12" width="9" bestFit="1" customWidth="1"/>
    <col min="14" max="14" width="7" bestFit="1" customWidth="1"/>
    <col min="15" max="15" width="12.5546875" bestFit="1" customWidth="1"/>
    <col min="17" max="17" width="7.88671875" bestFit="1" customWidth="1"/>
    <col min="18" max="18" width="11.33203125" bestFit="1" customWidth="1"/>
  </cols>
  <sheetData>
    <row r="1" spans="1:19" x14ac:dyDescent="0.3">
      <c r="A1" s="43" t="s">
        <v>6</v>
      </c>
      <c r="B1" s="186">
        <v>34000</v>
      </c>
      <c r="C1" s="191">
        <v>34000</v>
      </c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</row>
    <row r="2" spans="1:19" x14ac:dyDescent="0.3">
      <c r="A2" s="43" t="s">
        <v>0</v>
      </c>
      <c r="B2" s="186">
        <v>2000</v>
      </c>
      <c r="C2" s="191">
        <v>2000</v>
      </c>
      <c r="D2" s="186">
        <v>7371.9</v>
      </c>
      <c r="E2" s="43" t="s">
        <v>309</v>
      </c>
      <c r="F2" s="73">
        <v>86000</v>
      </c>
      <c r="G2" t="s">
        <v>310</v>
      </c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19" x14ac:dyDescent="0.3">
      <c r="A3" s="43" t="s">
        <v>1</v>
      </c>
      <c r="B3" s="186">
        <v>5000</v>
      </c>
      <c r="C3" s="191">
        <v>5000</v>
      </c>
      <c r="D3" s="43"/>
      <c r="E3" s="43" t="s">
        <v>265</v>
      </c>
      <c r="F3" s="73">
        <v>108</v>
      </c>
      <c r="G3" s="73" t="s">
        <v>419</v>
      </c>
      <c r="H3" s="30"/>
      <c r="I3" s="110" t="s">
        <v>382</v>
      </c>
      <c r="J3" s="157">
        <v>10</v>
      </c>
      <c r="K3" s="157">
        <v>999</v>
      </c>
      <c r="L3" s="194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</row>
    <row r="4" spans="1:19" x14ac:dyDescent="0.3">
      <c r="A4" s="43" t="s">
        <v>2</v>
      </c>
      <c r="B4" s="186">
        <v>2000</v>
      </c>
      <c r="C4" s="191">
        <v>2000</v>
      </c>
      <c r="D4" s="43"/>
      <c r="E4" s="43" t="s">
        <v>204</v>
      </c>
      <c r="F4" s="73">
        <v>11500</v>
      </c>
      <c r="G4" s="73">
        <v>137000</v>
      </c>
      <c r="I4" s="110" t="s">
        <v>379</v>
      </c>
      <c r="J4" s="157"/>
      <c r="K4" s="157"/>
      <c r="L4" s="194">
        <v>9000</v>
      </c>
      <c r="M4" s="192">
        <v>44682</v>
      </c>
      <c r="N4" s="43"/>
      <c r="O4" s="43"/>
      <c r="P4" s="73"/>
      <c r="R4" s="43"/>
      <c r="S4" s="73"/>
    </row>
    <row r="5" spans="1:19" x14ac:dyDescent="0.3">
      <c r="A5" s="43" t="s">
        <v>89</v>
      </c>
      <c r="B5" s="186">
        <v>33000</v>
      </c>
      <c r="C5" s="191">
        <v>33000</v>
      </c>
      <c r="D5" s="43" t="s">
        <v>450</v>
      </c>
      <c r="E5" s="43" t="s">
        <v>205</v>
      </c>
      <c r="F5" s="43">
        <v>18</v>
      </c>
      <c r="I5" s="110" t="s">
        <v>19</v>
      </c>
      <c r="J5" s="157">
        <v>22</v>
      </c>
      <c r="K5" s="157">
        <v>1321.63</v>
      </c>
      <c r="L5" s="194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</row>
    <row r="6" spans="1:19" x14ac:dyDescent="0.3">
      <c r="A6" s="43" t="s">
        <v>3</v>
      </c>
      <c r="B6" s="186">
        <v>1500</v>
      </c>
      <c r="C6" s="191">
        <v>1500</v>
      </c>
      <c r="D6" s="43"/>
      <c r="E6" s="43" t="s">
        <v>6</v>
      </c>
      <c r="F6" s="73">
        <f>SUM(F3:F5)</f>
        <v>11626</v>
      </c>
      <c r="I6" s="110" t="s">
        <v>362</v>
      </c>
      <c r="J6" s="157">
        <v>6</v>
      </c>
      <c r="K6" s="157">
        <v>1918.68</v>
      </c>
      <c r="L6" s="194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</row>
    <row r="7" spans="1:19" x14ac:dyDescent="0.3">
      <c r="A7" s="43" t="s">
        <v>9</v>
      </c>
      <c r="B7" s="186">
        <v>512</v>
      </c>
      <c r="C7" s="191">
        <v>512</v>
      </c>
      <c r="D7" s="43"/>
      <c r="E7" s="43" t="s">
        <v>445</v>
      </c>
      <c r="F7" s="44">
        <v>145000</v>
      </c>
      <c r="I7" s="110" t="s">
        <v>363</v>
      </c>
      <c r="J7" s="157">
        <v>5</v>
      </c>
      <c r="K7" s="157">
        <v>1049.19</v>
      </c>
      <c r="L7" s="194">
        <f t="shared" si="1"/>
        <v>5245.9500000000007</v>
      </c>
      <c r="N7" s="43"/>
      <c r="O7" s="43"/>
      <c r="P7" s="73"/>
      <c r="R7" s="43"/>
      <c r="S7" s="73"/>
    </row>
    <row r="8" spans="1:19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7">
        <v>11</v>
      </c>
      <c r="K8" s="157">
        <v>470.99</v>
      </c>
      <c r="L8" s="194">
        <f t="shared" si="1"/>
        <v>5180.8900000000003</v>
      </c>
      <c r="N8" s="43"/>
      <c r="O8" s="43"/>
      <c r="P8" s="108">
        <f>SUM(P3:P6)</f>
        <v>2240000</v>
      </c>
      <c r="R8" s="43"/>
      <c r="S8" s="73">
        <f>SUM(S3:S6)</f>
        <v>1290975</v>
      </c>
    </row>
    <row r="9" spans="1:19" x14ac:dyDescent="0.3">
      <c r="A9" s="43" t="s">
        <v>107</v>
      </c>
      <c r="B9" s="186">
        <v>590</v>
      </c>
      <c r="C9" s="191">
        <v>590</v>
      </c>
      <c r="D9" s="43"/>
      <c r="E9" s="43" t="s">
        <v>423</v>
      </c>
      <c r="F9" s="73">
        <v>31500</v>
      </c>
      <c r="G9" t="s">
        <v>426</v>
      </c>
      <c r="I9" s="110" t="s">
        <v>377</v>
      </c>
      <c r="J9" s="157">
        <v>4</v>
      </c>
      <c r="K9" s="157">
        <v>1376.72</v>
      </c>
      <c r="L9" s="194">
        <f t="shared" si="1"/>
        <v>5506.88</v>
      </c>
      <c r="N9" s="43"/>
      <c r="O9" s="43"/>
      <c r="P9" s="73"/>
      <c r="R9" s="43"/>
      <c r="S9" s="73"/>
    </row>
    <row r="10" spans="1:19" x14ac:dyDescent="0.3">
      <c r="A10" s="43" t="s">
        <v>446</v>
      </c>
      <c r="B10" s="186">
        <v>5000</v>
      </c>
      <c r="C10" s="191">
        <v>4300</v>
      </c>
      <c r="D10" s="43"/>
      <c r="E10" s="116" t="s">
        <v>425</v>
      </c>
      <c r="F10" s="116">
        <v>5000</v>
      </c>
      <c r="I10" s="110" t="s">
        <v>387</v>
      </c>
      <c r="J10" s="157">
        <v>5</v>
      </c>
      <c r="K10" s="157">
        <v>936.51</v>
      </c>
      <c r="L10" s="194">
        <f t="shared" si="1"/>
        <v>4682.55</v>
      </c>
      <c r="N10" s="43"/>
      <c r="O10" s="43" t="s">
        <v>339</v>
      </c>
      <c r="P10" s="134">
        <v>500000</v>
      </c>
      <c r="S10" s="30"/>
    </row>
    <row r="11" spans="1:19" x14ac:dyDescent="0.3">
      <c r="A11" s="178" t="s">
        <v>414</v>
      </c>
      <c r="B11" s="187">
        <v>21452</v>
      </c>
      <c r="C11" s="191">
        <v>21452</v>
      </c>
      <c r="D11" s="43" t="s">
        <v>451</v>
      </c>
      <c r="E11" s="116" t="s">
        <v>422</v>
      </c>
      <c r="F11" s="116">
        <v>15000</v>
      </c>
      <c r="I11" s="110" t="s">
        <v>380</v>
      </c>
      <c r="J11" s="157">
        <v>5</v>
      </c>
      <c r="K11" s="157">
        <v>959.34</v>
      </c>
      <c r="L11" s="194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</row>
    <row r="12" spans="1:19" x14ac:dyDescent="0.3">
      <c r="A12" s="115" t="s">
        <v>249</v>
      </c>
      <c r="B12" s="188">
        <v>9000</v>
      </c>
      <c r="C12" s="186"/>
      <c r="D12" s="43" t="s">
        <v>452</v>
      </c>
      <c r="I12" s="110" t="s">
        <v>385</v>
      </c>
      <c r="J12" s="157">
        <v>50</v>
      </c>
      <c r="K12" s="157">
        <v>43.35</v>
      </c>
      <c r="L12" s="194">
        <f t="shared" si="1"/>
        <v>2167.5</v>
      </c>
      <c r="N12" s="43"/>
      <c r="O12" s="43" t="s">
        <v>6</v>
      </c>
      <c r="P12" s="134">
        <v>50000</v>
      </c>
    </row>
    <row r="13" spans="1:19" x14ac:dyDescent="0.3">
      <c r="A13" s="123" t="s">
        <v>308</v>
      </c>
      <c r="B13" s="189">
        <v>4500</v>
      </c>
      <c r="C13" s="191">
        <v>4500</v>
      </c>
      <c r="D13" s="43" t="s">
        <v>448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</row>
    <row r="14" spans="1:19" ht="15" thickBot="1" x14ac:dyDescent="0.35">
      <c r="A14" s="43" t="s">
        <v>268</v>
      </c>
      <c r="B14" s="186"/>
      <c r="C14" s="186"/>
      <c r="D14" s="186">
        <v>10526</v>
      </c>
      <c r="E14" s="43" t="s">
        <v>424</v>
      </c>
      <c r="F14" s="73">
        <v>20000</v>
      </c>
      <c r="I14" s="169" t="s">
        <v>447</v>
      </c>
      <c r="J14" s="173">
        <v>4</v>
      </c>
      <c r="K14" s="173">
        <v>507.02</v>
      </c>
      <c r="L14" s="195">
        <f t="shared" si="1"/>
        <v>2028.08</v>
      </c>
      <c r="N14" s="43"/>
      <c r="O14" s="43" t="s">
        <v>408</v>
      </c>
      <c r="P14" s="134">
        <v>10000</v>
      </c>
    </row>
    <row r="15" spans="1:19" x14ac:dyDescent="0.3">
      <c r="A15" s="43"/>
      <c r="B15" s="43"/>
      <c r="C15" s="43"/>
      <c r="D15" s="43"/>
      <c r="E15" s="43" t="s">
        <v>421</v>
      </c>
      <c r="F15" s="73">
        <v>25000</v>
      </c>
      <c r="L15" s="193">
        <f>SUM(L4:L14)</f>
        <v>81210.989999999991</v>
      </c>
      <c r="N15" s="43"/>
      <c r="O15" s="43"/>
      <c r="P15" s="134">
        <f>SUM(P10:P14)</f>
        <v>815000</v>
      </c>
    </row>
    <row r="16" spans="1:19" x14ac:dyDescent="0.3">
      <c r="A16" s="115" t="s">
        <v>297</v>
      </c>
      <c r="B16" s="188">
        <v>2100</v>
      </c>
      <c r="C16" s="188">
        <v>2100</v>
      </c>
      <c r="D16" s="43" t="s">
        <v>447</v>
      </c>
      <c r="E16" s="43" t="s">
        <v>381</v>
      </c>
      <c r="F16" s="73">
        <v>5000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</row>
    <row r="17" spans="1:19" x14ac:dyDescent="0.3">
      <c r="A17" s="115" t="s">
        <v>444</v>
      </c>
      <c r="B17" s="188">
        <v>3500</v>
      </c>
      <c r="C17" s="186"/>
      <c r="D17" s="72"/>
      <c r="E17" s="43" t="s">
        <v>163</v>
      </c>
      <c r="F17" s="73">
        <v>1500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19" ht="15" thickBot="1" x14ac:dyDescent="0.35">
      <c r="A18" s="115" t="s">
        <v>11</v>
      </c>
      <c r="B18" s="188">
        <v>4000</v>
      </c>
      <c r="C18" s="188">
        <v>2000</v>
      </c>
      <c r="D18" s="72"/>
      <c r="E18" s="43" t="s">
        <v>425</v>
      </c>
      <c r="F18" s="73">
        <v>5000</v>
      </c>
      <c r="G18" s="167" t="s">
        <v>109</v>
      </c>
      <c r="H18" s="116">
        <v>18195</v>
      </c>
      <c r="I18" s="113">
        <v>44958</v>
      </c>
      <c r="N18" s="43"/>
      <c r="O18" s="43"/>
      <c r="R18" t="s">
        <v>412</v>
      </c>
      <c r="S18" s="73">
        <v>93000</v>
      </c>
    </row>
    <row r="19" spans="1:19" ht="15" thickBot="1" x14ac:dyDescent="0.35">
      <c r="A19" s="123" t="s">
        <v>81</v>
      </c>
      <c r="B19" s="189">
        <v>50000</v>
      </c>
      <c r="C19" s="186"/>
      <c r="D19" s="72"/>
      <c r="G19" s="181" t="s">
        <v>268</v>
      </c>
      <c r="H19" s="112">
        <v>10526</v>
      </c>
      <c r="I19" s="113">
        <v>44958</v>
      </c>
      <c r="N19" s="43"/>
      <c r="O19" s="104" t="s">
        <v>410</v>
      </c>
      <c r="P19" s="177">
        <f>(P17-P16)</f>
        <v>-151000</v>
      </c>
      <c r="S19" s="73">
        <f>SUM(S17:S18)</f>
        <v>147000</v>
      </c>
    </row>
    <row r="20" spans="1:19" x14ac:dyDescent="0.3">
      <c r="A20" s="123" t="s">
        <v>123</v>
      </c>
      <c r="B20" s="189">
        <v>70000</v>
      </c>
      <c r="C20" s="186"/>
      <c r="D20" s="72"/>
      <c r="G20" s="80" t="s">
        <v>298</v>
      </c>
      <c r="H20" s="80">
        <v>5000</v>
      </c>
      <c r="I20" s="113">
        <v>44896</v>
      </c>
      <c r="N20" s="43"/>
      <c r="O20" s="43"/>
      <c r="P20" s="89"/>
      <c r="R20" t="s">
        <v>411</v>
      </c>
      <c r="S20" s="73">
        <v>90000</v>
      </c>
    </row>
    <row r="21" spans="1:19" x14ac:dyDescent="0.3">
      <c r="A21" s="116" t="s">
        <v>421</v>
      </c>
      <c r="B21" s="190">
        <v>15000</v>
      </c>
      <c r="C21" s="186"/>
      <c r="D21" s="72"/>
      <c r="E21" s="43" t="s">
        <v>442</v>
      </c>
      <c r="F21" s="73">
        <v>234.82</v>
      </c>
      <c r="G21" s="80" t="s">
        <v>256</v>
      </c>
      <c r="H21" s="80">
        <v>15000</v>
      </c>
      <c r="I21" s="113">
        <v>44932</v>
      </c>
      <c r="S21" s="73">
        <f>(S19-S20)</f>
        <v>57000</v>
      </c>
    </row>
    <row r="22" spans="1:19" x14ac:dyDescent="0.3">
      <c r="A22" s="116" t="s">
        <v>203</v>
      </c>
      <c r="B22" s="190">
        <v>10000</v>
      </c>
      <c r="C22" s="188">
        <v>5000</v>
      </c>
      <c r="D22" s="145"/>
      <c r="E22" s="43" t="s">
        <v>441</v>
      </c>
      <c r="F22" s="73">
        <v>1419.04</v>
      </c>
      <c r="G22" s="115" t="s">
        <v>431</v>
      </c>
      <c r="H22" s="116">
        <v>20481</v>
      </c>
      <c r="I22" s="113">
        <v>44905</v>
      </c>
      <c r="R22" s="65"/>
      <c r="S22" s="73"/>
    </row>
    <row r="23" spans="1:19" x14ac:dyDescent="0.3">
      <c r="A23" s="115" t="s">
        <v>381</v>
      </c>
      <c r="B23" s="190">
        <v>20000</v>
      </c>
      <c r="C23" s="186"/>
      <c r="D23" s="43"/>
      <c r="E23" s="43" t="s">
        <v>443</v>
      </c>
      <c r="F23" s="73">
        <v>3000</v>
      </c>
      <c r="G23" s="115"/>
      <c r="H23" s="116"/>
      <c r="I23" s="113"/>
      <c r="R23" t="s">
        <v>142</v>
      </c>
      <c r="S23" s="73">
        <v>200000</v>
      </c>
    </row>
    <row r="24" spans="1:19" x14ac:dyDescent="0.3">
      <c r="A24" s="64" t="s">
        <v>5</v>
      </c>
      <c r="B24" s="186">
        <f>SUM(B1:B17)</f>
        <v>135573</v>
      </c>
      <c r="C24" s="186">
        <f>SUM(C1:C17)</f>
        <v>122373</v>
      </c>
      <c r="D24" s="72"/>
      <c r="E24" s="43"/>
      <c r="F24" s="73">
        <f>SUM(F21:F23)</f>
        <v>4653.8599999999997</v>
      </c>
      <c r="G24" s="124"/>
      <c r="H24" s="118"/>
      <c r="I24" s="113"/>
      <c r="R24" t="s">
        <v>206</v>
      </c>
      <c r="S24" s="73">
        <f>(S21+S23)</f>
        <v>257000</v>
      </c>
    </row>
    <row r="25" spans="1:19" x14ac:dyDescent="0.3">
      <c r="A25" s="43"/>
      <c r="B25" s="43"/>
      <c r="C25" s="43"/>
      <c r="D25" s="72"/>
      <c r="G25" s="43"/>
      <c r="H25" s="106"/>
      <c r="I25" s="114"/>
      <c r="K25" s="183"/>
      <c r="S25" s="73"/>
    </row>
    <row r="26" spans="1:19" x14ac:dyDescent="0.3">
      <c r="A26" s="64" t="s">
        <v>228</v>
      </c>
      <c r="B26" s="43"/>
      <c r="C26" s="62">
        <f>(C24-B24)</f>
        <v>-13200</v>
      </c>
      <c r="D26" s="43" t="s">
        <v>227</v>
      </c>
      <c r="K26" s="30"/>
      <c r="R26" t="s">
        <v>413</v>
      </c>
      <c r="S26" s="73">
        <v>260000</v>
      </c>
    </row>
    <row r="27" spans="1:19" x14ac:dyDescent="0.3">
      <c r="A27" s="64"/>
      <c r="B27" s="43"/>
      <c r="C27" s="43"/>
      <c r="D27" s="43"/>
      <c r="S27" s="30">
        <f>(S26-S24)</f>
        <v>3000</v>
      </c>
    </row>
    <row r="28" spans="1:19" x14ac:dyDescent="0.3">
      <c r="A28" s="64" t="s">
        <v>225</v>
      </c>
      <c r="B28" s="43"/>
      <c r="C28" s="62">
        <f>(F6+C26)</f>
        <v>-1574</v>
      </c>
      <c r="D28" s="43"/>
    </row>
  </sheetData>
  <mergeCells count="2">
    <mergeCell ref="E1:F1"/>
    <mergeCell ref="I1:L1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1C1A-7256-47A6-ADB4-52585887C7CD}">
  <dimension ref="A1:S28"/>
  <sheetViews>
    <sheetView workbookViewId="0">
      <selection activeCell="G27" sqref="G27"/>
    </sheetView>
  </sheetViews>
  <sheetFormatPr defaultRowHeight="14.4" x14ac:dyDescent="0.3"/>
  <cols>
    <col min="1" max="1" width="17.5546875" bestFit="1" customWidth="1"/>
    <col min="2" max="2" width="9.44140625" bestFit="1" customWidth="1"/>
    <col min="3" max="3" width="11.109375" bestFit="1" customWidth="1"/>
    <col min="4" max="4" width="13.44140625" bestFit="1" customWidth="1"/>
    <col min="5" max="5" width="18.6640625" bestFit="1" customWidth="1"/>
    <col min="6" max="6" width="10.44140625" bestFit="1" customWidth="1"/>
    <col min="7" max="7" width="17.33203125" bestFit="1" customWidth="1"/>
    <col min="8" max="8" width="8.109375" bestFit="1" customWidth="1"/>
    <col min="9" max="9" width="14" bestFit="1" customWidth="1"/>
    <col min="10" max="10" width="4" bestFit="1" customWidth="1"/>
    <col min="11" max="12" width="8" bestFit="1" customWidth="1"/>
    <col min="13" max="13" width="7.33203125" bestFit="1" customWidth="1"/>
    <col min="14" max="14" width="7" bestFit="1" customWidth="1"/>
    <col min="15" max="15" width="12.5546875" bestFit="1" customWidth="1"/>
    <col min="17" max="17" width="7.88671875" bestFit="1" customWidth="1"/>
    <col min="18" max="18" width="11.33203125" bestFit="1" customWidth="1"/>
  </cols>
  <sheetData>
    <row r="1" spans="1:19" x14ac:dyDescent="0.3">
      <c r="A1" s="43" t="s">
        <v>6</v>
      </c>
      <c r="B1" s="186">
        <v>39000</v>
      </c>
      <c r="C1" s="191">
        <v>39000</v>
      </c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</row>
    <row r="2" spans="1:19" x14ac:dyDescent="0.3">
      <c r="A2" s="43" t="s">
        <v>0</v>
      </c>
      <c r="B2" s="186">
        <f>D2-B18</f>
        <v>17239.54</v>
      </c>
      <c r="C2" s="191">
        <v>15000</v>
      </c>
      <c r="D2" s="186">
        <v>22839.54</v>
      </c>
      <c r="E2" s="43" t="s">
        <v>309</v>
      </c>
      <c r="F2" s="73">
        <v>86000</v>
      </c>
      <c r="G2" t="s">
        <v>310</v>
      </c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19" x14ac:dyDescent="0.3">
      <c r="A3" s="43" t="s">
        <v>1</v>
      </c>
      <c r="B3" s="186">
        <v>5000</v>
      </c>
      <c r="C3" s="191">
        <v>5000</v>
      </c>
      <c r="D3" s="43"/>
      <c r="E3" s="43" t="s">
        <v>265</v>
      </c>
      <c r="F3" s="73">
        <v>10000</v>
      </c>
      <c r="G3" s="73" t="s">
        <v>419</v>
      </c>
      <c r="H3" s="30"/>
      <c r="I3" s="110" t="s">
        <v>382</v>
      </c>
      <c r="J3" s="157">
        <v>10</v>
      </c>
      <c r="K3" s="157">
        <v>999</v>
      </c>
      <c r="L3" s="194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</row>
    <row r="4" spans="1:19" x14ac:dyDescent="0.3">
      <c r="A4" s="43" t="s">
        <v>2</v>
      </c>
      <c r="B4" s="186">
        <v>2000</v>
      </c>
      <c r="C4" s="191">
        <v>2000</v>
      </c>
      <c r="D4" s="43"/>
      <c r="E4" s="43" t="s">
        <v>204</v>
      </c>
      <c r="F4" s="73">
        <v>30000</v>
      </c>
      <c r="G4" s="73">
        <v>137000</v>
      </c>
      <c r="I4" s="110" t="s">
        <v>379</v>
      </c>
      <c r="J4" s="157"/>
      <c r="K4" s="157"/>
      <c r="L4" s="194">
        <v>9000</v>
      </c>
      <c r="M4" s="192">
        <v>44682</v>
      </c>
      <c r="N4" s="43"/>
      <c r="O4" s="43"/>
      <c r="P4" s="73"/>
      <c r="R4" s="43"/>
      <c r="S4" s="73"/>
    </row>
    <row r="5" spans="1:19" x14ac:dyDescent="0.3">
      <c r="A5" s="43" t="s">
        <v>89</v>
      </c>
      <c r="B5" s="186">
        <v>33000</v>
      </c>
      <c r="C5" s="191">
        <v>33000</v>
      </c>
      <c r="D5" s="43" t="s">
        <v>450</v>
      </c>
      <c r="E5" s="43" t="s">
        <v>205</v>
      </c>
      <c r="F5" s="43">
        <v>9900</v>
      </c>
      <c r="I5" s="110" t="s">
        <v>19</v>
      </c>
      <c r="J5" s="157">
        <v>22</v>
      </c>
      <c r="K5" s="157">
        <v>1321.63</v>
      </c>
      <c r="L5" s="194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</row>
    <row r="6" spans="1:19" x14ac:dyDescent="0.3">
      <c r="A6" s="43" t="s">
        <v>3</v>
      </c>
      <c r="B6" s="186">
        <v>1710</v>
      </c>
      <c r="C6" s="191">
        <v>1710</v>
      </c>
      <c r="D6" s="43"/>
      <c r="E6" s="43" t="s">
        <v>6</v>
      </c>
      <c r="F6" s="73">
        <f>SUM(F3:F5)</f>
        <v>49900</v>
      </c>
      <c r="I6" s="110" t="s">
        <v>362</v>
      </c>
      <c r="J6" s="157">
        <v>6</v>
      </c>
      <c r="K6" s="157">
        <v>1918.68</v>
      </c>
      <c r="L6" s="194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</row>
    <row r="7" spans="1:19" x14ac:dyDescent="0.3">
      <c r="A7" s="43" t="s">
        <v>9</v>
      </c>
      <c r="B7" s="186">
        <v>368</v>
      </c>
      <c r="C7" s="191">
        <v>368</v>
      </c>
      <c r="D7" s="43"/>
      <c r="E7" s="43" t="s">
        <v>445</v>
      </c>
      <c r="F7" s="44">
        <v>145000</v>
      </c>
      <c r="I7" s="110" t="s">
        <v>363</v>
      </c>
      <c r="J7" s="157">
        <v>5</v>
      </c>
      <c r="K7" s="157">
        <v>1049.19</v>
      </c>
      <c r="L7" s="194">
        <f t="shared" si="1"/>
        <v>5245.9500000000007</v>
      </c>
      <c r="N7" s="43"/>
      <c r="O7" s="43"/>
      <c r="P7" s="73"/>
      <c r="R7" s="43"/>
      <c r="S7" s="73"/>
    </row>
    <row r="8" spans="1:19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7">
        <v>11</v>
      </c>
      <c r="K8" s="157">
        <v>470.99</v>
      </c>
      <c r="L8" s="194">
        <f t="shared" si="1"/>
        <v>5180.8900000000003</v>
      </c>
      <c r="N8" s="43"/>
      <c r="O8" s="43"/>
      <c r="P8" s="108">
        <f>SUM(P3:P6)</f>
        <v>2240000</v>
      </c>
      <c r="R8" s="43"/>
      <c r="S8" s="73">
        <f>SUM(S3:S6)</f>
        <v>1290975</v>
      </c>
    </row>
    <row r="9" spans="1:19" x14ac:dyDescent="0.3">
      <c r="A9" s="43" t="s">
        <v>107</v>
      </c>
      <c r="B9" s="186">
        <v>590</v>
      </c>
      <c r="C9" s="191">
        <v>590</v>
      </c>
      <c r="D9" s="43"/>
      <c r="E9" s="43" t="s">
        <v>423</v>
      </c>
      <c r="F9" s="73">
        <v>31500</v>
      </c>
      <c r="G9" t="s">
        <v>426</v>
      </c>
      <c r="I9" s="110" t="s">
        <v>377</v>
      </c>
      <c r="J9" s="157">
        <v>4</v>
      </c>
      <c r="K9" s="157">
        <v>1376.72</v>
      </c>
      <c r="L9" s="194">
        <f t="shared" si="1"/>
        <v>5506.88</v>
      </c>
      <c r="N9" s="43"/>
      <c r="O9" s="43"/>
      <c r="P9" s="73"/>
      <c r="R9" s="43"/>
      <c r="S9" s="73"/>
    </row>
    <row r="10" spans="1:19" x14ac:dyDescent="0.3">
      <c r="A10" s="43" t="s">
        <v>446</v>
      </c>
      <c r="B10" s="186">
        <v>5000</v>
      </c>
      <c r="C10" s="191">
        <v>1000</v>
      </c>
      <c r="D10" s="43"/>
      <c r="E10" s="116" t="s">
        <v>425</v>
      </c>
      <c r="F10" s="116">
        <v>5000</v>
      </c>
      <c r="I10" s="110" t="s">
        <v>387</v>
      </c>
      <c r="J10" s="157">
        <v>5</v>
      </c>
      <c r="K10" s="157">
        <v>936.51</v>
      </c>
      <c r="L10" s="194">
        <f t="shared" si="1"/>
        <v>4682.55</v>
      </c>
      <c r="N10" s="43"/>
      <c r="O10" s="43" t="s">
        <v>339</v>
      </c>
      <c r="P10" s="134">
        <v>500000</v>
      </c>
      <c r="S10" s="30"/>
    </row>
    <row r="11" spans="1:19" x14ac:dyDescent="0.3">
      <c r="A11" s="178" t="s">
        <v>414</v>
      </c>
      <c r="B11" s="187">
        <v>21452</v>
      </c>
      <c r="C11" s="191">
        <v>21452</v>
      </c>
      <c r="D11" s="43" t="s">
        <v>451</v>
      </c>
      <c r="E11" s="116" t="s">
        <v>422</v>
      </c>
      <c r="F11" s="116">
        <v>15000</v>
      </c>
      <c r="I11" s="110" t="s">
        <v>380</v>
      </c>
      <c r="J11" s="157">
        <v>5</v>
      </c>
      <c r="K11" s="157">
        <v>959.34</v>
      </c>
      <c r="L11" s="194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</row>
    <row r="12" spans="1:19" x14ac:dyDescent="0.3">
      <c r="A12" s="115" t="s">
        <v>249</v>
      </c>
      <c r="B12" s="188">
        <v>9000</v>
      </c>
      <c r="C12" s="188">
        <v>9000</v>
      </c>
      <c r="D12" s="43" t="s">
        <v>452</v>
      </c>
      <c r="I12" s="110" t="s">
        <v>385</v>
      </c>
      <c r="J12" s="157">
        <v>50</v>
      </c>
      <c r="K12" s="157">
        <v>43.35</v>
      </c>
      <c r="L12" s="194">
        <f t="shared" si="1"/>
        <v>2167.5</v>
      </c>
      <c r="N12" s="43"/>
      <c r="O12" s="43" t="s">
        <v>6</v>
      </c>
      <c r="P12" s="134">
        <v>50000</v>
      </c>
    </row>
    <row r="13" spans="1:19" x14ac:dyDescent="0.3">
      <c r="A13" s="123" t="s">
        <v>308</v>
      </c>
      <c r="B13" s="189">
        <v>5000</v>
      </c>
      <c r="C13" s="191">
        <v>5000</v>
      </c>
      <c r="D13" s="43"/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</row>
    <row r="14" spans="1:19" ht="15" thickBot="1" x14ac:dyDescent="0.35">
      <c r="A14" s="43" t="s">
        <v>268</v>
      </c>
      <c r="B14" s="186">
        <v>10526</v>
      </c>
      <c r="C14" s="191">
        <v>10526</v>
      </c>
      <c r="D14" s="186"/>
      <c r="E14" s="43" t="s">
        <v>424</v>
      </c>
      <c r="F14" s="73">
        <v>20000</v>
      </c>
      <c r="I14" s="169" t="s">
        <v>447</v>
      </c>
      <c r="J14" s="173">
        <v>4</v>
      </c>
      <c r="K14" s="173">
        <v>507.02</v>
      </c>
      <c r="L14" s="195">
        <f t="shared" si="1"/>
        <v>2028.08</v>
      </c>
      <c r="N14" s="43"/>
      <c r="O14" s="43" t="s">
        <v>408</v>
      </c>
      <c r="P14" s="134">
        <v>10000</v>
      </c>
    </row>
    <row r="15" spans="1:19" x14ac:dyDescent="0.3">
      <c r="A15" s="43"/>
      <c r="B15" s="186"/>
      <c r="C15" s="186"/>
      <c r="D15" s="43"/>
      <c r="E15" s="43" t="s">
        <v>421</v>
      </c>
      <c r="F15" s="73">
        <v>25000</v>
      </c>
      <c r="L15" s="193">
        <f>SUM(L4:L14)</f>
        <v>81210.989999999991</v>
      </c>
      <c r="N15" s="43"/>
      <c r="O15" s="43"/>
      <c r="P15" s="134">
        <f>SUM(P10:P14)</f>
        <v>815000</v>
      </c>
    </row>
    <row r="16" spans="1:19" x14ac:dyDescent="0.3">
      <c r="A16" s="115" t="s">
        <v>273</v>
      </c>
      <c r="B16" s="188">
        <v>130000</v>
      </c>
      <c r="C16" s="188">
        <v>100000</v>
      </c>
      <c r="D16" s="43"/>
      <c r="E16" s="43" t="s">
        <v>381</v>
      </c>
      <c r="F16" s="73">
        <v>5000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</row>
    <row r="17" spans="1:19" x14ac:dyDescent="0.3">
      <c r="A17" s="115" t="s">
        <v>444</v>
      </c>
      <c r="B17" s="188">
        <v>8700</v>
      </c>
      <c r="C17" s="188">
        <v>8700</v>
      </c>
      <c r="D17" s="72"/>
      <c r="E17" s="43" t="s">
        <v>163</v>
      </c>
      <c r="F17" s="73">
        <v>1500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19" ht="15" thickBot="1" x14ac:dyDescent="0.35">
      <c r="A18" s="115" t="s">
        <v>11</v>
      </c>
      <c r="B18" s="188">
        <v>5600</v>
      </c>
      <c r="C18" s="186"/>
      <c r="D18" s="72"/>
      <c r="E18" s="43" t="s">
        <v>425</v>
      </c>
      <c r="F18" s="73">
        <v>5000</v>
      </c>
      <c r="G18" s="167" t="s">
        <v>109</v>
      </c>
      <c r="H18" s="116">
        <v>18195</v>
      </c>
      <c r="I18" s="113">
        <v>44958</v>
      </c>
      <c r="N18" s="43"/>
      <c r="O18" s="43"/>
      <c r="R18" t="s">
        <v>412</v>
      </c>
      <c r="S18" s="73">
        <v>93000</v>
      </c>
    </row>
    <row r="19" spans="1:19" ht="15" thickBot="1" x14ac:dyDescent="0.35">
      <c r="A19" s="123" t="s">
        <v>81</v>
      </c>
      <c r="B19" s="189">
        <v>50000</v>
      </c>
      <c r="C19" s="186"/>
      <c r="D19" s="72"/>
      <c r="G19" s="181" t="s">
        <v>268</v>
      </c>
      <c r="H19" s="112">
        <v>10526</v>
      </c>
      <c r="I19" s="113">
        <v>44958</v>
      </c>
      <c r="N19" s="43"/>
      <c r="O19" s="104" t="s">
        <v>410</v>
      </c>
      <c r="P19" s="177">
        <f>(P17-P16)</f>
        <v>-151000</v>
      </c>
      <c r="S19" s="73">
        <f>SUM(S17:S18)</f>
        <v>147000</v>
      </c>
    </row>
    <row r="20" spans="1:19" x14ac:dyDescent="0.3">
      <c r="A20" s="123" t="s">
        <v>123</v>
      </c>
      <c r="B20" s="189">
        <v>70000</v>
      </c>
      <c r="C20" s="186"/>
      <c r="D20" s="72"/>
      <c r="G20" s="80" t="s">
        <v>298</v>
      </c>
      <c r="H20" s="80">
        <v>5000</v>
      </c>
      <c r="I20" s="113">
        <v>44896</v>
      </c>
      <c r="N20" s="43"/>
      <c r="O20" s="43"/>
      <c r="P20" s="89"/>
      <c r="R20" t="s">
        <v>411</v>
      </c>
      <c r="S20" s="73">
        <v>90000</v>
      </c>
    </row>
    <row r="21" spans="1:19" x14ac:dyDescent="0.3">
      <c r="A21" s="116" t="s">
        <v>421</v>
      </c>
      <c r="B21" s="190">
        <v>15000</v>
      </c>
      <c r="C21" s="190">
        <v>15000</v>
      </c>
      <c r="D21" s="72"/>
      <c r="E21" s="43" t="s">
        <v>442</v>
      </c>
      <c r="F21" s="73">
        <v>234.82</v>
      </c>
      <c r="G21" s="80" t="s">
        <v>256</v>
      </c>
      <c r="H21" s="80">
        <v>7600</v>
      </c>
      <c r="I21" s="113">
        <v>44932</v>
      </c>
      <c r="S21" s="73">
        <f>(S19-S20)</f>
        <v>57000</v>
      </c>
    </row>
    <row r="22" spans="1:19" x14ac:dyDescent="0.3">
      <c r="A22" s="116" t="s">
        <v>203</v>
      </c>
      <c r="B22" s="190">
        <v>5000</v>
      </c>
      <c r="C22" s="186"/>
      <c r="D22" s="145"/>
      <c r="E22" s="43" t="s">
        <v>441</v>
      </c>
      <c r="F22" s="73">
        <v>1419.04</v>
      </c>
      <c r="G22" s="115" t="s">
        <v>431</v>
      </c>
      <c r="H22" s="116">
        <v>20481</v>
      </c>
      <c r="I22" s="113">
        <v>44905</v>
      </c>
      <c r="R22" s="65"/>
      <c r="S22" s="73"/>
    </row>
    <row r="23" spans="1:19" x14ac:dyDescent="0.3">
      <c r="A23" s="115" t="s">
        <v>381</v>
      </c>
      <c r="B23" s="190">
        <v>20000</v>
      </c>
      <c r="C23" s="186"/>
      <c r="D23" s="43"/>
      <c r="E23" s="43" t="s">
        <v>443</v>
      </c>
      <c r="F23" s="73">
        <v>3000</v>
      </c>
      <c r="G23" s="115"/>
      <c r="H23" s="116"/>
      <c r="I23" s="113"/>
      <c r="R23" t="s">
        <v>142</v>
      </c>
      <c r="S23" s="73">
        <v>200000</v>
      </c>
    </row>
    <row r="24" spans="1:19" x14ac:dyDescent="0.3">
      <c r="A24" s="64" t="s">
        <v>5</v>
      </c>
      <c r="B24" s="186">
        <f>SUM(B1:B17)</f>
        <v>300004.54000000004</v>
      </c>
      <c r="C24" s="186">
        <f>SUM(C1:C17)</f>
        <v>263765</v>
      </c>
      <c r="D24" s="72"/>
      <c r="E24" s="43"/>
      <c r="F24" s="73">
        <f>SUM(F21:F23)</f>
        <v>4653.8599999999997</v>
      </c>
      <c r="G24" s="124"/>
      <c r="H24" s="118"/>
      <c r="I24" s="113"/>
      <c r="R24" t="s">
        <v>206</v>
      </c>
      <c r="S24" s="73">
        <f>(S21+S23)</f>
        <v>257000</v>
      </c>
    </row>
    <row r="25" spans="1:19" x14ac:dyDescent="0.3">
      <c r="A25" s="43"/>
      <c r="B25" s="43"/>
      <c r="C25" s="43"/>
      <c r="D25" s="72"/>
      <c r="G25" s="43"/>
      <c r="H25" s="106"/>
      <c r="I25" s="114"/>
      <c r="K25" s="183"/>
      <c r="S25" s="73"/>
    </row>
    <row r="26" spans="1:19" x14ac:dyDescent="0.3">
      <c r="A26" s="64" t="s">
        <v>228</v>
      </c>
      <c r="B26" s="43"/>
      <c r="C26" s="62">
        <f>(C24-B24)</f>
        <v>-36239.540000000037</v>
      </c>
      <c r="D26" s="43" t="s">
        <v>227</v>
      </c>
      <c r="K26" s="30"/>
      <c r="R26" t="s">
        <v>413</v>
      </c>
      <c r="S26" s="73">
        <v>260000</v>
      </c>
    </row>
    <row r="27" spans="1:19" x14ac:dyDescent="0.3">
      <c r="A27" s="64"/>
      <c r="B27" s="43"/>
      <c r="C27" s="43"/>
      <c r="D27" s="43"/>
      <c r="S27" s="30">
        <f>(S26-S24)</f>
        <v>3000</v>
      </c>
    </row>
    <row r="28" spans="1:19" x14ac:dyDescent="0.3">
      <c r="A28" s="64" t="s">
        <v>225</v>
      </c>
      <c r="B28" s="43"/>
      <c r="C28" s="62">
        <f>(F6+C26)</f>
        <v>13660.459999999963</v>
      </c>
      <c r="D28" s="43"/>
    </row>
  </sheetData>
  <mergeCells count="2">
    <mergeCell ref="E1:F1"/>
    <mergeCell ref="I1:L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6F57-82D7-48C1-9628-142278A417D5}">
  <dimension ref="A1:S29"/>
  <sheetViews>
    <sheetView workbookViewId="0">
      <selection activeCell="G27" sqref="G27"/>
    </sheetView>
  </sheetViews>
  <sheetFormatPr defaultRowHeight="14.4" x14ac:dyDescent="0.3"/>
  <cols>
    <col min="1" max="1" width="17.5546875" bestFit="1" customWidth="1"/>
    <col min="2" max="2" width="9.44140625" bestFit="1" customWidth="1"/>
    <col min="3" max="3" width="11.109375" bestFit="1" customWidth="1"/>
    <col min="4" max="4" width="13.44140625" bestFit="1" customWidth="1"/>
    <col min="5" max="5" width="18.6640625" bestFit="1" customWidth="1"/>
    <col min="6" max="6" width="10.44140625" bestFit="1" customWidth="1"/>
    <col min="7" max="7" width="17.33203125" bestFit="1" customWidth="1"/>
    <col min="8" max="8" width="8.109375" bestFit="1" customWidth="1"/>
    <col min="9" max="9" width="14" bestFit="1" customWidth="1"/>
    <col min="10" max="10" width="4" bestFit="1" customWidth="1"/>
    <col min="11" max="12" width="8" bestFit="1" customWidth="1"/>
    <col min="13" max="13" width="7.33203125" bestFit="1" customWidth="1"/>
    <col min="14" max="14" width="7" bestFit="1" customWidth="1"/>
    <col min="15" max="15" width="12.5546875" bestFit="1" customWidth="1"/>
    <col min="17" max="17" width="7.88671875" bestFit="1" customWidth="1"/>
    <col min="18" max="18" width="11.33203125" bestFit="1" customWidth="1"/>
  </cols>
  <sheetData>
    <row r="1" spans="1:19" x14ac:dyDescent="0.3">
      <c r="A1" s="43" t="s">
        <v>6</v>
      </c>
      <c r="B1" s="186">
        <v>30000</v>
      </c>
      <c r="C1" s="191">
        <v>30000</v>
      </c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</row>
    <row r="2" spans="1:19" x14ac:dyDescent="0.3">
      <c r="A2" s="43" t="s">
        <v>0</v>
      </c>
      <c r="B2" s="186">
        <v>10000</v>
      </c>
      <c r="C2" s="191">
        <v>10000</v>
      </c>
      <c r="D2" s="186"/>
      <c r="E2" s="43"/>
      <c r="F2" s="73"/>
      <c r="G2" t="s">
        <v>310</v>
      </c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19" x14ac:dyDescent="0.3">
      <c r="A3" s="43" t="s">
        <v>1</v>
      </c>
      <c r="B3" s="186">
        <v>5000</v>
      </c>
      <c r="C3" s="191">
        <v>5000</v>
      </c>
      <c r="D3" s="43"/>
      <c r="E3" s="43" t="s">
        <v>265</v>
      </c>
      <c r="F3" s="73">
        <v>36</v>
      </c>
      <c r="G3" s="73" t="s">
        <v>419</v>
      </c>
      <c r="H3" s="30"/>
      <c r="I3" s="110" t="s">
        <v>382</v>
      </c>
      <c r="J3" s="157">
        <v>10</v>
      </c>
      <c r="K3" s="157">
        <v>999</v>
      </c>
      <c r="L3" s="194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</row>
    <row r="4" spans="1:19" x14ac:dyDescent="0.3">
      <c r="A4" s="43" t="s">
        <v>2</v>
      </c>
      <c r="B4" s="186">
        <v>2000</v>
      </c>
      <c r="C4" s="191">
        <v>2000</v>
      </c>
      <c r="D4" s="43"/>
      <c r="E4" s="43" t="s">
        <v>204</v>
      </c>
      <c r="F4" s="73">
        <v>6900</v>
      </c>
      <c r="G4" s="73">
        <v>137000</v>
      </c>
      <c r="I4" s="110" t="s">
        <v>379</v>
      </c>
      <c r="J4" s="157"/>
      <c r="K4" s="157"/>
      <c r="L4" s="194">
        <v>9000</v>
      </c>
      <c r="M4" s="192">
        <v>44682</v>
      </c>
      <c r="N4" s="43"/>
      <c r="O4" s="43"/>
      <c r="P4" s="73"/>
      <c r="R4" s="43"/>
      <c r="S4" s="73"/>
    </row>
    <row r="5" spans="1:19" x14ac:dyDescent="0.3">
      <c r="A5" s="43" t="s">
        <v>89</v>
      </c>
      <c r="B5" s="186">
        <v>32953</v>
      </c>
      <c r="C5" s="191">
        <v>32953</v>
      </c>
      <c r="D5" s="43" t="s">
        <v>450</v>
      </c>
      <c r="E5" s="43" t="s">
        <v>205</v>
      </c>
      <c r="F5" s="43">
        <v>216</v>
      </c>
      <c r="I5" s="110" t="s">
        <v>19</v>
      </c>
      <c r="J5" s="157">
        <v>22</v>
      </c>
      <c r="K5" s="157">
        <v>1321.63</v>
      </c>
      <c r="L5" s="194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</row>
    <row r="6" spans="1:19" x14ac:dyDescent="0.3">
      <c r="A6" s="43" t="s">
        <v>3</v>
      </c>
      <c r="B6" s="186">
        <v>1860</v>
      </c>
      <c r="C6" s="191">
        <v>1860</v>
      </c>
      <c r="D6" s="43"/>
      <c r="E6" s="43" t="s">
        <v>6</v>
      </c>
      <c r="F6" s="73">
        <f>SUM(F4:F5)</f>
        <v>7116</v>
      </c>
      <c r="I6" s="110" t="s">
        <v>362</v>
      </c>
      <c r="J6" s="157">
        <v>6</v>
      </c>
      <c r="K6" s="157">
        <v>1918.68</v>
      </c>
      <c r="L6" s="194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</row>
    <row r="7" spans="1:19" x14ac:dyDescent="0.3">
      <c r="A7" s="43" t="s">
        <v>9</v>
      </c>
      <c r="B7" s="186">
        <v>769</v>
      </c>
      <c r="C7" s="191">
        <v>769</v>
      </c>
      <c r="D7" s="43"/>
      <c r="E7" s="43" t="s">
        <v>312</v>
      </c>
      <c r="F7" s="44">
        <v>147000</v>
      </c>
      <c r="I7" s="110" t="s">
        <v>363</v>
      </c>
      <c r="J7" s="157">
        <v>5</v>
      </c>
      <c r="K7" s="157">
        <v>1049.19</v>
      </c>
      <c r="L7" s="194">
        <f t="shared" si="1"/>
        <v>5245.9500000000007</v>
      </c>
      <c r="N7" s="43"/>
      <c r="O7" s="43"/>
      <c r="P7" s="73"/>
      <c r="R7" s="43"/>
      <c r="S7" s="73"/>
    </row>
    <row r="8" spans="1:19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7">
        <v>11</v>
      </c>
      <c r="K8" s="157">
        <v>470.99</v>
      </c>
      <c r="L8" s="194">
        <f t="shared" si="1"/>
        <v>5180.8900000000003</v>
      </c>
      <c r="N8" s="43"/>
      <c r="O8" s="43"/>
      <c r="P8" s="108">
        <f>SUM(P3:P6)</f>
        <v>2240000</v>
      </c>
      <c r="R8" s="43"/>
      <c r="S8" s="73">
        <f>SUM(S3:S6)</f>
        <v>1290975</v>
      </c>
    </row>
    <row r="9" spans="1:19" x14ac:dyDescent="0.3">
      <c r="A9" s="43" t="s">
        <v>107</v>
      </c>
      <c r="B9" s="186">
        <v>590</v>
      </c>
      <c r="C9" s="191">
        <v>590</v>
      </c>
      <c r="D9" s="43"/>
      <c r="E9" s="43" t="s">
        <v>423</v>
      </c>
      <c r="F9" s="73">
        <v>31500</v>
      </c>
      <c r="G9" t="s">
        <v>426</v>
      </c>
      <c r="I9" s="110" t="s">
        <v>377</v>
      </c>
      <c r="J9" s="157">
        <v>4</v>
      </c>
      <c r="K9" s="157">
        <v>1376.72</v>
      </c>
      <c r="L9" s="194">
        <f t="shared" si="1"/>
        <v>5506.88</v>
      </c>
      <c r="N9" s="43"/>
      <c r="O9" s="43"/>
      <c r="P9" s="73"/>
      <c r="R9" s="43"/>
      <c r="S9" s="73"/>
    </row>
    <row r="10" spans="1:19" x14ac:dyDescent="0.3">
      <c r="A10" s="43" t="s">
        <v>446</v>
      </c>
      <c r="B10" s="186">
        <v>5000</v>
      </c>
      <c r="C10" s="191">
        <v>4500</v>
      </c>
      <c r="D10" s="43"/>
      <c r="E10" s="116" t="s">
        <v>425</v>
      </c>
      <c r="F10" s="116">
        <v>5000</v>
      </c>
      <c r="I10" s="110" t="s">
        <v>387</v>
      </c>
      <c r="J10" s="157">
        <v>5</v>
      </c>
      <c r="K10" s="157">
        <v>936.51</v>
      </c>
      <c r="L10" s="194">
        <f t="shared" si="1"/>
        <v>4682.55</v>
      </c>
      <c r="N10" s="43"/>
      <c r="O10" s="43" t="s">
        <v>339</v>
      </c>
      <c r="P10" s="134">
        <v>500000</v>
      </c>
      <c r="S10" s="30"/>
    </row>
    <row r="11" spans="1:19" x14ac:dyDescent="0.3">
      <c r="A11" s="178" t="s">
        <v>414</v>
      </c>
      <c r="B11" s="187">
        <v>21452</v>
      </c>
      <c r="C11" s="191">
        <v>21452</v>
      </c>
      <c r="D11" s="43" t="s">
        <v>451</v>
      </c>
      <c r="E11" s="116" t="s">
        <v>422</v>
      </c>
      <c r="F11" s="116">
        <v>15000</v>
      </c>
      <c r="I11" s="110" t="s">
        <v>380</v>
      </c>
      <c r="J11" s="157">
        <v>5</v>
      </c>
      <c r="K11" s="157">
        <v>959.34</v>
      </c>
      <c r="L11" s="194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</row>
    <row r="12" spans="1:19" x14ac:dyDescent="0.3">
      <c r="A12" s="115" t="s">
        <v>249</v>
      </c>
      <c r="B12" s="188">
        <v>9000</v>
      </c>
      <c r="C12" s="188">
        <v>9000</v>
      </c>
      <c r="D12" s="43" t="s">
        <v>452</v>
      </c>
      <c r="I12" s="110" t="s">
        <v>385</v>
      </c>
      <c r="J12" s="157">
        <v>50</v>
      </c>
      <c r="K12" s="157">
        <v>43.35</v>
      </c>
      <c r="L12" s="194">
        <f t="shared" si="1"/>
        <v>2167.5</v>
      </c>
      <c r="N12" s="43"/>
      <c r="O12" s="43" t="s">
        <v>6</v>
      </c>
      <c r="P12" s="134">
        <v>50000</v>
      </c>
    </row>
    <row r="13" spans="1:19" x14ac:dyDescent="0.3">
      <c r="A13" s="123" t="s">
        <v>308</v>
      </c>
      <c r="B13" s="189">
        <v>4000</v>
      </c>
      <c r="C13" s="189">
        <v>4000</v>
      </c>
      <c r="D13" s="43"/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</row>
    <row r="14" spans="1:19" ht="15" thickBot="1" x14ac:dyDescent="0.35">
      <c r="A14" s="43"/>
      <c r="B14" s="186"/>
      <c r="C14" s="186"/>
      <c r="D14" s="186"/>
      <c r="E14" s="43" t="s">
        <v>424</v>
      </c>
      <c r="F14" s="73">
        <v>20000</v>
      </c>
      <c r="I14" s="169" t="s">
        <v>447</v>
      </c>
      <c r="J14" s="173">
        <v>4</v>
      </c>
      <c r="K14" s="173">
        <v>507.02</v>
      </c>
      <c r="L14" s="195">
        <f t="shared" si="1"/>
        <v>2028.08</v>
      </c>
      <c r="N14" s="43"/>
      <c r="O14" s="43" t="s">
        <v>408</v>
      </c>
      <c r="P14" s="134">
        <v>10000</v>
      </c>
    </row>
    <row r="15" spans="1:19" x14ac:dyDescent="0.3">
      <c r="A15" s="115" t="s">
        <v>273</v>
      </c>
      <c r="B15" s="188">
        <v>30000</v>
      </c>
      <c r="C15" s="188">
        <v>30000</v>
      </c>
      <c r="D15" s="43">
        <v>150000</v>
      </c>
      <c r="E15" s="43" t="s">
        <v>421</v>
      </c>
      <c r="F15" s="73">
        <v>25000</v>
      </c>
      <c r="L15" s="193">
        <f>SUM(L4:L14)</f>
        <v>81210.989999999991</v>
      </c>
      <c r="N15" s="43"/>
      <c r="O15" s="43"/>
      <c r="P15" s="134">
        <f>SUM(P10:P14)</f>
        <v>815000</v>
      </c>
    </row>
    <row r="16" spans="1:19" x14ac:dyDescent="0.3">
      <c r="A16" s="43" t="s">
        <v>453</v>
      </c>
      <c r="B16" s="186"/>
      <c r="C16" s="186"/>
      <c r="D16" s="43">
        <v>25000</v>
      </c>
      <c r="E16" s="43" t="s">
        <v>381</v>
      </c>
      <c r="F16" s="73">
        <v>5000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</row>
    <row r="17" spans="1:19" x14ac:dyDescent="0.3">
      <c r="A17" s="115" t="s">
        <v>444</v>
      </c>
      <c r="B17" s="188">
        <v>3200</v>
      </c>
      <c r="C17" s="188">
        <v>3200</v>
      </c>
      <c r="D17" s="72"/>
      <c r="E17" s="43" t="s">
        <v>163</v>
      </c>
      <c r="F17" s="73">
        <v>1500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19" ht="15" thickBot="1" x14ac:dyDescent="0.35">
      <c r="A18" s="43"/>
      <c r="B18" s="43"/>
      <c r="C18" s="43"/>
      <c r="D18" s="72"/>
      <c r="E18" s="43" t="s">
        <v>425</v>
      </c>
      <c r="F18" s="73">
        <v>5000</v>
      </c>
      <c r="G18" s="167" t="s">
        <v>109</v>
      </c>
      <c r="H18" s="116">
        <v>18195</v>
      </c>
      <c r="I18" s="113">
        <v>44958</v>
      </c>
      <c r="N18" s="43"/>
      <c r="O18" s="43"/>
      <c r="R18" t="s">
        <v>412</v>
      </c>
      <c r="S18" s="73">
        <v>93000</v>
      </c>
    </row>
    <row r="19" spans="1:19" ht="15" thickBot="1" x14ac:dyDescent="0.35">
      <c r="A19" s="123" t="s">
        <v>81</v>
      </c>
      <c r="B19" s="189">
        <v>50000</v>
      </c>
      <c r="C19" s="186"/>
      <c r="D19" s="72"/>
      <c r="G19" s="181" t="s">
        <v>268</v>
      </c>
      <c r="H19" s="112">
        <v>10526</v>
      </c>
      <c r="I19" s="113">
        <v>44958</v>
      </c>
      <c r="N19" s="43"/>
      <c r="O19" s="104" t="s">
        <v>410</v>
      </c>
      <c r="P19" s="177">
        <f>(P17-P16)</f>
        <v>-151000</v>
      </c>
      <c r="S19" s="73">
        <f>SUM(S17:S18)</f>
        <v>147000</v>
      </c>
    </row>
    <row r="20" spans="1:19" x14ac:dyDescent="0.3">
      <c r="A20" s="123" t="s">
        <v>123</v>
      </c>
      <c r="B20" s="189">
        <v>70000</v>
      </c>
      <c r="C20" s="186"/>
      <c r="D20" s="72"/>
      <c r="G20" s="80" t="s">
        <v>298</v>
      </c>
      <c r="H20" s="80">
        <v>5000</v>
      </c>
      <c r="I20" s="113">
        <v>44896</v>
      </c>
      <c r="N20" s="43"/>
      <c r="O20" s="43"/>
      <c r="P20" s="89"/>
      <c r="R20" t="s">
        <v>411</v>
      </c>
      <c r="S20" s="73">
        <v>90000</v>
      </c>
    </row>
    <row r="21" spans="1:19" x14ac:dyDescent="0.3">
      <c r="A21" s="116" t="s">
        <v>454</v>
      </c>
      <c r="B21" s="190">
        <v>11500</v>
      </c>
      <c r="C21" s="190">
        <v>6500</v>
      </c>
      <c r="D21" s="43">
        <v>5000</v>
      </c>
      <c r="E21" s="43" t="s">
        <v>442</v>
      </c>
      <c r="F21" s="73">
        <v>234.82</v>
      </c>
      <c r="G21" s="80" t="s">
        <v>256</v>
      </c>
      <c r="H21" s="80">
        <v>7600</v>
      </c>
      <c r="I21" s="113">
        <v>44932</v>
      </c>
      <c r="S21" s="73">
        <f>(S19-S20)</f>
        <v>57000</v>
      </c>
    </row>
    <row r="22" spans="1:19" x14ac:dyDescent="0.3">
      <c r="A22" s="116" t="s">
        <v>203</v>
      </c>
      <c r="B22" s="190">
        <v>5000</v>
      </c>
      <c r="C22" s="186"/>
      <c r="D22" s="145"/>
      <c r="E22" s="43" t="s">
        <v>441</v>
      </c>
      <c r="F22" s="73">
        <v>1419.04</v>
      </c>
      <c r="G22" s="115" t="s">
        <v>431</v>
      </c>
      <c r="H22" s="116">
        <v>20481</v>
      </c>
      <c r="I22" s="113">
        <v>44905</v>
      </c>
      <c r="R22" s="65"/>
      <c r="S22" s="73"/>
    </row>
    <row r="23" spans="1:19" x14ac:dyDescent="0.3">
      <c r="A23" s="115" t="s">
        <v>381</v>
      </c>
      <c r="B23" s="190">
        <v>20000</v>
      </c>
      <c r="C23" s="186"/>
      <c r="D23" s="43"/>
      <c r="E23" s="43" t="s">
        <v>443</v>
      </c>
      <c r="F23" s="73">
        <v>3500</v>
      </c>
      <c r="G23" s="115"/>
      <c r="H23" s="116"/>
      <c r="I23" s="113"/>
      <c r="R23" t="s">
        <v>142</v>
      </c>
      <c r="S23" s="73">
        <v>200000</v>
      </c>
    </row>
    <row r="24" spans="1:19" x14ac:dyDescent="0.3">
      <c r="A24" s="64" t="s">
        <v>5</v>
      </c>
      <c r="B24" s="186">
        <f>SUM(B1:B17)</f>
        <v>167243</v>
      </c>
      <c r="C24" s="186">
        <f>SUM(C1:C17)</f>
        <v>166743</v>
      </c>
      <c r="D24" s="72"/>
      <c r="E24" s="43" t="s">
        <v>455</v>
      </c>
      <c r="F24" s="73">
        <v>8000</v>
      </c>
      <c r="G24" s="124"/>
      <c r="H24" s="118"/>
      <c r="I24" s="113"/>
      <c r="R24" t="s">
        <v>206</v>
      </c>
      <c r="S24" s="73">
        <f>(S21+S23)</f>
        <v>257000</v>
      </c>
    </row>
    <row r="25" spans="1:19" x14ac:dyDescent="0.3">
      <c r="A25" s="43"/>
      <c r="B25" s="43"/>
      <c r="C25" s="43"/>
      <c r="D25" s="72"/>
      <c r="E25" s="43" t="s">
        <v>456</v>
      </c>
      <c r="F25" s="73">
        <v>1000</v>
      </c>
      <c r="G25" s="43"/>
      <c r="H25" s="106"/>
      <c r="I25" s="114"/>
      <c r="K25" s="183"/>
      <c r="O25">
        <v>176000</v>
      </c>
      <c r="S25" s="73"/>
    </row>
    <row r="26" spans="1:19" x14ac:dyDescent="0.3">
      <c r="A26" s="64" t="s">
        <v>228</v>
      </c>
      <c r="B26" s="43"/>
      <c r="C26" s="62">
        <f>(C24-B24)</f>
        <v>-500</v>
      </c>
      <c r="D26" s="43" t="s">
        <v>227</v>
      </c>
      <c r="E26" s="43" t="s">
        <v>457</v>
      </c>
      <c r="F26" s="73">
        <v>5074</v>
      </c>
      <c r="K26" s="30"/>
      <c r="O26">
        <v>152000</v>
      </c>
      <c r="R26" t="s">
        <v>413</v>
      </c>
      <c r="S26" s="73">
        <v>260000</v>
      </c>
    </row>
    <row r="27" spans="1:19" x14ac:dyDescent="0.3">
      <c r="A27" s="64"/>
      <c r="B27" s="43"/>
      <c r="C27" s="43"/>
      <c r="D27" s="43"/>
      <c r="E27" s="43" t="s">
        <v>458</v>
      </c>
      <c r="F27" s="73">
        <v>113280</v>
      </c>
      <c r="O27">
        <f>O25-O26</f>
        <v>24000</v>
      </c>
      <c r="S27" s="30">
        <f>(S26-S24)</f>
        <v>3000</v>
      </c>
    </row>
    <row r="28" spans="1:19" x14ac:dyDescent="0.3">
      <c r="A28" s="64" t="s">
        <v>225</v>
      </c>
      <c r="B28" s="43"/>
      <c r="C28" s="62">
        <f>(F6+C26)</f>
        <v>6616</v>
      </c>
      <c r="D28" s="43"/>
      <c r="E28" s="43" t="s">
        <v>459</v>
      </c>
      <c r="F28" s="73">
        <v>750</v>
      </c>
    </row>
    <row r="29" spans="1:19" x14ac:dyDescent="0.3">
      <c r="F29" s="89">
        <f>SUM(F21:F28)</f>
        <v>133257.85999999999</v>
      </c>
    </row>
  </sheetData>
  <mergeCells count="2">
    <mergeCell ref="E1:F1"/>
    <mergeCell ref="I1:L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3C2F-B332-4C90-82E6-6708E4FEDEC9}">
  <dimension ref="A1:S29"/>
  <sheetViews>
    <sheetView zoomScaleNormal="100" workbookViewId="0">
      <selection activeCell="G27" sqref="G27"/>
    </sheetView>
  </sheetViews>
  <sheetFormatPr defaultRowHeight="14.4" x14ac:dyDescent="0.3"/>
  <cols>
    <col min="1" max="1" width="17.5546875" bestFit="1" customWidth="1"/>
    <col min="2" max="2" width="9.44140625" bestFit="1" customWidth="1"/>
    <col min="3" max="3" width="11.109375" bestFit="1" customWidth="1"/>
    <col min="4" max="4" width="13.33203125" bestFit="1" customWidth="1"/>
    <col min="5" max="5" width="15.88671875" bestFit="1" customWidth="1"/>
    <col min="6" max="6" width="10.44140625" bestFit="1" customWidth="1"/>
    <col min="7" max="7" width="17.33203125" bestFit="1" customWidth="1"/>
    <col min="8" max="8" width="8.109375" bestFit="1" customWidth="1"/>
    <col min="9" max="9" width="14" bestFit="1" customWidth="1"/>
    <col min="10" max="10" width="4" bestFit="1" customWidth="1"/>
    <col min="11" max="12" width="8" bestFit="1" customWidth="1"/>
    <col min="13" max="13" width="7.33203125" bestFit="1" customWidth="1"/>
    <col min="14" max="14" width="7" bestFit="1" customWidth="1"/>
    <col min="15" max="15" width="12.5546875" bestFit="1" customWidth="1"/>
    <col min="17" max="17" width="7.88671875" bestFit="1" customWidth="1"/>
    <col min="18" max="18" width="11.33203125" bestFit="1" customWidth="1"/>
  </cols>
  <sheetData>
    <row r="1" spans="1:19" x14ac:dyDescent="0.3">
      <c r="A1" s="43" t="s">
        <v>6</v>
      </c>
      <c r="B1" s="186">
        <v>30000</v>
      </c>
      <c r="C1" s="191">
        <v>30000</v>
      </c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</row>
    <row r="2" spans="1:19" x14ac:dyDescent="0.3">
      <c r="A2" s="43" t="s">
        <v>0</v>
      </c>
      <c r="B2" s="186">
        <v>14308</v>
      </c>
      <c r="C2" s="191">
        <v>14308</v>
      </c>
      <c r="D2" s="186"/>
      <c r="E2" s="43"/>
      <c r="F2" s="73"/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19" x14ac:dyDescent="0.3">
      <c r="A3" s="43" t="s">
        <v>1</v>
      </c>
      <c r="B3" s="186">
        <v>5000</v>
      </c>
      <c r="C3" s="191">
        <v>5000</v>
      </c>
      <c r="D3" s="43"/>
      <c r="E3" s="43" t="s">
        <v>265</v>
      </c>
      <c r="F3" s="73">
        <v>36</v>
      </c>
      <c r="G3" s="73"/>
      <c r="H3" s="30"/>
      <c r="I3" s="110" t="s">
        <v>382</v>
      </c>
      <c r="J3" s="157">
        <v>10</v>
      </c>
      <c r="K3" s="157">
        <v>999</v>
      </c>
      <c r="L3" s="194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</row>
    <row r="4" spans="1:19" x14ac:dyDescent="0.3">
      <c r="A4" s="43" t="s">
        <v>2</v>
      </c>
      <c r="B4" s="186">
        <v>2000</v>
      </c>
      <c r="C4" s="191">
        <v>2000</v>
      </c>
      <c r="D4" s="43"/>
      <c r="E4" s="43" t="s">
        <v>204</v>
      </c>
      <c r="F4" s="73">
        <v>180</v>
      </c>
      <c r="G4" s="73"/>
      <c r="I4" s="110" t="s">
        <v>379</v>
      </c>
      <c r="J4" s="284" t="s">
        <v>473</v>
      </c>
      <c r="K4" s="285"/>
      <c r="L4" s="286"/>
      <c r="M4" s="192">
        <v>44682</v>
      </c>
      <c r="N4" s="43"/>
      <c r="O4" s="43"/>
      <c r="P4" s="73"/>
      <c r="R4" s="43"/>
      <c r="S4" s="73"/>
    </row>
    <row r="5" spans="1:19" x14ac:dyDescent="0.3">
      <c r="A5" s="43" t="s">
        <v>89</v>
      </c>
      <c r="B5" s="186">
        <v>32953</v>
      </c>
      <c r="C5" s="191">
        <v>32953</v>
      </c>
      <c r="D5" s="43" t="s">
        <v>450</v>
      </c>
      <c r="E5" s="43" t="s">
        <v>205</v>
      </c>
      <c r="F5" s="43">
        <v>306</v>
      </c>
      <c r="I5" s="110" t="s">
        <v>19</v>
      </c>
      <c r="J5" s="157">
        <v>22</v>
      </c>
      <c r="K5" s="157">
        <v>1321.63</v>
      </c>
      <c r="L5" s="194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</row>
    <row r="6" spans="1:19" x14ac:dyDescent="0.3">
      <c r="A6" s="43" t="s">
        <v>3</v>
      </c>
      <c r="B6" s="186">
        <v>1860</v>
      </c>
      <c r="C6" s="191">
        <v>1860</v>
      </c>
      <c r="D6" s="43"/>
      <c r="E6" s="43" t="s">
        <v>6</v>
      </c>
      <c r="F6" s="73">
        <f>SUM(F4:F5)</f>
        <v>486</v>
      </c>
      <c r="I6" s="110" t="s">
        <v>362</v>
      </c>
      <c r="J6" s="157">
        <v>6</v>
      </c>
      <c r="K6" s="157">
        <v>1918.68</v>
      </c>
      <c r="L6" s="194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</row>
    <row r="7" spans="1:19" x14ac:dyDescent="0.3">
      <c r="A7" s="43" t="s">
        <v>9</v>
      </c>
      <c r="B7" s="186">
        <v>1916</v>
      </c>
      <c r="C7" s="191">
        <v>1916</v>
      </c>
      <c r="D7" s="43"/>
      <c r="E7" s="43" t="s">
        <v>345</v>
      </c>
      <c r="F7" s="44">
        <f>B24</f>
        <v>227958</v>
      </c>
      <c r="I7" s="110" t="s">
        <v>363</v>
      </c>
      <c r="J7" s="157">
        <v>5</v>
      </c>
      <c r="K7" s="157">
        <v>1049.19</v>
      </c>
      <c r="L7" s="194">
        <f t="shared" si="1"/>
        <v>5245.9500000000007</v>
      </c>
      <c r="N7" s="43"/>
      <c r="O7" s="43"/>
      <c r="P7" s="73"/>
      <c r="R7" s="43"/>
      <c r="S7" s="73"/>
    </row>
    <row r="8" spans="1:19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7">
        <v>11</v>
      </c>
      <c r="K8" s="157">
        <v>470.99</v>
      </c>
      <c r="L8" s="194">
        <f t="shared" si="1"/>
        <v>5180.8900000000003</v>
      </c>
      <c r="N8" s="43"/>
      <c r="O8" s="43"/>
      <c r="P8" s="108">
        <f>SUM(P3:P6)</f>
        <v>2240000</v>
      </c>
      <c r="R8" s="43"/>
      <c r="S8" s="73">
        <f>SUM(S3:S6)</f>
        <v>1290975</v>
      </c>
    </row>
    <row r="9" spans="1:19" x14ac:dyDescent="0.3">
      <c r="A9" s="43" t="s">
        <v>107</v>
      </c>
      <c r="B9" s="186">
        <v>590</v>
      </c>
      <c r="C9" s="191">
        <v>590</v>
      </c>
      <c r="D9" s="43"/>
      <c r="E9" s="43"/>
      <c r="F9" s="43"/>
      <c r="I9" s="110" t="s">
        <v>377</v>
      </c>
      <c r="J9" s="157">
        <v>4</v>
      </c>
      <c r="K9" s="157">
        <v>1376.72</v>
      </c>
      <c r="L9" s="194">
        <f t="shared" si="1"/>
        <v>5506.88</v>
      </c>
      <c r="N9" s="43"/>
      <c r="O9" s="43"/>
      <c r="P9" s="73"/>
      <c r="R9" s="43"/>
      <c r="S9" s="73"/>
    </row>
    <row r="10" spans="1:19" x14ac:dyDescent="0.3">
      <c r="A10" s="43" t="s">
        <v>446</v>
      </c>
      <c r="B10" s="186">
        <v>5000</v>
      </c>
      <c r="C10" s="191">
        <v>5000</v>
      </c>
      <c r="D10" s="43"/>
      <c r="E10" s="43" t="s">
        <v>442</v>
      </c>
      <c r="F10" s="73">
        <v>234.82</v>
      </c>
      <c r="I10" s="110" t="s">
        <v>387</v>
      </c>
      <c r="J10" s="157">
        <v>5</v>
      </c>
      <c r="K10" s="157">
        <v>936.51</v>
      </c>
      <c r="L10" s="194">
        <f t="shared" si="1"/>
        <v>4682.55</v>
      </c>
      <c r="N10" s="43"/>
      <c r="O10" s="43" t="s">
        <v>339</v>
      </c>
      <c r="P10" s="134">
        <v>500000</v>
      </c>
      <c r="S10" s="30"/>
    </row>
    <row r="11" spans="1:19" x14ac:dyDescent="0.3">
      <c r="A11" s="178" t="s">
        <v>414</v>
      </c>
      <c r="B11" s="187">
        <v>26452</v>
      </c>
      <c r="C11" s="191">
        <v>26452</v>
      </c>
      <c r="D11" s="43" t="s">
        <v>451</v>
      </c>
      <c r="E11" s="43" t="s">
        <v>441</v>
      </c>
      <c r="F11" s="73">
        <v>1419.04</v>
      </c>
      <c r="I11" s="110" t="s">
        <v>380</v>
      </c>
      <c r="J11" s="157">
        <v>5</v>
      </c>
      <c r="K11" s="157">
        <v>959.34</v>
      </c>
      <c r="L11" s="194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</row>
    <row r="12" spans="1:19" x14ac:dyDescent="0.3">
      <c r="A12" s="186" t="s">
        <v>285</v>
      </c>
      <c r="B12" s="186">
        <v>3060</v>
      </c>
      <c r="C12" s="191">
        <v>3060</v>
      </c>
      <c r="D12" s="43"/>
      <c r="E12" s="43" t="s">
        <v>443</v>
      </c>
      <c r="F12" s="73">
        <v>3500</v>
      </c>
      <c r="I12" s="110" t="s">
        <v>385</v>
      </c>
      <c r="J12" s="157">
        <v>50</v>
      </c>
      <c r="K12" s="157">
        <v>43.35</v>
      </c>
      <c r="L12" s="194">
        <f t="shared" si="1"/>
        <v>2167.5</v>
      </c>
      <c r="N12" s="43"/>
      <c r="O12" s="43" t="s">
        <v>6</v>
      </c>
      <c r="P12" s="134">
        <v>50000</v>
      </c>
    </row>
    <row r="13" spans="1:19" x14ac:dyDescent="0.3">
      <c r="A13" s="186" t="s">
        <v>470</v>
      </c>
      <c r="B13" s="186">
        <v>22000</v>
      </c>
      <c r="C13" s="191">
        <v>22000</v>
      </c>
      <c r="D13" s="43"/>
      <c r="E13" s="43" t="s">
        <v>455</v>
      </c>
      <c r="F13" s="73">
        <v>8000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</row>
    <row r="14" spans="1:19" ht="15" thickBot="1" x14ac:dyDescent="0.35">
      <c r="A14" s="43" t="s">
        <v>461</v>
      </c>
      <c r="B14" s="187">
        <v>30000</v>
      </c>
      <c r="C14" s="191">
        <v>30000</v>
      </c>
      <c r="D14" s="186"/>
      <c r="E14" s="43" t="s">
        <v>456</v>
      </c>
      <c r="F14" s="73">
        <v>1000</v>
      </c>
      <c r="I14" s="169" t="s">
        <v>447</v>
      </c>
      <c r="J14" s="173">
        <v>4</v>
      </c>
      <c r="K14" s="173">
        <v>507.02</v>
      </c>
      <c r="L14" s="195">
        <f t="shared" si="1"/>
        <v>2028.08</v>
      </c>
      <c r="N14" s="43"/>
      <c r="O14" s="43" t="s">
        <v>408</v>
      </c>
      <c r="P14" s="134">
        <v>10000</v>
      </c>
    </row>
    <row r="15" spans="1:19" x14ac:dyDescent="0.3">
      <c r="A15" s="43" t="s">
        <v>466</v>
      </c>
      <c r="B15" s="186">
        <f>SUM(F18:F22)</f>
        <v>15400</v>
      </c>
      <c r="C15" s="108">
        <f>SUM(F18:F22)</f>
        <v>15400</v>
      </c>
      <c r="D15" s="43"/>
      <c r="E15" s="43" t="s">
        <v>457</v>
      </c>
      <c r="F15" s="73">
        <v>5074</v>
      </c>
      <c r="L15" s="193">
        <f>SUM(L4:L14)</f>
        <v>72210.990000000005</v>
      </c>
      <c r="N15" s="43"/>
      <c r="O15" s="43"/>
      <c r="P15" s="134">
        <f>SUM(P10:P14)</f>
        <v>815000</v>
      </c>
    </row>
    <row r="16" spans="1:19" x14ac:dyDescent="0.3">
      <c r="B16" s="186"/>
      <c r="C16" s="186"/>
      <c r="D16" s="43"/>
      <c r="E16" s="43" t="s">
        <v>458</v>
      </c>
      <c r="F16" s="73">
        <v>113280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</row>
    <row r="17" spans="1:19" x14ac:dyDescent="0.3">
      <c r="A17" s="115" t="s">
        <v>460</v>
      </c>
      <c r="B17" s="188">
        <v>26000</v>
      </c>
      <c r="C17" s="188">
        <v>26000</v>
      </c>
      <c r="D17" s="72"/>
      <c r="E17" s="43" t="s">
        <v>459</v>
      </c>
      <c r="F17" s="73">
        <v>750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19" ht="15" thickBot="1" x14ac:dyDescent="0.35">
      <c r="A18" s="43"/>
      <c r="B18" s="43"/>
      <c r="C18" s="186"/>
      <c r="D18" s="72"/>
      <c r="E18" s="43" t="s">
        <v>463</v>
      </c>
      <c r="F18" s="73">
        <v>1000</v>
      </c>
      <c r="G18" s="167" t="s">
        <v>109</v>
      </c>
      <c r="H18" s="116">
        <v>18195</v>
      </c>
      <c r="I18" s="113">
        <v>44958</v>
      </c>
      <c r="N18" s="43"/>
      <c r="O18" s="43"/>
      <c r="R18" t="s">
        <v>412</v>
      </c>
      <c r="S18" s="73">
        <v>93000</v>
      </c>
    </row>
    <row r="19" spans="1:19" ht="15" thickBot="1" x14ac:dyDescent="0.35">
      <c r="A19" s="123" t="s">
        <v>81</v>
      </c>
      <c r="B19" s="189">
        <v>50000</v>
      </c>
      <c r="C19" s="186"/>
      <c r="D19" s="72"/>
      <c r="E19" s="43" t="s">
        <v>464</v>
      </c>
      <c r="F19" s="73">
        <v>700</v>
      </c>
      <c r="G19" s="181" t="s">
        <v>268</v>
      </c>
      <c r="H19" s="112">
        <v>10526</v>
      </c>
      <c r="I19" s="113">
        <v>44958</v>
      </c>
      <c r="N19" s="43"/>
      <c r="O19" s="104" t="s">
        <v>410</v>
      </c>
      <c r="P19" s="177">
        <f>(P17-P16)</f>
        <v>-151000</v>
      </c>
      <c r="S19" s="73">
        <f>SUM(S17:S18)</f>
        <v>147000</v>
      </c>
    </row>
    <row r="20" spans="1:19" x14ac:dyDescent="0.3">
      <c r="A20" s="123" t="s">
        <v>123</v>
      </c>
      <c r="B20" s="189">
        <v>70000</v>
      </c>
      <c r="C20" s="186"/>
      <c r="D20" s="72"/>
      <c r="E20" s="43" t="s">
        <v>465</v>
      </c>
      <c r="F20" s="73">
        <v>2000</v>
      </c>
      <c r="G20" s="80" t="s">
        <v>298</v>
      </c>
      <c r="H20" s="80">
        <v>5000</v>
      </c>
      <c r="I20" s="113">
        <v>44896</v>
      </c>
      <c r="N20" s="43"/>
      <c r="O20" s="43"/>
      <c r="P20" s="89"/>
      <c r="R20" t="s">
        <v>411</v>
      </c>
      <c r="S20" s="73">
        <v>90000</v>
      </c>
    </row>
    <row r="21" spans="1:19" x14ac:dyDescent="0.3">
      <c r="A21" s="116" t="s">
        <v>454</v>
      </c>
      <c r="B21" s="190">
        <v>11500</v>
      </c>
      <c r="C21" s="190">
        <v>6500</v>
      </c>
      <c r="D21" s="43">
        <v>5000</v>
      </c>
      <c r="E21" s="43" t="s">
        <v>462</v>
      </c>
      <c r="F21" s="73">
        <v>5000</v>
      </c>
      <c r="G21" s="80" t="s">
        <v>256</v>
      </c>
      <c r="H21" s="80">
        <v>7600</v>
      </c>
      <c r="I21" s="113">
        <v>44932</v>
      </c>
      <c r="S21" s="73">
        <f>(S19-S20)</f>
        <v>57000</v>
      </c>
    </row>
    <row r="22" spans="1:19" x14ac:dyDescent="0.3">
      <c r="A22" s="116" t="s">
        <v>203</v>
      </c>
      <c r="B22" s="190">
        <v>6000</v>
      </c>
      <c r="C22" s="186"/>
      <c r="D22" s="145"/>
      <c r="E22" s="43" t="s">
        <v>467</v>
      </c>
      <c r="F22" s="73">
        <v>6700</v>
      </c>
      <c r="G22" s="115" t="s">
        <v>431</v>
      </c>
      <c r="H22" s="116">
        <v>20481</v>
      </c>
      <c r="I22" s="113">
        <v>44905</v>
      </c>
      <c r="R22" s="65"/>
      <c r="S22" s="73"/>
    </row>
    <row r="23" spans="1:19" x14ac:dyDescent="0.3">
      <c r="A23" s="115" t="s">
        <v>381</v>
      </c>
      <c r="B23" s="190">
        <v>20000</v>
      </c>
      <c r="C23" s="186"/>
      <c r="D23" s="43"/>
      <c r="E23" s="43" t="s">
        <v>468</v>
      </c>
      <c r="F23" s="73">
        <v>30000</v>
      </c>
      <c r="G23" s="115"/>
      <c r="H23" s="116"/>
      <c r="I23" s="113"/>
      <c r="R23" t="s">
        <v>142</v>
      </c>
      <c r="S23" s="73">
        <v>200000</v>
      </c>
    </row>
    <row r="24" spans="1:19" x14ac:dyDescent="0.3">
      <c r="A24" s="64" t="s">
        <v>5</v>
      </c>
      <c r="B24" s="186">
        <f>SUM(B1:B17)</f>
        <v>227958</v>
      </c>
      <c r="C24" s="186">
        <f>SUM(C1:C17)</f>
        <v>227958</v>
      </c>
      <c r="D24" s="72"/>
      <c r="E24" s="43" t="s">
        <v>469</v>
      </c>
      <c r="F24" s="73">
        <v>51800</v>
      </c>
      <c r="G24" s="124"/>
      <c r="H24" s="118"/>
      <c r="I24" s="113"/>
      <c r="R24" t="s">
        <v>206</v>
      </c>
      <c r="S24" s="73">
        <f>(S21+S23)</f>
        <v>257000</v>
      </c>
    </row>
    <row r="25" spans="1:19" x14ac:dyDescent="0.3">
      <c r="A25" s="43"/>
      <c r="B25" s="43"/>
      <c r="C25" s="43"/>
      <c r="D25" s="72"/>
      <c r="E25" s="178" t="s">
        <v>470</v>
      </c>
      <c r="F25" s="179">
        <v>22000</v>
      </c>
      <c r="G25" s="43"/>
      <c r="H25" s="106"/>
      <c r="I25" s="114"/>
      <c r="K25" s="183"/>
      <c r="O25">
        <v>176000</v>
      </c>
      <c r="S25" s="73"/>
    </row>
    <row r="26" spans="1:19" x14ac:dyDescent="0.3">
      <c r="A26" s="64" t="s">
        <v>228</v>
      </c>
      <c r="B26" s="43"/>
      <c r="C26" s="62">
        <f>(C24-B24)</f>
        <v>0</v>
      </c>
      <c r="D26" s="43" t="s">
        <v>227</v>
      </c>
      <c r="E26" s="43" t="s">
        <v>471</v>
      </c>
      <c r="F26" s="73">
        <v>11500</v>
      </c>
      <c r="K26" s="30"/>
      <c r="O26">
        <v>152000</v>
      </c>
      <c r="R26" t="s">
        <v>413</v>
      </c>
      <c r="S26" s="73">
        <v>260000</v>
      </c>
    </row>
    <row r="27" spans="1:19" x14ac:dyDescent="0.3">
      <c r="A27" s="64"/>
      <c r="B27" s="43"/>
      <c r="C27" s="43"/>
      <c r="D27" s="43"/>
      <c r="E27" s="43" t="s">
        <v>472</v>
      </c>
      <c r="F27" s="73">
        <v>26000</v>
      </c>
      <c r="O27">
        <f>O25-O26</f>
        <v>24000</v>
      </c>
      <c r="S27" s="30">
        <f>(S26-S24)</f>
        <v>3000</v>
      </c>
    </row>
    <row r="28" spans="1:19" x14ac:dyDescent="0.3">
      <c r="A28" s="64" t="s">
        <v>225</v>
      </c>
      <c r="B28" s="43"/>
      <c r="C28" s="62">
        <f>(F6+C26)</f>
        <v>486</v>
      </c>
      <c r="D28" s="43"/>
    </row>
    <row r="29" spans="1:19" x14ac:dyDescent="0.3">
      <c r="F29" s="73">
        <f>SUM(F10:F27)</f>
        <v>289957.86</v>
      </c>
    </row>
  </sheetData>
  <mergeCells count="3">
    <mergeCell ref="E1:F1"/>
    <mergeCell ref="I1:L1"/>
    <mergeCell ref="J4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zoomScaleNormal="100" zoomScaleSheetLayoutView="100" workbookViewId="0">
      <selection activeCell="G27" sqref="G27"/>
    </sheetView>
  </sheetViews>
  <sheetFormatPr defaultRowHeight="14.4" x14ac:dyDescent="0.3"/>
  <cols>
    <col min="1" max="1" width="22.33203125" bestFit="1" customWidth="1"/>
    <col min="2" max="2" width="10.6640625" bestFit="1" customWidth="1"/>
    <col min="3" max="3" width="9.6640625" bestFit="1" customWidth="1"/>
    <col min="4" max="4" width="14.109375" bestFit="1" customWidth="1"/>
    <col min="5" max="5" width="8.88671875" bestFit="1" customWidth="1"/>
    <col min="7" max="7" width="12.88671875" bestFit="1" customWidth="1"/>
    <col min="8" max="8" width="9" bestFit="1" customWidth="1"/>
    <col min="9" max="9" width="12.109375" bestFit="1" customWidth="1"/>
  </cols>
  <sheetData>
    <row r="1" spans="1:4" x14ac:dyDescent="0.3">
      <c r="A1" s="1" t="s">
        <v>7</v>
      </c>
      <c r="B1" s="1" t="s">
        <v>8</v>
      </c>
      <c r="C1" s="9" t="s">
        <v>26</v>
      </c>
    </row>
    <row r="2" spans="1:4" x14ac:dyDescent="0.3">
      <c r="A2" s="2" t="s">
        <v>6</v>
      </c>
      <c r="B2" s="4">
        <v>21000</v>
      </c>
      <c r="C2" s="2">
        <v>21000</v>
      </c>
    </row>
    <row r="3" spans="1:4" x14ac:dyDescent="0.3">
      <c r="A3" s="2" t="s">
        <v>0</v>
      </c>
      <c r="B3" s="5">
        <v>25990</v>
      </c>
      <c r="C3" s="2">
        <v>25990</v>
      </c>
      <c r="D3">
        <v>5600.1</v>
      </c>
    </row>
    <row r="4" spans="1:4" x14ac:dyDescent="0.3">
      <c r="A4" s="2" t="s">
        <v>1</v>
      </c>
      <c r="B4" s="4">
        <v>10000</v>
      </c>
      <c r="C4" s="2">
        <v>10000</v>
      </c>
    </row>
    <row r="5" spans="1:4" x14ac:dyDescent="0.3">
      <c r="A5" s="2" t="s">
        <v>2</v>
      </c>
      <c r="B5" s="4">
        <v>15000</v>
      </c>
      <c r="C5" s="2">
        <v>15000</v>
      </c>
    </row>
    <row r="6" spans="1:4" x14ac:dyDescent="0.3">
      <c r="A6" s="2" t="s">
        <v>89</v>
      </c>
      <c r="B6" s="13">
        <v>29706</v>
      </c>
      <c r="C6" s="2">
        <v>29706</v>
      </c>
    </row>
    <row r="7" spans="1:4" x14ac:dyDescent="0.3">
      <c r="A7" s="2" t="s">
        <v>3</v>
      </c>
      <c r="B7" s="4"/>
      <c r="C7" s="2"/>
    </row>
    <row r="8" spans="1:4" x14ac:dyDescent="0.3">
      <c r="A8" s="2" t="s">
        <v>9</v>
      </c>
      <c r="B8" s="4">
        <v>152</v>
      </c>
      <c r="C8" s="2"/>
    </row>
    <row r="9" spans="1:4" x14ac:dyDescent="0.3">
      <c r="A9" s="2" t="s">
        <v>15</v>
      </c>
      <c r="B9" s="7">
        <v>7500</v>
      </c>
      <c r="C9" s="2">
        <v>7500</v>
      </c>
    </row>
    <row r="10" spans="1:4" x14ac:dyDescent="0.3">
      <c r="A10" s="2"/>
      <c r="B10" s="7"/>
      <c r="C10" s="2"/>
    </row>
    <row r="11" spans="1:4" x14ac:dyDescent="0.3">
      <c r="A11" s="2"/>
      <c r="B11" s="2"/>
      <c r="C11" s="2"/>
    </row>
    <row r="12" spans="1:4" x14ac:dyDescent="0.3">
      <c r="A12" s="2"/>
      <c r="B12" s="2"/>
      <c r="C12" s="2"/>
    </row>
    <row r="13" spans="1:4" x14ac:dyDescent="0.3">
      <c r="A13" s="2"/>
      <c r="B13" s="2"/>
      <c r="C13" s="2"/>
    </row>
    <row r="14" spans="1:4" x14ac:dyDescent="0.3">
      <c r="A14" s="2"/>
      <c r="B14" s="2"/>
      <c r="C14" s="2"/>
    </row>
    <row r="15" spans="1:4" x14ac:dyDescent="0.3">
      <c r="A15" s="2" t="s">
        <v>5</v>
      </c>
      <c r="B15" s="3">
        <f>SUM(B2:B12)</f>
        <v>109348</v>
      </c>
      <c r="C15" s="2">
        <f>SUM(C2:C12)</f>
        <v>109196</v>
      </c>
    </row>
    <row r="16" spans="1:4" x14ac:dyDescent="0.3">
      <c r="B16" s="10"/>
    </row>
    <row r="17" spans="1:9" x14ac:dyDescent="0.3">
      <c r="A17" t="s">
        <v>29</v>
      </c>
      <c r="B17" s="10"/>
      <c r="C17" s="11">
        <f>(C15-B15)</f>
        <v>-152</v>
      </c>
      <c r="D17" s="11">
        <f>SUM(C17,E24)</f>
        <v>988.26</v>
      </c>
    </row>
    <row r="18" spans="1:9" x14ac:dyDescent="0.3">
      <c r="B18" s="10"/>
    </row>
    <row r="19" spans="1:9" x14ac:dyDescent="0.3">
      <c r="D19" s="8" t="s">
        <v>16</v>
      </c>
      <c r="E19" s="2">
        <v>10000</v>
      </c>
      <c r="F19" s="2"/>
      <c r="G19" s="2"/>
      <c r="H19" s="1" t="s">
        <v>22</v>
      </c>
      <c r="I19" s="1" t="s">
        <v>23</v>
      </c>
    </row>
    <row r="20" spans="1:9" x14ac:dyDescent="0.3">
      <c r="A20" t="s">
        <v>35</v>
      </c>
      <c r="B20">
        <v>78350</v>
      </c>
      <c r="D20" s="8" t="s">
        <v>18</v>
      </c>
      <c r="E20" s="2">
        <v>1039.43</v>
      </c>
      <c r="F20" s="2"/>
      <c r="G20" s="251" t="s">
        <v>21</v>
      </c>
      <c r="H20" s="2">
        <v>13.15</v>
      </c>
      <c r="I20" s="2"/>
    </row>
    <row r="21" spans="1:9" x14ac:dyDescent="0.3">
      <c r="A21" t="s">
        <v>34</v>
      </c>
      <c r="B21">
        <v>30000</v>
      </c>
      <c r="D21" s="8" t="s">
        <v>19</v>
      </c>
      <c r="E21" s="2">
        <v>100.83</v>
      </c>
      <c r="F21" s="2"/>
      <c r="G21" s="251"/>
      <c r="H21" s="2">
        <v>0</v>
      </c>
      <c r="I21" s="2"/>
    </row>
    <row r="22" spans="1:9" x14ac:dyDescent="0.3">
      <c r="A22" t="s">
        <v>11</v>
      </c>
      <c r="B22">
        <v>20000</v>
      </c>
      <c r="D22" s="8" t="s">
        <v>20</v>
      </c>
      <c r="E22" s="2"/>
      <c r="F22" s="2"/>
      <c r="G22" s="8" t="s">
        <v>25</v>
      </c>
      <c r="H22" s="2">
        <v>32.840000000000003</v>
      </c>
      <c r="I22" s="2"/>
    </row>
    <row r="23" spans="1:9" x14ac:dyDescent="0.3">
      <c r="D23" s="8"/>
      <c r="E23" s="2"/>
      <c r="F23" s="2"/>
      <c r="G23" s="8" t="s">
        <v>24</v>
      </c>
      <c r="H23" s="2"/>
      <c r="I23" s="2">
        <v>9.14</v>
      </c>
    </row>
    <row r="24" spans="1:9" x14ac:dyDescent="0.3">
      <c r="A24" t="s">
        <v>36</v>
      </c>
      <c r="B24">
        <v>450</v>
      </c>
      <c r="C24" t="s">
        <v>22</v>
      </c>
      <c r="D24" s="8" t="s">
        <v>10</v>
      </c>
      <c r="E24" s="2">
        <f>SUM(E20:E21)</f>
        <v>1140.26</v>
      </c>
      <c r="F24" s="2"/>
      <c r="G24" s="8" t="s">
        <v>10</v>
      </c>
      <c r="H24" s="2">
        <f>SUM(H20:H22)</f>
        <v>45.99</v>
      </c>
      <c r="I24" s="2">
        <f>(H24*I23)</f>
        <v>420.34860000000003</v>
      </c>
    </row>
    <row r="28" spans="1:9" ht="43.2" x14ac:dyDescent="0.3">
      <c r="D28" s="8" t="s">
        <v>28</v>
      </c>
      <c r="E28" s="2">
        <v>21000</v>
      </c>
      <c r="F28" s="2"/>
      <c r="G28" s="12" t="s">
        <v>27</v>
      </c>
    </row>
    <row r="29" spans="1:9" ht="57.6" x14ac:dyDescent="0.3">
      <c r="D29" s="8" t="s">
        <v>30</v>
      </c>
      <c r="E29" s="2">
        <v>7500</v>
      </c>
      <c r="F29" s="2"/>
      <c r="G29" s="12" t="s">
        <v>31</v>
      </c>
    </row>
  </sheetData>
  <mergeCells count="1">
    <mergeCell ref="G20:G2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5AF2B-FB13-40D5-B89E-6E2802CE5457}">
  <dimension ref="A1:S29"/>
  <sheetViews>
    <sheetView workbookViewId="0">
      <selection activeCell="G27" sqref="G27"/>
    </sheetView>
  </sheetViews>
  <sheetFormatPr defaultRowHeight="14.4" x14ac:dyDescent="0.3"/>
  <cols>
    <col min="1" max="1" width="17.5546875" bestFit="1" customWidth="1"/>
    <col min="2" max="2" width="9.44140625" bestFit="1" customWidth="1"/>
    <col min="3" max="3" width="11.109375" bestFit="1" customWidth="1"/>
    <col min="4" max="4" width="13.33203125" bestFit="1" customWidth="1"/>
    <col min="5" max="5" width="15.88671875" bestFit="1" customWidth="1"/>
    <col min="6" max="6" width="10.44140625" bestFit="1" customWidth="1"/>
    <col min="7" max="7" width="17.33203125" bestFit="1" customWidth="1"/>
    <col min="8" max="8" width="8.109375" bestFit="1" customWidth="1"/>
    <col min="9" max="9" width="14" bestFit="1" customWidth="1"/>
    <col min="10" max="10" width="4" bestFit="1" customWidth="1"/>
    <col min="11" max="12" width="8" bestFit="1" customWidth="1"/>
    <col min="13" max="13" width="7.33203125" bestFit="1" customWidth="1"/>
    <col min="14" max="14" width="7" bestFit="1" customWidth="1"/>
    <col min="15" max="15" width="12.5546875" bestFit="1" customWidth="1"/>
    <col min="17" max="17" width="7.88671875" bestFit="1" customWidth="1"/>
    <col min="18" max="18" width="11.33203125" bestFit="1" customWidth="1"/>
  </cols>
  <sheetData>
    <row r="1" spans="1:19" x14ac:dyDescent="0.3">
      <c r="A1" s="43" t="s">
        <v>6</v>
      </c>
      <c r="B1" s="186">
        <v>30000</v>
      </c>
      <c r="C1" s="191">
        <v>30000</v>
      </c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</row>
    <row r="2" spans="1:19" x14ac:dyDescent="0.3">
      <c r="A2" s="43" t="s">
        <v>0</v>
      </c>
      <c r="B2" s="186">
        <v>24000</v>
      </c>
      <c r="C2" s="191">
        <v>24000</v>
      </c>
      <c r="D2" s="186"/>
      <c r="E2" s="43"/>
      <c r="F2" s="73"/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19" x14ac:dyDescent="0.3">
      <c r="A3" s="43" t="s">
        <v>1</v>
      </c>
      <c r="B3" s="186">
        <v>5000</v>
      </c>
      <c r="C3" s="191">
        <v>5000</v>
      </c>
      <c r="D3" s="43"/>
      <c r="E3" s="43" t="s">
        <v>265</v>
      </c>
      <c r="F3" s="73">
        <v>36</v>
      </c>
      <c r="G3" s="73"/>
      <c r="H3" s="30"/>
      <c r="I3" s="110" t="s">
        <v>382</v>
      </c>
      <c r="J3" s="157">
        <v>10</v>
      </c>
      <c r="K3" s="157">
        <v>999</v>
      </c>
      <c r="L3" s="194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</row>
    <row r="4" spans="1:19" x14ac:dyDescent="0.3">
      <c r="A4" s="43" t="s">
        <v>2</v>
      </c>
      <c r="B4" s="186">
        <v>2000</v>
      </c>
      <c r="C4" s="191">
        <v>2000</v>
      </c>
      <c r="D4" s="43"/>
      <c r="E4" s="43" t="s">
        <v>204</v>
      </c>
      <c r="F4" s="73">
        <v>4300</v>
      </c>
      <c r="G4" s="73"/>
      <c r="I4" s="110" t="s">
        <v>379</v>
      </c>
      <c r="J4" s="284" t="s">
        <v>473</v>
      </c>
      <c r="K4" s="285"/>
      <c r="L4" s="286"/>
      <c r="M4" s="192">
        <v>44682</v>
      </c>
      <c r="N4" s="43"/>
      <c r="O4" s="43"/>
      <c r="P4" s="73"/>
      <c r="R4" s="43"/>
      <c r="S4" s="73"/>
    </row>
    <row r="5" spans="1:19" x14ac:dyDescent="0.3">
      <c r="A5" s="43" t="s">
        <v>89</v>
      </c>
      <c r="B5" s="186">
        <v>32953</v>
      </c>
      <c r="C5" s="191">
        <v>32953</v>
      </c>
      <c r="D5" s="43" t="s">
        <v>450</v>
      </c>
      <c r="E5" s="43" t="s">
        <v>205</v>
      </c>
      <c r="F5" s="73">
        <v>306</v>
      </c>
      <c r="I5" s="110" t="s">
        <v>19</v>
      </c>
      <c r="J5" s="157">
        <v>22</v>
      </c>
      <c r="K5" s="157">
        <v>1321.63</v>
      </c>
      <c r="L5" s="194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</row>
    <row r="6" spans="1:19" x14ac:dyDescent="0.3">
      <c r="A6" s="43" t="s">
        <v>3</v>
      </c>
      <c r="B6" s="186">
        <v>1860</v>
      </c>
      <c r="C6" s="191">
        <v>1860</v>
      </c>
      <c r="D6" s="43"/>
      <c r="E6" s="43" t="s">
        <v>6</v>
      </c>
      <c r="F6" s="73">
        <f>SUM(F4:F5)</f>
        <v>4606</v>
      </c>
      <c r="I6" s="110" t="s">
        <v>362</v>
      </c>
      <c r="J6" s="157">
        <v>6</v>
      </c>
      <c r="K6" s="157">
        <v>1918.68</v>
      </c>
      <c r="L6" s="194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</row>
    <row r="7" spans="1:19" x14ac:dyDescent="0.3">
      <c r="A7" s="43" t="s">
        <v>9</v>
      </c>
      <c r="B7" s="186">
        <v>2254</v>
      </c>
      <c r="C7" s="191">
        <v>2254</v>
      </c>
      <c r="D7" s="43"/>
      <c r="E7" s="43" t="s">
        <v>374</v>
      </c>
      <c r="F7" s="44">
        <f>B24</f>
        <v>208728</v>
      </c>
      <c r="I7" s="110" t="s">
        <v>363</v>
      </c>
      <c r="J7" s="157">
        <v>5</v>
      </c>
      <c r="K7" s="157">
        <v>1049.19</v>
      </c>
      <c r="L7" s="194">
        <f t="shared" si="1"/>
        <v>5245.9500000000007</v>
      </c>
      <c r="N7" s="43"/>
      <c r="O7" s="43"/>
      <c r="P7" s="73"/>
      <c r="R7" s="43"/>
      <c r="S7" s="73"/>
    </row>
    <row r="8" spans="1:19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7">
        <v>11</v>
      </c>
      <c r="K8" s="157">
        <v>470.99</v>
      </c>
      <c r="L8" s="194">
        <f t="shared" si="1"/>
        <v>5180.8900000000003</v>
      </c>
      <c r="N8" s="43"/>
      <c r="O8" s="43"/>
      <c r="P8" s="108">
        <f>SUM(P3:P6)</f>
        <v>2240000</v>
      </c>
      <c r="R8" s="43"/>
      <c r="S8" s="73">
        <f>SUM(S3:S6)</f>
        <v>1290975</v>
      </c>
    </row>
    <row r="9" spans="1:19" x14ac:dyDescent="0.3">
      <c r="A9" s="43" t="s">
        <v>107</v>
      </c>
      <c r="B9" s="186">
        <v>590</v>
      </c>
      <c r="C9" s="191">
        <v>590</v>
      </c>
      <c r="D9" s="43"/>
      <c r="E9" s="43"/>
      <c r="F9" s="43"/>
      <c r="I9" s="110" t="s">
        <v>377</v>
      </c>
      <c r="J9" s="157">
        <v>4</v>
      </c>
      <c r="K9" s="157">
        <v>1376.72</v>
      </c>
      <c r="L9" s="194">
        <f t="shared" si="1"/>
        <v>5506.88</v>
      </c>
      <c r="N9" s="43"/>
      <c r="O9" s="43"/>
      <c r="P9" s="73"/>
      <c r="R9" s="43"/>
      <c r="S9" s="73"/>
    </row>
    <row r="10" spans="1:19" x14ac:dyDescent="0.3">
      <c r="A10" s="43" t="s">
        <v>446</v>
      </c>
      <c r="B10" s="186">
        <v>5000</v>
      </c>
      <c r="C10" s="191">
        <v>3500</v>
      </c>
      <c r="D10" s="43"/>
      <c r="E10" s="43" t="s">
        <v>442</v>
      </c>
      <c r="F10" s="73">
        <v>234.82</v>
      </c>
      <c r="I10" s="110" t="s">
        <v>387</v>
      </c>
      <c r="J10" s="157">
        <v>5</v>
      </c>
      <c r="K10" s="157">
        <v>936.51</v>
      </c>
      <c r="L10" s="194">
        <f t="shared" si="1"/>
        <v>4682.55</v>
      </c>
      <c r="N10" s="43"/>
      <c r="O10" s="43" t="s">
        <v>339</v>
      </c>
      <c r="P10" s="134">
        <v>500000</v>
      </c>
      <c r="S10" s="30"/>
    </row>
    <row r="11" spans="1:19" x14ac:dyDescent="0.3">
      <c r="A11" s="178" t="s">
        <v>414</v>
      </c>
      <c r="B11" s="187">
        <v>41452</v>
      </c>
      <c r="C11" s="191">
        <v>41542</v>
      </c>
      <c r="D11" s="43" t="s">
        <v>451</v>
      </c>
      <c r="E11" s="43" t="s">
        <v>441</v>
      </c>
      <c r="F11" s="73">
        <v>1419.04</v>
      </c>
      <c r="I11" s="110" t="s">
        <v>380</v>
      </c>
      <c r="J11" s="157">
        <v>5</v>
      </c>
      <c r="K11" s="157">
        <v>959.34</v>
      </c>
      <c r="L11" s="194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</row>
    <row r="12" spans="1:19" x14ac:dyDescent="0.3">
      <c r="A12" s="186" t="s">
        <v>285</v>
      </c>
      <c r="B12" s="186">
        <v>2200</v>
      </c>
      <c r="C12" s="186"/>
      <c r="D12" s="43"/>
      <c r="E12" s="43" t="s">
        <v>443</v>
      </c>
      <c r="F12" s="73">
        <v>3500</v>
      </c>
      <c r="I12" s="110" t="s">
        <v>385</v>
      </c>
      <c r="J12" s="157">
        <v>50</v>
      </c>
      <c r="K12" s="157">
        <v>43.35</v>
      </c>
      <c r="L12" s="194">
        <f t="shared" si="1"/>
        <v>2167.5</v>
      </c>
      <c r="N12" s="43"/>
      <c r="O12" s="43" t="s">
        <v>6</v>
      </c>
      <c r="P12" s="134">
        <v>50000</v>
      </c>
    </row>
    <row r="13" spans="1:19" x14ac:dyDescent="0.3">
      <c r="A13" s="186" t="s">
        <v>474</v>
      </c>
      <c r="B13" s="186">
        <v>25000</v>
      </c>
      <c r="C13" s="186"/>
      <c r="D13" s="43"/>
      <c r="E13" s="43" t="s">
        <v>455</v>
      </c>
      <c r="F13" s="73">
        <v>8000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</row>
    <row r="14" spans="1:19" ht="15" thickBot="1" x14ac:dyDescent="0.35">
      <c r="A14" s="43" t="s">
        <v>461</v>
      </c>
      <c r="B14" s="187">
        <f>F23</f>
        <v>0</v>
      </c>
      <c r="C14" s="191">
        <f>F23</f>
        <v>0</v>
      </c>
      <c r="D14" s="186"/>
      <c r="E14" s="43" t="s">
        <v>456</v>
      </c>
      <c r="F14" s="73">
        <v>1000</v>
      </c>
      <c r="I14" s="169" t="s">
        <v>447</v>
      </c>
      <c r="J14" s="173">
        <v>4</v>
      </c>
      <c r="K14" s="173">
        <v>507.02</v>
      </c>
      <c r="L14" s="195">
        <f t="shared" si="1"/>
        <v>2028.08</v>
      </c>
      <c r="N14" s="43"/>
      <c r="O14" s="43" t="s">
        <v>408</v>
      </c>
      <c r="P14" s="134">
        <v>10000</v>
      </c>
    </row>
    <row r="15" spans="1:19" x14ac:dyDescent="0.3">
      <c r="A15" s="43" t="s">
        <v>466</v>
      </c>
      <c r="B15" s="186"/>
      <c r="C15" s="73"/>
      <c r="D15" s="43"/>
      <c r="E15" s="43" t="s">
        <v>457</v>
      </c>
      <c r="F15" s="73">
        <v>5074</v>
      </c>
      <c r="L15" s="193">
        <f>SUM(L4:L14)</f>
        <v>72210.990000000005</v>
      </c>
      <c r="N15" s="43"/>
      <c r="O15" s="43"/>
      <c r="P15" s="134">
        <f>SUM(P10:P14)</f>
        <v>815000</v>
      </c>
    </row>
    <row r="16" spans="1:19" x14ac:dyDescent="0.3">
      <c r="A16" s="178" t="s">
        <v>85</v>
      </c>
      <c r="B16" s="186">
        <v>25000</v>
      </c>
      <c r="C16" s="191">
        <v>25000</v>
      </c>
      <c r="D16" s="43"/>
      <c r="E16" s="43" t="s">
        <v>458</v>
      </c>
      <c r="F16" s="73">
        <v>113280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</row>
    <row r="17" spans="1:19" x14ac:dyDescent="0.3">
      <c r="A17" s="115" t="s">
        <v>431</v>
      </c>
      <c r="B17" s="188"/>
      <c r="C17" s="186"/>
      <c r="D17" s="186">
        <v>21000</v>
      </c>
      <c r="E17" s="43" t="s">
        <v>459</v>
      </c>
      <c r="F17" s="73">
        <v>750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19" ht="15" thickBot="1" x14ac:dyDescent="0.35">
      <c r="A18" s="43"/>
      <c r="B18" s="43"/>
      <c r="C18" s="186"/>
      <c r="D18" s="72"/>
      <c r="E18" s="43" t="s">
        <v>463</v>
      </c>
      <c r="F18" s="73">
        <v>1000</v>
      </c>
      <c r="G18" s="167" t="s">
        <v>109</v>
      </c>
      <c r="H18" s="116">
        <v>18195</v>
      </c>
      <c r="I18" s="113">
        <v>44958</v>
      </c>
      <c r="N18" s="43"/>
      <c r="O18" s="43"/>
      <c r="R18" t="s">
        <v>412</v>
      </c>
      <c r="S18" s="73">
        <v>93000</v>
      </c>
    </row>
    <row r="19" spans="1:19" ht="15" thickBot="1" x14ac:dyDescent="0.35">
      <c r="A19" s="123" t="s">
        <v>81</v>
      </c>
      <c r="B19" s="189">
        <v>50000</v>
      </c>
      <c r="C19" s="186"/>
      <c r="D19" s="72"/>
      <c r="E19" s="43" t="s">
        <v>464</v>
      </c>
      <c r="F19" s="73">
        <v>700</v>
      </c>
      <c r="G19" s="181" t="s">
        <v>268</v>
      </c>
      <c r="H19" s="112">
        <v>10526</v>
      </c>
      <c r="I19" s="113">
        <v>44958</v>
      </c>
      <c r="N19" s="43"/>
      <c r="O19" s="104" t="s">
        <v>410</v>
      </c>
      <c r="P19" s="177">
        <f>(P17-P16)</f>
        <v>-151000</v>
      </c>
      <c r="S19" s="73">
        <f>SUM(S17:S18)</f>
        <v>147000</v>
      </c>
    </row>
    <row r="20" spans="1:19" x14ac:dyDescent="0.3">
      <c r="A20" s="123" t="s">
        <v>123</v>
      </c>
      <c r="B20" s="189">
        <v>70000</v>
      </c>
      <c r="C20" s="186"/>
      <c r="D20" s="72"/>
      <c r="E20" s="43" t="s">
        <v>465</v>
      </c>
      <c r="F20" s="73">
        <v>2000</v>
      </c>
      <c r="G20" s="80" t="s">
        <v>298</v>
      </c>
      <c r="H20" s="80">
        <v>5000</v>
      </c>
      <c r="I20" s="113">
        <v>44896</v>
      </c>
      <c r="N20" s="43"/>
      <c r="O20" s="43"/>
      <c r="P20" s="89"/>
      <c r="R20" t="s">
        <v>411</v>
      </c>
      <c r="S20" s="73">
        <v>90000</v>
      </c>
    </row>
    <row r="21" spans="1:19" x14ac:dyDescent="0.3">
      <c r="A21" s="116" t="s">
        <v>454</v>
      </c>
      <c r="B21" s="190">
        <v>5000</v>
      </c>
      <c r="C21" s="197"/>
      <c r="D21" s="43"/>
      <c r="E21" s="43" t="s">
        <v>462</v>
      </c>
      <c r="F21" s="73">
        <v>5000</v>
      </c>
      <c r="G21" s="80" t="s">
        <v>256</v>
      </c>
      <c r="H21" s="80">
        <v>7600</v>
      </c>
      <c r="I21" s="113">
        <v>44932</v>
      </c>
      <c r="S21" s="73">
        <f>(S19-S20)</f>
        <v>57000</v>
      </c>
    </row>
    <row r="22" spans="1:19" x14ac:dyDescent="0.3">
      <c r="A22" s="116" t="s">
        <v>203</v>
      </c>
      <c r="B22" s="190">
        <v>6000</v>
      </c>
      <c r="C22" s="186"/>
      <c r="D22" s="145"/>
      <c r="E22" s="43" t="s">
        <v>467</v>
      </c>
      <c r="F22" s="73">
        <v>6700</v>
      </c>
      <c r="G22" s="115" t="s">
        <v>431</v>
      </c>
      <c r="H22" s="116">
        <v>20481</v>
      </c>
      <c r="I22" s="113">
        <v>44905</v>
      </c>
      <c r="R22" s="65"/>
      <c r="S22" s="73"/>
    </row>
    <row r="23" spans="1:19" x14ac:dyDescent="0.3">
      <c r="A23" s="115" t="s">
        <v>381</v>
      </c>
      <c r="B23" s="190">
        <v>20000</v>
      </c>
      <c r="C23" s="186"/>
      <c r="D23" s="43"/>
      <c r="E23" s="43" t="s">
        <v>468</v>
      </c>
      <c r="F23" s="73">
        <f>'September 23'!K18</f>
        <v>0</v>
      </c>
      <c r="G23" s="115"/>
      <c r="H23" s="116"/>
      <c r="I23" s="113"/>
      <c r="R23" t="s">
        <v>142</v>
      </c>
      <c r="S23" s="73">
        <v>200000</v>
      </c>
    </row>
    <row r="24" spans="1:19" x14ac:dyDescent="0.3">
      <c r="A24" s="64" t="s">
        <v>5</v>
      </c>
      <c r="B24" s="186">
        <f>SUM(B1:B17)</f>
        <v>208728</v>
      </c>
      <c r="C24" s="186">
        <f>SUM(C1:C17)</f>
        <v>180118</v>
      </c>
      <c r="D24" s="72"/>
      <c r="E24" s="43" t="s">
        <v>469</v>
      </c>
      <c r="F24" s="73">
        <v>51800</v>
      </c>
      <c r="G24" s="124"/>
      <c r="H24" s="118"/>
      <c r="I24" s="113"/>
      <c r="R24" t="s">
        <v>206</v>
      </c>
      <c r="S24" s="73">
        <f>(S21+S23)</f>
        <v>257000</v>
      </c>
    </row>
    <row r="25" spans="1:19" x14ac:dyDescent="0.3">
      <c r="A25" s="43"/>
      <c r="B25" s="43"/>
      <c r="C25" s="43"/>
      <c r="D25" s="72"/>
      <c r="E25" s="178" t="s">
        <v>470</v>
      </c>
      <c r="F25" s="179">
        <v>22000</v>
      </c>
      <c r="G25" s="43"/>
      <c r="H25" s="106"/>
      <c r="I25" s="114"/>
      <c r="K25" s="183"/>
      <c r="O25">
        <v>176000</v>
      </c>
      <c r="S25" s="73"/>
    </row>
    <row r="26" spans="1:19" x14ac:dyDescent="0.3">
      <c r="A26" s="64" t="s">
        <v>228</v>
      </c>
      <c r="B26" s="43"/>
      <c r="C26" s="62">
        <f>(C24-B24)</f>
        <v>-28610</v>
      </c>
      <c r="D26" s="43" t="s">
        <v>227</v>
      </c>
      <c r="E26" s="43" t="s">
        <v>471</v>
      </c>
      <c r="F26" s="73">
        <v>11500</v>
      </c>
      <c r="K26" s="30"/>
      <c r="O26">
        <v>152000</v>
      </c>
      <c r="R26" t="s">
        <v>413</v>
      </c>
      <c r="S26" s="73">
        <v>260000</v>
      </c>
    </row>
    <row r="27" spans="1:19" x14ac:dyDescent="0.3">
      <c r="A27" s="64"/>
      <c r="B27" s="43"/>
      <c r="C27" s="43"/>
      <c r="D27" s="43"/>
      <c r="E27" s="43" t="s">
        <v>472</v>
      </c>
      <c r="F27" s="73">
        <v>26000</v>
      </c>
      <c r="O27">
        <f>O25-O26</f>
        <v>24000</v>
      </c>
      <c r="S27" s="30">
        <f>(S26-S24)</f>
        <v>3000</v>
      </c>
    </row>
    <row r="28" spans="1:19" x14ac:dyDescent="0.3">
      <c r="A28" s="64" t="s">
        <v>225</v>
      </c>
      <c r="B28" s="43"/>
      <c r="C28" s="62">
        <f>(F6+C26)</f>
        <v>-24004</v>
      </c>
      <c r="D28" s="43"/>
    </row>
    <row r="29" spans="1:19" x14ac:dyDescent="0.3">
      <c r="F29" s="73">
        <f>SUM(F10:F27)</f>
        <v>259957.86</v>
      </c>
    </row>
  </sheetData>
  <mergeCells count="3">
    <mergeCell ref="E1:F1"/>
    <mergeCell ref="I1:L1"/>
    <mergeCell ref="J4:L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1BF27-14C8-44A2-8B75-B0F28BDAAE0E}">
  <dimension ref="A1:S29"/>
  <sheetViews>
    <sheetView topLeftCell="A4" workbookViewId="0">
      <selection activeCell="E12" sqref="E12"/>
    </sheetView>
  </sheetViews>
  <sheetFormatPr defaultRowHeight="14.4" x14ac:dyDescent="0.3"/>
  <cols>
    <col min="1" max="1" width="17.5546875" bestFit="1" customWidth="1"/>
    <col min="2" max="2" width="9.6640625" bestFit="1" customWidth="1"/>
    <col min="3" max="3" width="11.109375" bestFit="1" customWidth="1"/>
    <col min="4" max="4" width="13.33203125" bestFit="1" customWidth="1"/>
    <col min="5" max="5" width="15.88671875" bestFit="1" customWidth="1"/>
    <col min="6" max="6" width="10.44140625" bestFit="1" customWidth="1"/>
    <col min="7" max="7" width="17.33203125" bestFit="1" customWidth="1"/>
    <col min="8" max="8" width="8.109375" bestFit="1" customWidth="1"/>
    <col min="9" max="9" width="14" bestFit="1" customWidth="1"/>
    <col min="10" max="10" width="4" bestFit="1" customWidth="1"/>
    <col min="11" max="12" width="8" bestFit="1" customWidth="1"/>
    <col min="13" max="13" width="7.33203125" bestFit="1" customWidth="1"/>
    <col min="14" max="14" width="7" bestFit="1" customWidth="1"/>
    <col min="15" max="15" width="12.5546875" bestFit="1" customWidth="1"/>
    <col min="17" max="17" width="7.88671875" bestFit="1" customWidth="1"/>
    <col min="18" max="18" width="11.33203125" bestFit="1" customWidth="1"/>
  </cols>
  <sheetData>
    <row r="1" spans="1:19" x14ac:dyDescent="0.3">
      <c r="A1" s="43" t="s">
        <v>6</v>
      </c>
      <c r="B1" s="186">
        <v>30000</v>
      </c>
      <c r="C1" s="191">
        <v>30000</v>
      </c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</row>
    <row r="2" spans="1:19" x14ac:dyDescent="0.3">
      <c r="A2" s="43" t="s">
        <v>0</v>
      </c>
      <c r="B2" s="186">
        <v>20000</v>
      </c>
      <c r="C2" s="191">
        <v>15700</v>
      </c>
      <c r="D2" s="186"/>
      <c r="E2" s="43"/>
      <c r="F2" s="73"/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19" x14ac:dyDescent="0.3">
      <c r="A3" s="43" t="s">
        <v>1</v>
      </c>
      <c r="B3" s="186">
        <v>5000</v>
      </c>
      <c r="C3" s="191">
        <v>5000</v>
      </c>
      <c r="D3" s="43"/>
      <c r="E3" s="43" t="s">
        <v>265</v>
      </c>
      <c r="F3" s="73">
        <v>36</v>
      </c>
      <c r="G3" s="73"/>
      <c r="H3" s="30"/>
      <c r="I3" s="110" t="s">
        <v>382</v>
      </c>
      <c r="J3" s="157">
        <v>10</v>
      </c>
      <c r="K3" s="157">
        <v>999</v>
      </c>
      <c r="L3" s="194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</row>
    <row r="4" spans="1:19" x14ac:dyDescent="0.3">
      <c r="A4" s="43" t="s">
        <v>2</v>
      </c>
      <c r="B4" s="186">
        <v>2000</v>
      </c>
      <c r="C4" s="191">
        <v>2000</v>
      </c>
      <c r="D4" s="43"/>
      <c r="E4" s="43" t="s">
        <v>204</v>
      </c>
      <c r="F4" s="73">
        <v>54</v>
      </c>
      <c r="G4" s="73"/>
      <c r="I4" s="110" t="s">
        <v>379</v>
      </c>
      <c r="J4" s="284" t="s">
        <v>473</v>
      </c>
      <c r="K4" s="285"/>
      <c r="L4" s="286"/>
      <c r="M4" s="192">
        <v>44682</v>
      </c>
      <c r="N4" s="43"/>
      <c r="O4" s="43"/>
      <c r="P4" s="73"/>
      <c r="R4" s="43"/>
      <c r="S4" s="73"/>
    </row>
    <row r="5" spans="1:19" x14ac:dyDescent="0.3">
      <c r="A5" s="43" t="s">
        <v>89</v>
      </c>
      <c r="B5" s="186">
        <v>33953</v>
      </c>
      <c r="C5" s="191">
        <v>33953</v>
      </c>
      <c r="D5" s="43" t="s">
        <v>450</v>
      </c>
      <c r="E5" s="43" t="s">
        <v>205</v>
      </c>
      <c r="F5" s="73">
        <v>306</v>
      </c>
      <c r="I5" s="110" t="s">
        <v>19</v>
      </c>
      <c r="J5" s="157">
        <v>22</v>
      </c>
      <c r="K5" s="157">
        <v>1321.63</v>
      </c>
      <c r="L5" s="194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</row>
    <row r="6" spans="1:19" x14ac:dyDescent="0.3">
      <c r="A6" s="43" t="s">
        <v>3</v>
      </c>
      <c r="B6" s="186">
        <v>1710</v>
      </c>
      <c r="C6" s="191">
        <v>1710</v>
      </c>
      <c r="D6" s="43"/>
      <c r="E6" s="43" t="s">
        <v>6</v>
      </c>
      <c r="F6" s="73">
        <f>SUM(F4:F5)</f>
        <v>360</v>
      </c>
      <c r="I6" s="110" t="s">
        <v>362</v>
      </c>
      <c r="J6" s="157">
        <v>6</v>
      </c>
      <c r="K6" s="157">
        <v>1918.68</v>
      </c>
      <c r="L6" s="194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</row>
    <row r="7" spans="1:19" x14ac:dyDescent="0.3">
      <c r="A7" s="43" t="s">
        <v>9</v>
      </c>
      <c r="B7" s="186">
        <v>913</v>
      </c>
      <c r="C7" s="191">
        <v>913</v>
      </c>
      <c r="D7" s="43"/>
      <c r="E7" s="43" t="s">
        <v>404</v>
      </c>
      <c r="F7" s="44">
        <f>B24</f>
        <v>222114</v>
      </c>
      <c r="I7" s="110" t="s">
        <v>363</v>
      </c>
      <c r="J7" s="157">
        <v>5</v>
      </c>
      <c r="K7" s="157">
        <v>1049.19</v>
      </c>
      <c r="L7" s="194">
        <f t="shared" si="1"/>
        <v>5245.9500000000007</v>
      </c>
      <c r="M7" s="192">
        <v>45108</v>
      </c>
      <c r="N7" s="43"/>
      <c r="O7" s="43"/>
      <c r="P7" s="73"/>
      <c r="R7" s="43"/>
      <c r="S7" s="73"/>
    </row>
    <row r="8" spans="1:19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7">
        <v>11</v>
      </c>
      <c r="K8" s="157">
        <v>470.99</v>
      </c>
      <c r="L8" s="194">
        <f t="shared" si="1"/>
        <v>5180.8900000000003</v>
      </c>
      <c r="M8" s="192">
        <v>45108</v>
      </c>
      <c r="N8" s="43"/>
      <c r="O8" s="43"/>
      <c r="P8" s="108">
        <f>SUM(P3:P6)</f>
        <v>2240000</v>
      </c>
      <c r="R8" s="43"/>
      <c r="S8" s="73">
        <f>SUM(S3:S6)</f>
        <v>1290975</v>
      </c>
    </row>
    <row r="9" spans="1:19" x14ac:dyDescent="0.3">
      <c r="A9" s="43" t="s">
        <v>107</v>
      </c>
      <c r="B9" s="186">
        <v>590</v>
      </c>
      <c r="C9" s="191">
        <v>590</v>
      </c>
      <c r="D9" s="43"/>
      <c r="E9" s="43"/>
      <c r="F9" s="43"/>
      <c r="I9" s="110" t="s">
        <v>377</v>
      </c>
      <c r="J9" s="157">
        <v>4</v>
      </c>
      <c r="K9" s="157">
        <v>1376.72</v>
      </c>
      <c r="L9" s="194">
        <f t="shared" si="1"/>
        <v>5506.88</v>
      </c>
      <c r="N9" s="43"/>
      <c r="O9" s="43"/>
      <c r="P9" s="73"/>
      <c r="R9" s="43"/>
      <c r="S9" s="73"/>
    </row>
    <row r="10" spans="1:19" x14ac:dyDescent="0.3">
      <c r="A10" s="43" t="s">
        <v>446</v>
      </c>
      <c r="B10" s="186">
        <v>8000</v>
      </c>
      <c r="C10" s="191">
        <v>8000</v>
      </c>
      <c r="D10" s="43"/>
      <c r="E10" s="43" t="s">
        <v>442</v>
      </c>
      <c r="F10" s="73">
        <v>234.82</v>
      </c>
      <c r="I10" s="110" t="s">
        <v>387</v>
      </c>
      <c r="J10" s="157">
        <v>5</v>
      </c>
      <c r="K10" s="157">
        <v>936.51</v>
      </c>
      <c r="L10" s="194">
        <f t="shared" si="1"/>
        <v>4682.55</v>
      </c>
      <c r="M10" s="192">
        <v>45108</v>
      </c>
      <c r="N10" s="43"/>
      <c r="O10" s="43" t="s">
        <v>339</v>
      </c>
      <c r="P10" s="134">
        <v>500000</v>
      </c>
      <c r="S10" s="30"/>
    </row>
    <row r="11" spans="1:19" x14ac:dyDescent="0.3">
      <c r="A11" s="178" t="s">
        <v>414</v>
      </c>
      <c r="B11" s="187">
        <v>41452</v>
      </c>
      <c r="C11" s="191">
        <v>42452</v>
      </c>
      <c r="D11" s="43" t="s">
        <v>451</v>
      </c>
      <c r="E11" s="43" t="s">
        <v>441</v>
      </c>
      <c r="F11" s="73">
        <v>1419.04</v>
      </c>
      <c r="I11" s="110" t="s">
        <v>380</v>
      </c>
      <c r="J11" s="157">
        <v>5</v>
      </c>
      <c r="K11" s="157">
        <v>959.34</v>
      </c>
      <c r="L11" s="194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</row>
    <row r="12" spans="1:19" x14ac:dyDescent="0.3">
      <c r="A12" s="186" t="s">
        <v>285</v>
      </c>
      <c r="B12" s="186">
        <v>2677</v>
      </c>
      <c r="C12" s="191">
        <v>2677</v>
      </c>
      <c r="D12" s="43"/>
      <c r="E12" s="43" t="s">
        <v>443</v>
      </c>
      <c r="F12" s="73">
        <v>3500</v>
      </c>
      <c r="I12" s="110" t="s">
        <v>385</v>
      </c>
      <c r="J12" s="157">
        <v>50</v>
      </c>
      <c r="K12" s="157">
        <v>43.35</v>
      </c>
      <c r="L12" s="194">
        <f t="shared" si="1"/>
        <v>2167.5</v>
      </c>
      <c r="N12" s="43"/>
      <c r="O12" s="43" t="s">
        <v>6</v>
      </c>
      <c r="P12" s="134">
        <v>50000</v>
      </c>
    </row>
    <row r="13" spans="1:19" x14ac:dyDescent="0.3">
      <c r="A13" s="186" t="s">
        <v>373</v>
      </c>
      <c r="B13" s="186">
        <v>1800</v>
      </c>
      <c r="C13" s="191">
        <v>1800</v>
      </c>
      <c r="D13" s="43"/>
      <c r="E13" s="43" t="s">
        <v>455</v>
      </c>
      <c r="F13" s="73">
        <v>8000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</row>
    <row r="14" spans="1:19" ht="15" thickBot="1" x14ac:dyDescent="0.35">
      <c r="A14" s="43" t="s">
        <v>461</v>
      </c>
      <c r="B14" s="187"/>
      <c r="C14" s="186"/>
      <c r="D14" s="186"/>
      <c r="E14" s="43" t="s">
        <v>456</v>
      </c>
      <c r="F14" s="73">
        <v>1000</v>
      </c>
      <c r="I14" s="169" t="s">
        <v>447</v>
      </c>
      <c r="J14" s="173">
        <v>4</v>
      </c>
      <c r="K14" s="173">
        <v>507.02</v>
      </c>
      <c r="L14" s="195">
        <f t="shared" si="1"/>
        <v>2028.08</v>
      </c>
      <c r="N14" s="43"/>
      <c r="O14" s="43" t="s">
        <v>408</v>
      </c>
      <c r="P14" s="134">
        <v>10000</v>
      </c>
    </row>
    <row r="15" spans="1:19" x14ac:dyDescent="0.3">
      <c r="A15" s="43" t="s">
        <v>476</v>
      </c>
      <c r="B15" s="186">
        <v>41600</v>
      </c>
      <c r="C15" s="191">
        <v>41600</v>
      </c>
      <c r="D15" s="43"/>
      <c r="E15" s="43" t="s">
        <v>457</v>
      </c>
      <c r="F15" s="73">
        <v>5074</v>
      </c>
      <c r="L15" s="193">
        <f>SUM(L4:L14)</f>
        <v>72210.990000000005</v>
      </c>
      <c r="N15" s="43"/>
      <c r="O15" s="43"/>
      <c r="P15" s="134">
        <f>SUM(P10:P14)</f>
        <v>815000</v>
      </c>
    </row>
    <row r="16" spans="1:19" x14ac:dyDescent="0.3">
      <c r="A16" s="178" t="s">
        <v>431</v>
      </c>
      <c r="B16" s="186"/>
      <c r="C16" s="186"/>
      <c r="D16" s="43"/>
      <c r="E16" s="43" t="s">
        <v>458</v>
      </c>
      <c r="F16" s="73">
        <v>113280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</row>
    <row r="17" spans="1:19" x14ac:dyDescent="0.3">
      <c r="A17" s="115" t="s">
        <v>431</v>
      </c>
      <c r="B17" s="188">
        <v>21000</v>
      </c>
      <c r="C17" s="188">
        <v>21000</v>
      </c>
      <c r="D17" s="186">
        <v>21000</v>
      </c>
      <c r="E17" s="43" t="s">
        <v>459</v>
      </c>
      <c r="F17" s="73">
        <v>750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19" ht="15" thickBot="1" x14ac:dyDescent="0.35">
      <c r="A18" s="43"/>
      <c r="B18" s="43"/>
      <c r="C18" s="186"/>
      <c r="D18" s="72"/>
      <c r="E18" s="43" t="s">
        <v>463</v>
      </c>
      <c r="F18" s="73">
        <v>1000</v>
      </c>
      <c r="G18" s="167" t="s">
        <v>109</v>
      </c>
      <c r="H18" s="116">
        <v>18195</v>
      </c>
      <c r="I18" s="113">
        <v>44958</v>
      </c>
      <c r="N18" s="43"/>
      <c r="O18" s="43"/>
      <c r="R18" t="s">
        <v>412</v>
      </c>
      <c r="S18" s="73">
        <v>93000</v>
      </c>
    </row>
    <row r="19" spans="1:19" ht="15" thickBot="1" x14ac:dyDescent="0.35">
      <c r="A19" s="123" t="s">
        <v>81</v>
      </c>
      <c r="B19" s="189">
        <v>50000</v>
      </c>
      <c r="C19" s="186"/>
      <c r="D19" s="72"/>
      <c r="E19" s="43" t="s">
        <v>464</v>
      </c>
      <c r="F19" s="73">
        <v>700</v>
      </c>
      <c r="G19" s="181" t="s">
        <v>268</v>
      </c>
      <c r="H19" s="112">
        <v>10526</v>
      </c>
      <c r="I19" s="113">
        <v>44958</v>
      </c>
      <c r="N19" s="43"/>
      <c r="O19" s="104" t="s">
        <v>410</v>
      </c>
      <c r="P19" s="177">
        <f>(P17-P16)</f>
        <v>-151000</v>
      </c>
      <c r="S19" s="73">
        <f>SUM(S17:S18)</f>
        <v>147000</v>
      </c>
    </row>
    <row r="20" spans="1:19" x14ac:dyDescent="0.3">
      <c r="A20" s="123" t="s">
        <v>123</v>
      </c>
      <c r="B20" s="123">
        <v>70000</v>
      </c>
      <c r="C20" s="186"/>
      <c r="D20" s="72"/>
      <c r="E20" s="43" t="s">
        <v>465</v>
      </c>
      <c r="F20" s="73">
        <v>2000</v>
      </c>
      <c r="G20" s="80" t="s">
        <v>298</v>
      </c>
      <c r="H20" s="80">
        <v>5000</v>
      </c>
      <c r="I20" s="113">
        <v>44896</v>
      </c>
      <c r="N20" s="43"/>
      <c r="O20" s="43"/>
      <c r="P20" s="89"/>
      <c r="R20" t="s">
        <v>411</v>
      </c>
      <c r="S20" s="73">
        <v>90000</v>
      </c>
    </row>
    <row r="21" spans="1:19" x14ac:dyDescent="0.3">
      <c r="A21" s="123" t="s">
        <v>475</v>
      </c>
      <c r="B21" s="123">
        <v>200000</v>
      </c>
      <c r="C21" s="197"/>
      <c r="D21" s="43"/>
      <c r="E21" s="43" t="s">
        <v>462</v>
      </c>
      <c r="F21" s="73">
        <v>5000</v>
      </c>
      <c r="G21" s="80" t="s">
        <v>256</v>
      </c>
      <c r="H21" s="80">
        <v>7600</v>
      </c>
      <c r="I21" s="113">
        <v>44932</v>
      </c>
      <c r="S21" s="73">
        <f>(S19-S20)</f>
        <v>57000</v>
      </c>
    </row>
    <row r="22" spans="1:19" x14ac:dyDescent="0.3">
      <c r="A22" s="116" t="s">
        <v>203</v>
      </c>
      <c r="B22" s="190">
        <v>6000</v>
      </c>
      <c r="C22" s="186"/>
      <c r="D22" s="145"/>
      <c r="E22" s="43" t="s">
        <v>467</v>
      </c>
      <c r="F22" s="73">
        <v>6700</v>
      </c>
      <c r="G22" s="115" t="s">
        <v>431</v>
      </c>
      <c r="H22" s="116">
        <v>20481</v>
      </c>
      <c r="I22" s="113">
        <v>44905</v>
      </c>
      <c r="R22" s="65"/>
      <c r="S22" s="73"/>
    </row>
    <row r="23" spans="1:19" x14ac:dyDescent="0.3">
      <c r="A23" s="115" t="s">
        <v>381</v>
      </c>
      <c r="B23" s="190">
        <v>20000</v>
      </c>
      <c r="C23" s="186"/>
      <c r="D23" s="43"/>
      <c r="E23" s="43" t="s">
        <v>468</v>
      </c>
      <c r="F23" s="73">
        <f>'September 23'!K18</f>
        <v>0</v>
      </c>
      <c r="G23" s="115"/>
      <c r="H23" s="116"/>
      <c r="I23" s="113"/>
      <c r="R23" t="s">
        <v>142</v>
      </c>
      <c r="S23" s="73">
        <v>200000</v>
      </c>
    </row>
    <row r="24" spans="1:19" x14ac:dyDescent="0.3">
      <c r="A24" s="64" t="s">
        <v>5</v>
      </c>
      <c r="B24" s="186">
        <f>SUM(B1:B17)</f>
        <v>222114</v>
      </c>
      <c r="C24" s="186">
        <f>SUM(C1:C17)</f>
        <v>218814</v>
      </c>
      <c r="D24" s="72"/>
      <c r="E24" s="43" t="s">
        <v>469</v>
      </c>
      <c r="F24" s="73">
        <v>51800</v>
      </c>
      <c r="G24" s="124"/>
      <c r="H24" s="118"/>
      <c r="I24" s="113"/>
      <c r="R24" t="s">
        <v>206</v>
      </c>
      <c r="S24" s="73">
        <f>(S21+S23)</f>
        <v>257000</v>
      </c>
    </row>
    <row r="25" spans="1:19" x14ac:dyDescent="0.3">
      <c r="A25" s="43"/>
      <c r="B25" s="43"/>
      <c r="C25" s="43"/>
      <c r="D25" s="72"/>
      <c r="E25" s="178" t="s">
        <v>470</v>
      </c>
      <c r="F25" s="179">
        <v>22000</v>
      </c>
      <c r="G25" s="43"/>
      <c r="H25" s="106"/>
      <c r="I25" s="114"/>
      <c r="K25" s="183"/>
      <c r="O25">
        <v>176000</v>
      </c>
      <c r="S25" s="73"/>
    </row>
    <row r="26" spans="1:19" x14ac:dyDescent="0.3">
      <c r="A26" s="64" t="s">
        <v>228</v>
      </c>
      <c r="B26" s="43"/>
      <c r="C26" s="62">
        <f>(C24-B24)</f>
        <v>-3300</v>
      </c>
      <c r="D26" s="43" t="s">
        <v>227</v>
      </c>
      <c r="E26" s="43" t="s">
        <v>471</v>
      </c>
      <c r="F26" s="73">
        <v>11500</v>
      </c>
      <c r="K26" s="30"/>
      <c r="O26">
        <v>152000</v>
      </c>
      <c r="R26" t="s">
        <v>413</v>
      </c>
      <c r="S26" s="73">
        <v>260000</v>
      </c>
    </row>
    <row r="27" spans="1:19" x14ac:dyDescent="0.3">
      <c r="A27" s="64"/>
      <c r="B27" s="43"/>
      <c r="C27" s="43"/>
      <c r="D27" s="43"/>
      <c r="E27" s="43" t="s">
        <v>472</v>
      </c>
      <c r="F27" s="73">
        <v>26000</v>
      </c>
      <c r="O27">
        <f>O25-O26</f>
        <v>24000</v>
      </c>
      <c r="S27" s="30">
        <f>(S26-S24)</f>
        <v>3000</v>
      </c>
    </row>
    <row r="28" spans="1:19" x14ac:dyDescent="0.3">
      <c r="A28" s="64" t="s">
        <v>225</v>
      </c>
      <c r="B28" s="43"/>
      <c r="C28" s="62">
        <f>(F6+C26)</f>
        <v>-2940</v>
      </c>
      <c r="D28" s="43"/>
      <c r="E28" s="43" t="s">
        <v>476</v>
      </c>
      <c r="F28" s="186">
        <v>41600</v>
      </c>
    </row>
    <row r="29" spans="1:19" x14ac:dyDescent="0.3">
      <c r="F29" s="73">
        <f>SUM(F10:F28)</f>
        <v>301557.86</v>
      </c>
    </row>
  </sheetData>
  <mergeCells count="3">
    <mergeCell ref="E1:F1"/>
    <mergeCell ref="I1:L1"/>
    <mergeCell ref="J4:L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306D-CD5F-4FD2-808B-B19F4AE478C8}">
  <dimension ref="A1:S29"/>
  <sheetViews>
    <sheetView workbookViewId="0">
      <selection activeCell="E8" sqref="E8"/>
    </sheetView>
  </sheetViews>
  <sheetFormatPr defaultRowHeight="14.4" x14ac:dyDescent="0.3"/>
  <cols>
    <col min="1" max="1" width="17.5546875" bestFit="1" customWidth="1"/>
    <col min="2" max="2" width="9.6640625" bestFit="1" customWidth="1"/>
    <col min="3" max="3" width="11.109375" bestFit="1" customWidth="1"/>
    <col min="4" max="4" width="13.33203125" bestFit="1" customWidth="1"/>
    <col min="5" max="5" width="15.88671875" bestFit="1" customWidth="1"/>
    <col min="6" max="6" width="10.44140625" bestFit="1" customWidth="1"/>
    <col min="7" max="7" width="17.33203125" bestFit="1" customWidth="1"/>
    <col min="8" max="8" width="8.109375" bestFit="1" customWidth="1"/>
    <col min="9" max="9" width="14" bestFit="1" customWidth="1"/>
    <col min="10" max="10" width="4" bestFit="1" customWidth="1"/>
    <col min="11" max="12" width="8" bestFit="1" customWidth="1"/>
    <col min="13" max="13" width="7.33203125" bestFit="1" customWidth="1"/>
    <col min="14" max="14" width="7" bestFit="1" customWidth="1"/>
    <col min="15" max="15" width="12.5546875" bestFit="1" customWidth="1"/>
    <col min="17" max="17" width="7.88671875" bestFit="1" customWidth="1"/>
    <col min="18" max="18" width="11.33203125" bestFit="1" customWidth="1"/>
  </cols>
  <sheetData>
    <row r="1" spans="1:19" x14ac:dyDescent="0.3">
      <c r="A1" s="43" t="s">
        <v>6</v>
      </c>
      <c r="B1" s="186">
        <v>18000</v>
      </c>
      <c r="C1" s="191">
        <v>18000</v>
      </c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</row>
    <row r="2" spans="1:19" x14ac:dyDescent="0.3">
      <c r="A2" s="43" t="s">
        <v>0</v>
      </c>
      <c r="B2" s="186">
        <v>20000</v>
      </c>
      <c r="C2" s="191">
        <v>20000</v>
      </c>
      <c r="D2" s="186"/>
      <c r="E2" s="43"/>
      <c r="F2" s="73"/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19" x14ac:dyDescent="0.3">
      <c r="A3" s="43" t="s">
        <v>1</v>
      </c>
      <c r="B3" s="186">
        <v>5000</v>
      </c>
      <c r="C3" s="191">
        <v>5000</v>
      </c>
      <c r="D3" s="43"/>
      <c r="E3" s="43" t="s">
        <v>265</v>
      </c>
      <c r="F3" s="73">
        <v>36</v>
      </c>
      <c r="G3" s="73"/>
      <c r="H3" s="30"/>
      <c r="I3" s="110" t="s">
        <v>382</v>
      </c>
      <c r="J3" s="157">
        <v>10</v>
      </c>
      <c r="K3" s="157">
        <v>999</v>
      </c>
      <c r="L3" s="194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</row>
    <row r="4" spans="1:19" x14ac:dyDescent="0.3">
      <c r="A4" s="43" t="s">
        <v>2</v>
      </c>
      <c r="B4" s="186">
        <v>2000</v>
      </c>
      <c r="C4" s="191">
        <v>2000</v>
      </c>
      <c r="D4" s="43"/>
      <c r="E4" s="43" t="s">
        <v>204</v>
      </c>
      <c r="F4" s="73">
        <v>54</v>
      </c>
      <c r="G4" s="73"/>
      <c r="I4" s="110" t="s">
        <v>379</v>
      </c>
      <c r="J4" s="284" t="s">
        <v>473</v>
      </c>
      <c r="K4" s="285"/>
      <c r="L4" s="286"/>
      <c r="M4" s="192">
        <v>44682</v>
      </c>
      <c r="N4" s="43"/>
      <c r="O4" s="43"/>
      <c r="P4" s="73"/>
      <c r="R4" s="43"/>
      <c r="S4" s="73"/>
    </row>
    <row r="5" spans="1:19" x14ac:dyDescent="0.3">
      <c r="A5" s="43" t="s">
        <v>89</v>
      </c>
      <c r="B5" s="186">
        <v>33953</v>
      </c>
      <c r="C5" s="191">
        <v>33953</v>
      </c>
      <c r="D5" s="43" t="s">
        <v>450</v>
      </c>
      <c r="E5" s="43" t="s">
        <v>205</v>
      </c>
      <c r="F5" s="73">
        <v>306</v>
      </c>
      <c r="I5" s="110" t="s">
        <v>19</v>
      </c>
      <c r="J5" s="157">
        <v>22</v>
      </c>
      <c r="K5" s="157">
        <v>1321.63</v>
      </c>
      <c r="L5" s="194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</row>
    <row r="6" spans="1:19" x14ac:dyDescent="0.3">
      <c r="A6" s="43" t="s">
        <v>3</v>
      </c>
      <c r="B6" s="186">
        <v>1710</v>
      </c>
      <c r="C6" s="191">
        <v>1710</v>
      </c>
      <c r="D6" s="43"/>
      <c r="E6" s="43" t="s">
        <v>6</v>
      </c>
      <c r="F6" s="73">
        <f>SUM(F4:F5)</f>
        <v>360</v>
      </c>
      <c r="I6" s="110" t="s">
        <v>362</v>
      </c>
      <c r="J6" s="157">
        <v>6</v>
      </c>
      <c r="K6" s="157">
        <v>1918.68</v>
      </c>
      <c r="L6" s="194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</row>
    <row r="7" spans="1:19" x14ac:dyDescent="0.3">
      <c r="A7" s="43" t="s">
        <v>9</v>
      </c>
      <c r="B7" s="186">
        <v>913</v>
      </c>
      <c r="C7" s="191">
        <v>913</v>
      </c>
      <c r="D7" s="43"/>
      <c r="E7" s="43" t="s">
        <v>403</v>
      </c>
      <c r="F7" s="44">
        <f>B24</f>
        <v>208758</v>
      </c>
      <c r="I7" s="110" t="s">
        <v>363</v>
      </c>
      <c r="J7" s="157">
        <v>5</v>
      </c>
      <c r="K7" s="157">
        <v>1049.19</v>
      </c>
      <c r="L7" s="194">
        <f t="shared" si="1"/>
        <v>5245.9500000000007</v>
      </c>
      <c r="M7" s="192">
        <v>45108</v>
      </c>
      <c r="N7" s="43"/>
      <c r="O7" s="43"/>
      <c r="P7" s="73"/>
      <c r="R7" s="43"/>
      <c r="S7" s="73"/>
    </row>
    <row r="8" spans="1:19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7">
        <v>11</v>
      </c>
      <c r="K8" s="157">
        <v>470.99</v>
      </c>
      <c r="L8" s="194">
        <f t="shared" si="1"/>
        <v>5180.8900000000003</v>
      </c>
      <c r="M8" s="192">
        <v>45108</v>
      </c>
      <c r="N8" s="43"/>
      <c r="O8" s="43"/>
      <c r="P8" s="108">
        <f>SUM(P3:P6)</f>
        <v>2240000</v>
      </c>
      <c r="R8" s="43"/>
      <c r="S8" s="73">
        <f>SUM(S3:S6)</f>
        <v>1290975</v>
      </c>
    </row>
    <row r="9" spans="1:19" x14ac:dyDescent="0.3">
      <c r="A9" s="43" t="s">
        <v>107</v>
      </c>
      <c r="B9" s="186">
        <v>590</v>
      </c>
      <c r="C9" s="191">
        <v>590</v>
      </c>
      <c r="D9" s="43"/>
      <c r="E9" s="43"/>
      <c r="F9" s="43"/>
      <c r="I9" s="110" t="s">
        <v>377</v>
      </c>
      <c r="J9" s="157">
        <v>4</v>
      </c>
      <c r="K9" s="157">
        <v>1376.72</v>
      </c>
      <c r="L9" s="194">
        <f t="shared" si="1"/>
        <v>5506.88</v>
      </c>
      <c r="N9" s="43"/>
      <c r="O9" s="43"/>
      <c r="P9" s="73"/>
      <c r="R9" s="43"/>
      <c r="S9" s="73"/>
    </row>
    <row r="10" spans="1:19" x14ac:dyDescent="0.3">
      <c r="A10" s="43" t="s">
        <v>446</v>
      </c>
      <c r="B10" s="186">
        <v>8000</v>
      </c>
      <c r="C10" s="191">
        <v>8000</v>
      </c>
      <c r="D10" s="43"/>
      <c r="E10" s="43" t="s">
        <v>442</v>
      </c>
      <c r="F10" s="73">
        <v>234.82</v>
      </c>
      <c r="I10" s="110" t="s">
        <v>387</v>
      </c>
      <c r="J10" s="157">
        <v>5</v>
      </c>
      <c r="K10" s="157">
        <v>936.51</v>
      </c>
      <c r="L10" s="194">
        <f t="shared" si="1"/>
        <v>4682.55</v>
      </c>
      <c r="M10" s="192">
        <v>45108</v>
      </c>
      <c r="N10" s="43"/>
      <c r="O10" s="43" t="s">
        <v>339</v>
      </c>
      <c r="P10" s="134">
        <v>500000</v>
      </c>
      <c r="S10" s="30"/>
    </row>
    <row r="11" spans="1:19" x14ac:dyDescent="0.3">
      <c r="A11" s="178" t="s">
        <v>414</v>
      </c>
      <c r="B11" s="187">
        <v>41452</v>
      </c>
      <c r="C11" s="191">
        <v>42452</v>
      </c>
      <c r="D11" s="43" t="s">
        <v>451</v>
      </c>
      <c r="E11" s="43" t="s">
        <v>441</v>
      </c>
      <c r="F11" s="73">
        <v>1419.04</v>
      </c>
      <c r="I11" s="110" t="s">
        <v>380</v>
      </c>
      <c r="J11" s="157">
        <v>5</v>
      </c>
      <c r="K11" s="157">
        <v>959.34</v>
      </c>
      <c r="L11" s="194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</row>
    <row r="12" spans="1:19" x14ac:dyDescent="0.3">
      <c r="A12" s="186" t="s">
        <v>285</v>
      </c>
      <c r="B12" s="186">
        <v>4000</v>
      </c>
      <c r="C12" s="191">
        <v>3500</v>
      </c>
      <c r="D12" s="43"/>
      <c r="E12" s="43" t="s">
        <v>443</v>
      </c>
      <c r="F12" s="73">
        <v>3500</v>
      </c>
      <c r="I12" s="110" t="s">
        <v>385</v>
      </c>
      <c r="J12" s="157">
        <v>50</v>
      </c>
      <c r="K12" s="157">
        <v>43.35</v>
      </c>
      <c r="L12" s="194">
        <f t="shared" si="1"/>
        <v>2167.5</v>
      </c>
      <c r="N12" s="43"/>
      <c r="O12" s="43" t="s">
        <v>6</v>
      </c>
      <c r="P12" s="134">
        <v>50000</v>
      </c>
    </row>
    <row r="13" spans="1:19" x14ac:dyDescent="0.3">
      <c r="A13" s="186"/>
      <c r="B13" s="186"/>
      <c r="C13" s="191"/>
      <c r="D13" s="43"/>
      <c r="E13" s="43" t="s">
        <v>455</v>
      </c>
      <c r="F13" s="73">
        <v>8000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</row>
    <row r="14" spans="1:19" ht="15" thickBot="1" x14ac:dyDescent="0.35">
      <c r="A14" s="43" t="s">
        <v>477</v>
      </c>
      <c r="B14" s="187">
        <v>12000</v>
      </c>
      <c r="C14" s="191">
        <v>12000</v>
      </c>
      <c r="D14" s="186"/>
      <c r="E14" s="43" t="s">
        <v>456</v>
      </c>
      <c r="F14" s="73">
        <v>1000</v>
      </c>
      <c r="I14" s="169" t="s">
        <v>447</v>
      </c>
      <c r="J14" s="173">
        <v>4</v>
      </c>
      <c r="K14" s="173">
        <v>507.02</v>
      </c>
      <c r="L14" s="195">
        <f t="shared" si="1"/>
        <v>2028.08</v>
      </c>
      <c r="N14" s="43"/>
      <c r="O14" s="43" t="s">
        <v>408</v>
      </c>
      <c r="P14" s="134">
        <v>10000</v>
      </c>
    </row>
    <row r="15" spans="1:19" x14ac:dyDescent="0.3">
      <c r="A15" s="43" t="s">
        <v>268</v>
      </c>
      <c r="B15" s="186">
        <v>10526</v>
      </c>
      <c r="C15" s="191">
        <v>10526</v>
      </c>
      <c r="D15" s="43"/>
      <c r="E15" s="43" t="s">
        <v>457</v>
      </c>
      <c r="F15" s="73">
        <v>5074</v>
      </c>
      <c r="L15" s="193">
        <f>SUM(L4:L14)</f>
        <v>72210.990000000005</v>
      </c>
      <c r="N15" s="43"/>
      <c r="O15" s="43"/>
      <c r="P15" s="134">
        <f>SUM(P10:P14)</f>
        <v>815000</v>
      </c>
    </row>
    <row r="16" spans="1:19" x14ac:dyDescent="0.3">
      <c r="A16" s="178" t="s">
        <v>478</v>
      </c>
      <c r="B16" s="186">
        <v>18195</v>
      </c>
      <c r="C16" s="186"/>
      <c r="D16" s="43"/>
      <c r="E16" s="43" t="s">
        <v>458</v>
      </c>
      <c r="F16" s="73">
        <v>113280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</row>
    <row r="17" spans="1:19" x14ac:dyDescent="0.3">
      <c r="A17" s="115" t="s">
        <v>431</v>
      </c>
      <c r="B17" s="188">
        <v>21000</v>
      </c>
      <c r="C17" s="188">
        <v>21000</v>
      </c>
      <c r="D17" s="186">
        <v>21000</v>
      </c>
      <c r="E17" s="43" t="s">
        <v>459</v>
      </c>
      <c r="F17" s="73">
        <v>750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19" ht="15" thickBot="1" x14ac:dyDescent="0.35">
      <c r="A18" s="43"/>
      <c r="B18" s="43"/>
      <c r="C18" s="43"/>
      <c r="D18" s="72"/>
      <c r="E18" s="43" t="s">
        <v>463</v>
      </c>
      <c r="F18" s="73">
        <v>1000</v>
      </c>
      <c r="G18" s="167" t="s">
        <v>109</v>
      </c>
      <c r="H18" s="116">
        <v>18195</v>
      </c>
      <c r="I18" s="113">
        <v>44958</v>
      </c>
      <c r="N18" s="43"/>
      <c r="O18" s="43"/>
      <c r="R18" t="s">
        <v>412</v>
      </c>
      <c r="S18" s="73">
        <v>93000</v>
      </c>
    </row>
    <row r="19" spans="1:19" ht="15" thickBot="1" x14ac:dyDescent="0.35">
      <c r="A19" s="123" t="s">
        <v>81</v>
      </c>
      <c r="B19" s="189">
        <v>50000</v>
      </c>
      <c r="C19" s="186"/>
      <c r="D19" s="72"/>
      <c r="E19" s="43" t="s">
        <v>464</v>
      </c>
      <c r="F19" s="73">
        <v>700</v>
      </c>
      <c r="G19" s="181" t="s">
        <v>268</v>
      </c>
      <c r="H19" s="112">
        <v>10526</v>
      </c>
      <c r="I19" s="113">
        <v>44958</v>
      </c>
      <c r="N19" s="43"/>
      <c r="O19" s="104" t="s">
        <v>410</v>
      </c>
      <c r="P19" s="177">
        <f>(P17-P16)</f>
        <v>-151000</v>
      </c>
      <c r="S19" s="73">
        <f>SUM(S17:S18)</f>
        <v>147000</v>
      </c>
    </row>
    <row r="20" spans="1:19" x14ac:dyDescent="0.3">
      <c r="A20" s="123" t="s">
        <v>123</v>
      </c>
      <c r="B20" s="123">
        <v>70000</v>
      </c>
      <c r="C20" s="188">
        <v>22000</v>
      </c>
      <c r="D20" s="72"/>
      <c r="E20" s="43" t="s">
        <v>465</v>
      </c>
      <c r="F20" s="73">
        <v>2000</v>
      </c>
      <c r="G20" s="80" t="s">
        <v>298</v>
      </c>
      <c r="H20" s="80">
        <v>5000</v>
      </c>
      <c r="I20" s="113">
        <v>44896</v>
      </c>
      <c r="N20" s="43"/>
      <c r="O20" s="43"/>
      <c r="P20" s="89"/>
      <c r="R20" t="s">
        <v>411</v>
      </c>
      <c r="S20" s="73">
        <v>90000</v>
      </c>
    </row>
    <row r="21" spans="1:19" x14ac:dyDescent="0.3">
      <c r="A21" s="123" t="s">
        <v>475</v>
      </c>
      <c r="B21" s="123">
        <v>200000</v>
      </c>
      <c r="C21" s="197"/>
      <c r="D21" s="43"/>
      <c r="E21" s="43" t="s">
        <v>462</v>
      </c>
      <c r="F21" s="73">
        <v>5000</v>
      </c>
      <c r="G21" s="80" t="s">
        <v>256</v>
      </c>
      <c r="H21" s="80">
        <v>7600</v>
      </c>
      <c r="I21" s="113">
        <v>44932</v>
      </c>
      <c r="S21" s="73">
        <f>(S19-S20)</f>
        <v>57000</v>
      </c>
    </row>
    <row r="22" spans="1:19" x14ac:dyDescent="0.3">
      <c r="A22" s="116" t="s">
        <v>203</v>
      </c>
      <c r="B22" s="190">
        <v>6000</v>
      </c>
      <c r="C22" s="186"/>
      <c r="D22" s="145"/>
      <c r="E22" s="43" t="s">
        <v>467</v>
      </c>
      <c r="F22" s="73">
        <v>6700</v>
      </c>
      <c r="G22" s="115" t="s">
        <v>431</v>
      </c>
      <c r="H22" s="116">
        <v>20481</v>
      </c>
      <c r="I22" s="113">
        <v>44905</v>
      </c>
      <c r="R22" s="65"/>
      <c r="S22" s="73"/>
    </row>
    <row r="23" spans="1:19" x14ac:dyDescent="0.3">
      <c r="A23" s="115" t="s">
        <v>381</v>
      </c>
      <c r="B23" s="190">
        <v>20000</v>
      </c>
      <c r="C23" s="186"/>
      <c r="D23" s="43"/>
      <c r="E23" s="43" t="s">
        <v>468</v>
      </c>
      <c r="F23" s="73">
        <f>'September 23'!K18</f>
        <v>0</v>
      </c>
      <c r="G23" s="115"/>
      <c r="H23" s="116"/>
      <c r="I23" s="113"/>
      <c r="R23" t="s">
        <v>142</v>
      </c>
      <c r="S23" s="73">
        <v>200000</v>
      </c>
    </row>
    <row r="24" spans="1:19" x14ac:dyDescent="0.3">
      <c r="A24" s="64" t="s">
        <v>5</v>
      </c>
      <c r="B24" s="186">
        <f>SUM(B1:B17)</f>
        <v>208758</v>
      </c>
      <c r="C24" s="186">
        <f>SUM(C1:C17)</f>
        <v>191063</v>
      </c>
      <c r="D24" s="72"/>
      <c r="E24" s="43" t="s">
        <v>469</v>
      </c>
      <c r="F24" s="73">
        <v>51800</v>
      </c>
      <c r="G24" s="124"/>
      <c r="H24" s="118"/>
      <c r="I24" s="113"/>
      <c r="R24" t="s">
        <v>206</v>
      </c>
      <c r="S24" s="73">
        <f>(S21+S23)</f>
        <v>257000</v>
      </c>
    </row>
    <row r="25" spans="1:19" x14ac:dyDescent="0.3">
      <c r="A25" s="43"/>
      <c r="B25" s="43"/>
      <c r="C25" s="43"/>
      <c r="D25" s="72"/>
      <c r="E25" s="178" t="s">
        <v>470</v>
      </c>
      <c r="F25" s="179">
        <v>22000</v>
      </c>
      <c r="G25" s="43"/>
      <c r="H25" s="106"/>
      <c r="I25" s="114"/>
      <c r="K25" s="183"/>
      <c r="O25">
        <v>176000</v>
      </c>
      <c r="S25" s="73"/>
    </row>
    <row r="26" spans="1:19" x14ac:dyDescent="0.3">
      <c r="A26" s="64" t="s">
        <v>228</v>
      </c>
      <c r="B26" s="43"/>
      <c r="C26" s="62">
        <f>(C24-B24)</f>
        <v>-17695</v>
      </c>
      <c r="D26" s="43" t="s">
        <v>227</v>
      </c>
      <c r="E26" s="43" t="s">
        <v>471</v>
      </c>
      <c r="F26" s="73">
        <v>11500</v>
      </c>
      <c r="K26" s="30"/>
      <c r="O26">
        <v>152000</v>
      </c>
      <c r="R26" t="s">
        <v>413</v>
      </c>
      <c r="S26" s="73">
        <v>260000</v>
      </c>
    </row>
    <row r="27" spans="1:19" x14ac:dyDescent="0.3">
      <c r="A27" s="64"/>
      <c r="B27" s="43"/>
      <c r="C27" s="43"/>
      <c r="D27" s="43"/>
      <c r="E27" s="43" t="s">
        <v>472</v>
      </c>
      <c r="F27" s="73">
        <v>26000</v>
      </c>
      <c r="O27">
        <f>O25-O26</f>
        <v>24000</v>
      </c>
      <c r="S27" s="30">
        <f>(S26-S24)</f>
        <v>3000</v>
      </c>
    </row>
    <row r="28" spans="1:19" x14ac:dyDescent="0.3">
      <c r="A28" s="64" t="s">
        <v>225</v>
      </c>
      <c r="B28" s="43"/>
      <c r="C28" s="62">
        <f>(F6+C26)</f>
        <v>-17335</v>
      </c>
      <c r="D28" s="43"/>
      <c r="E28" s="43" t="s">
        <v>476</v>
      </c>
      <c r="F28" s="186">
        <v>41600</v>
      </c>
    </row>
    <row r="29" spans="1:19" x14ac:dyDescent="0.3">
      <c r="F29" s="73">
        <f>SUM(F10:F28)</f>
        <v>301557.86</v>
      </c>
    </row>
  </sheetData>
  <mergeCells count="3">
    <mergeCell ref="E1:F1"/>
    <mergeCell ref="I1:L1"/>
    <mergeCell ref="J4:L4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3F87-FD69-4036-93E5-1F888F938907}">
  <dimension ref="A1:AB34"/>
  <sheetViews>
    <sheetView topLeftCell="A3" workbookViewId="0">
      <selection activeCell="E8" sqref="E8"/>
    </sheetView>
  </sheetViews>
  <sheetFormatPr defaultRowHeight="14.4" x14ac:dyDescent="0.3"/>
  <cols>
    <col min="1" max="1" width="17.5546875" bestFit="1" customWidth="1"/>
    <col min="2" max="2" width="9.44140625" bestFit="1" customWidth="1"/>
    <col min="3" max="3" width="13.44140625" bestFit="1" customWidth="1"/>
    <col min="5" max="5" width="15.88671875" bestFit="1" customWidth="1"/>
    <col min="6" max="6" width="10.44140625" bestFit="1" customWidth="1"/>
    <col min="7" max="7" width="16.6640625" bestFit="1" customWidth="1"/>
    <col min="11" max="11" width="14" bestFit="1" customWidth="1"/>
    <col min="12" max="12" width="11.33203125" bestFit="1" customWidth="1"/>
    <col min="16" max="16" width="17.5546875" bestFit="1" customWidth="1"/>
    <col min="17" max="17" width="9.6640625" bestFit="1" customWidth="1"/>
    <col min="18" max="18" width="11.109375" bestFit="1" customWidth="1"/>
    <col min="19" max="19" width="13.33203125" bestFit="1" customWidth="1"/>
    <col min="20" max="20" width="15.88671875" bestFit="1" customWidth="1"/>
    <col min="21" max="21" width="10.44140625" bestFit="1" customWidth="1"/>
    <col min="22" max="22" width="17.33203125" bestFit="1" customWidth="1"/>
    <col min="23" max="23" width="8.109375" bestFit="1" customWidth="1"/>
    <col min="24" max="24" width="14" bestFit="1" customWidth="1"/>
    <col min="25" max="25" width="4" bestFit="1" customWidth="1"/>
    <col min="26" max="27" width="8" bestFit="1" customWidth="1"/>
    <col min="28" max="28" width="7.33203125" bestFit="1" customWidth="1"/>
    <col min="29" max="29" width="7" bestFit="1" customWidth="1"/>
    <col min="30" max="30" width="12.5546875" bestFit="1" customWidth="1"/>
    <col min="32" max="32" width="7.88671875" bestFit="1" customWidth="1"/>
    <col min="33" max="33" width="11.33203125" bestFit="1" customWidth="1"/>
  </cols>
  <sheetData>
    <row r="1" spans="1:28" x14ac:dyDescent="0.3">
      <c r="A1" s="43" t="s">
        <v>6</v>
      </c>
      <c r="B1" s="186">
        <v>18000</v>
      </c>
      <c r="C1" s="191">
        <v>18000</v>
      </c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</row>
    <row r="2" spans="1:28" x14ac:dyDescent="0.3">
      <c r="A2" s="43" t="s">
        <v>0</v>
      </c>
      <c r="B2" s="186">
        <v>21000</v>
      </c>
      <c r="C2" s="191">
        <v>18000</v>
      </c>
      <c r="D2" s="186"/>
      <c r="E2" s="43"/>
      <c r="F2" s="73"/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28" x14ac:dyDescent="0.3">
      <c r="A3" s="43" t="s">
        <v>1</v>
      </c>
      <c r="B3" s="186">
        <v>20000</v>
      </c>
      <c r="C3" s="191">
        <v>20000</v>
      </c>
      <c r="D3" s="43"/>
      <c r="E3" s="43" t="s">
        <v>265</v>
      </c>
      <c r="F3" s="73">
        <v>36</v>
      </c>
      <c r="G3" s="73"/>
      <c r="H3" s="30"/>
      <c r="I3" s="110" t="s">
        <v>382</v>
      </c>
      <c r="J3" s="157">
        <v>10</v>
      </c>
      <c r="K3" s="157">
        <v>999</v>
      </c>
      <c r="L3" s="194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</row>
    <row r="4" spans="1:28" x14ac:dyDescent="0.3">
      <c r="A4" s="43" t="s">
        <v>2</v>
      </c>
      <c r="B4" s="186">
        <v>2000</v>
      </c>
      <c r="C4" s="191">
        <v>2000</v>
      </c>
      <c r="D4" s="43"/>
      <c r="E4" s="43" t="s">
        <v>204</v>
      </c>
      <c r="F4" s="73">
        <v>54</v>
      </c>
      <c r="G4" s="73"/>
      <c r="I4" s="110" t="s">
        <v>379</v>
      </c>
      <c r="J4" s="284" t="s">
        <v>473</v>
      </c>
      <c r="K4" s="285"/>
      <c r="L4" s="286"/>
      <c r="M4" s="192">
        <v>44682</v>
      </c>
      <c r="N4" s="43"/>
      <c r="O4" s="43"/>
      <c r="P4" s="73"/>
      <c r="R4" s="43"/>
      <c r="S4" s="73"/>
      <c r="AB4" s="198"/>
    </row>
    <row r="5" spans="1:28" x14ac:dyDescent="0.3">
      <c r="A5" s="43" t="s">
        <v>89</v>
      </c>
      <c r="B5" s="186">
        <v>33953</v>
      </c>
      <c r="C5" s="186"/>
      <c r="D5" s="43" t="s">
        <v>450</v>
      </c>
      <c r="E5" s="43" t="s">
        <v>205</v>
      </c>
      <c r="F5" s="73">
        <v>306</v>
      </c>
      <c r="I5" s="110" t="s">
        <v>19</v>
      </c>
      <c r="J5" s="157">
        <v>22</v>
      </c>
      <c r="K5" s="157">
        <v>1321.63</v>
      </c>
      <c r="L5" s="194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</row>
    <row r="6" spans="1:28" x14ac:dyDescent="0.3">
      <c r="A6" s="43" t="s">
        <v>3</v>
      </c>
      <c r="B6" s="186">
        <v>2190</v>
      </c>
      <c r="C6" s="191">
        <v>2190</v>
      </c>
      <c r="D6" s="43"/>
      <c r="E6" s="43" t="s">
        <v>6</v>
      </c>
      <c r="F6" s="73">
        <f>SUM(F4:F5)</f>
        <v>360</v>
      </c>
      <c r="I6" s="110" t="s">
        <v>362</v>
      </c>
      <c r="J6" s="157">
        <v>6</v>
      </c>
      <c r="K6" s="157">
        <v>1918.68</v>
      </c>
      <c r="L6" s="194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  <c r="T6" s="49"/>
      <c r="U6" s="49"/>
      <c r="V6" s="196"/>
      <c r="X6" s="198"/>
    </row>
    <row r="7" spans="1:28" x14ac:dyDescent="0.3">
      <c r="A7" s="43" t="s">
        <v>9</v>
      </c>
      <c r="B7" s="186">
        <v>846</v>
      </c>
      <c r="C7" s="191">
        <v>846</v>
      </c>
      <c r="D7" s="43"/>
      <c r="E7" s="43" t="s">
        <v>402</v>
      </c>
      <c r="F7" s="44">
        <f>B24</f>
        <v>230786</v>
      </c>
      <c r="I7" s="110" t="s">
        <v>363</v>
      </c>
      <c r="J7" s="157">
        <v>5</v>
      </c>
      <c r="K7" s="157">
        <v>1049.19</v>
      </c>
      <c r="L7" s="194">
        <f t="shared" si="1"/>
        <v>5245.9500000000007</v>
      </c>
      <c r="M7" s="192">
        <v>45108</v>
      </c>
      <c r="N7" s="43"/>
      <c r="O7" s="43"/>
      <c r="P7" s="73"/>
      <c r="R7" s="43"/>
      <c r="S7" s="73"/>
    </row>
    <row r="8" spans="1:28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7">
        <v>11</v>
      </c>
      <c r="K8" s="157">
        <v>470.99</v>
      </c>
      <c r="L8" s="194">
        <f t="shared" si="1"/>
        <v>5180.8900000000003</v>
      </c>
      <c r="M8" s="192">
        <v>45108</v>
      </c>
      <c r="N8" s="43"/>
      <c r="O8" s="43"/>
      <c r="P8" s="108">
        <f>SUM(P3:P6)</f>
        <v>2240000</v>
      </c>
      <c r="R8" s="43"/>
      <c r="S8" s="73">
        <f>SUM(S3:S6)</f>
        <v>1290975</v>
      </c>
    </row>
    <row r="9" spans="1:28" x14ac:dyDescent="0.3">
      <c r="A9" s="43" t="s">
        <v>107</v>
      </c>
      <c r="B9" s="186">
        <v>590</v>
      </c>
      <c r="C9" s="191">
        <v>590</v>
      </c>
      <c r="D9" s="43"/>
      <c r="E9" s="43"/>
      <c r="F9" s="43"/>
      <c r="I9" s="110" t="s">
        <v>377</v>
      </c>
      <c r="J9" s="157">
        <v>4</v>
      </c>
      <c r="K9" s="157">
        <v>1376.72</v>
      </c>
      <c r="L9" s="194">
        <f t="shared" si="1"/>
        <v>5506.88</v>
      </c>
      <c r="N9" s="43"/>
      <c r="O9" s="43"/>
      <c r="P9" s="73"/>
      <c r="R9" s="43"/>
      <c r="S9" s="73"/>
    </row>
    <row r="10" spans="1:28" x14ac:dyDescent="0.3">
      <c r="A10" s="43" t="s">
        <v>174</v>
      </c>
      <c r="B10" s="186">
        <v>5000</v>
      </c>
      <c r="C10" s="191">
        <v>4000</v>
      </c>
      <c r="D10" s="43"/>
      <c r="E10" s="43" t="s">
        <v>442</v>
      </c>
      <c r="F10" s="73">
        <v>234.82</v>
      </c>
      <c r="I10" s="110" t="s">
        <v>387</v>
      </c>
      <c r="J10" s="157">
        <v>5</v>
      </c>
      <c r="K10" s="157">
        <v>936.51</v>
      </c>
      <c r="L10" s="194">
        <f t="shared" si="1"/>
        <v>4682.55</v>
      </c>
      <c r="M10" s="192">
        <v>45108</v>
      </c>
      <c r="N10" s="43"/>
      <c r="O10" s="43" t="s">
        <v>339</v>
      </c>
      <c r="P10" s="134">
        <v>500000</v>
      </c>
      <c r="S10" s="30"/>
    </row>
    <row r="11" spans="1:28" x14ac:dyDescent="0.3">
      <c r="A11" s="178" t="s">
        <v>414</v>
      </c>
      <c r="B11" s="187">
        <v>41452</v>
      </c>
      <c r="C11" s="191">
        <v>41452</v>
      </c>
      <c r="D11" s="43" t="s">
        <v>451</v>
      </c>
      <c r="E11" s="43" t="s">
        <v>441</v>
      </c>
      <c r="F11" s="73">
        <v>1419.04</v>
      </c>
      <c r="I11" s="110" t="s">
        <v>380</v>
      </c>
      <c r="J11" s="157">
        <v>5</v>
      </c>
      <c r="K11" s="157">
        <v>959.34</v>
      </c>
      <c r="L11" s="194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</row>
    <row r="12" spans="1:28" x14ac:dyDescent="0.3">
      <c r="A12" s="186" t="s">
        <v>285</v>
      </c>
      <c r="B12" s="186">
        <v>2592</v>
      </c>
      <c r="C12" s="191">
        <v>2592</v>
      </c>
      <c r="D12" s="43"/>
      <c r="E12" s="43" t="s">
        <v>443</v>
      </c>
      <c r="F12" s="73">
        <v>3500</v>
      </c>
      <c r="I12" s="110" t="s">
        <v>385</v>
      </c>
      <c r="J12" s="157">
        <v>50</v>
      </c>
      <c r="K12" s="157">
        <v>43.35</v>
      </c>
      <c r="L12" s="194">
        <f t="shared" si="1"/>
        <v>2167.5</v>
      </c>
      <c r="N12" s="43"/>
      <c r="O12" s="43" t="s">
        <v>6</v>
      </c>
      <c r="P12" s="134">
        <v>50000</v>
      </c>
    </row>
    <row r="13" spans="1:28" x14ac:dyDescent="0.3">
      <c r="A13" s="178" t="s">
        <v>478</v>
      </c>
      <c r="B13" s="186">
        <v>18195</v>
      </c>
      <c r="C13" s="186"/>
      <c r="D13" s="43"/>
      <c r="E13" s="43" t="s">
        <v>455</v>
      </c>
      <c r="F13" s="73">
        <v>8000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</row>
    <row r="14" spans="1:28" ht="15" thickBot="1" x14ac:dyDescent="0.35">
      <c r="A14" s="43" t="s">
        <v>383</v>
      </c>
      <c r="B14" s="187">
        <v>3000</v>
      </c>
      <c r="C14" s="191">
        <v>3000</v>
      </c>
      <c r="D14" s="186"/>
      <c r="E14" s="43" t="s">
        <v>456</v>
      </c>
      <c r="F14" s="73">
        <v>1000</v>
      </c>
      <c r="I14" s="169" t="s">
        <v>447</v>
      </c>
      <c r="J14" s="173">
        <v>4</v>
      </c>
      <c r="K14" s="173">
        <v>507.02</v>
      </c>
      <c r="L14" s="195">
        <f t="shared" si="1"/>
        <v>2028.08</v>
      </c>
      <c r="N14" s="43"/>
      <c r="O14" s="43" t="s">
        <v>408</v>
      </c>
      <c r="P14" s="134">
        <v>10000</v>
      </c>
    </row>
    <row r="15" spans="1:28" x14ac:dyDescent="0.3">
      <c r="A15" s="43" t="s">
        <v>489</v>
      </c>
      <c r="B15" s="186">
        <v>549</v>
      </c>
      <c r="C15" s="191">
        <v>549</v>
      </c>
      <c r="D15" s="43"/>
      <c r="E15" s="43" t="s">
        <v>457</v>
      </c>
      <c r="F15" s="73">
        <v>5074</v>
      </c>
      <c r="L15" s="193">
        <f>SUM(L4:L14)</f>
        <v>72210.990000000005</v>
      </c>
      <c r="N15" s="43"/>
      <c r="O15" s="43"/>
      <c r="P15" s="134">
        <f>SUM(P10:P14)</f>
        <v>815000</v>
      </c>
    </row>
    <row r="16" spans="1:28" x14ac:dyDescent="0.3">
      <c r="A16" s="178"/>
      <c r="B16" s="186"/>
      <c r="C16" s="186"/>
      <c r="D16" s="43"/>
      <c r="E16" s="43" t="s">
        <v>458</v>
      </c>
      <c r="F16" s="73">
        <v>113280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</row>
    <row r="17" spans="1:19" x14ac:dyDescent="0.3">
      <c r="A17" s="123" t="s">
        <v>213</v>
      </c>
      <c r="B17" s="123">
        <v>50000</v>
      </c>
      <c r="C17" s="186"/>
      <c r="D17" s="186">
        <v>21000</v>
      </c>
      <c r="E17" s="43" t="s">
        <v>459</v>
      </c>
      <c r="F17" s="73">
        <v>750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19" ht="15" thickBot="1" x14ac:dyDescent="0.35">
      <c r="A18" s="123" t="s">
        <v>123</v>
      </c>
      <c r="B18" s="123">
        <f>L31</f>
        <v>212880</v>
      </c>
      <c r="C18" s="43"/>
      <c r="D18" s="72"/>
      <c r="E18" s="43" t="s">
        <v>463</v>
      </c>
      <c r="F18" s="73">
        <v>1000</v>
      </c>
      <c r="G18" s="167" t="s">
        <v>109</v>
      </c>
      <c r="H18" s="116">
        <v>18195</v>
      </c>
      <c r="I18" s="113">
        <v>44958</v>
      </c>
      <c r="N18" s="43"/>
      <c r="O18" s="43"/>
      <c r="R18" t="s">
        <v>412</v>
      </c>
      <c r="S18" s="73">
        <v>93000</v>
      </c>
    </row>
    <row r="19" spans="1:19" ht="15" thickBot="1" x14ac:dyDescent="0.35">
      <c r="A19" s="123" t="s">
        <v>81</v>
      </c>
      <c r="B19" s="123">
        <v>50000</v>
      </c>
      <c r="C19" s="186"/>
      <c r="D19" s="72"/>
      <c r="E19" s="43" t="s">
        <v>464</v>
      </c>
      <c r="F19" s="73">
        <v>700</v>
      </c>
      <c r="G19" s="181" t="s">
        <v>268</v>
      </c>
      <c r="H19" s="112">
        <v>10526</v>
      </c>
      <c r="I19" s="113">
        <v>44958</v>
      </c>
      <c r="N19" s="43"/>
      <c r="O19" s="104" t="s">
        <v>410</v>
      </c>
      <c r="P19" s="177">
        <f>(P17-P16)</f>
        <v>-151000</v>
      </c>
      <c r="S19" s="73">
        <f>SUM(S17:S18)</f>
        <v>147000</v>
      </c>
    </row>
    <row r="20" spans="1:19" x14ac:dyDescent="0.3">
      <c r="A20" s="123" t="s">
        <v>123</v>
      </c>
      <c r="B20" s="123">
        <v>48000</v>
      </c>
      <c r="C20" s="186"/>
      <c r="D20" s="72"/>
      <c r="E20" s="43" t="s">
        <v>465</v>
      </c>
      <c r="F20" s="73">
        <v>2000</v>
      </c>
      <c r="G20" s="80" t="s">
        <v>298</v>
      </c>
      <c r="H20" s="80">
        <v>5000</v>
      </c>
      <c r="I20" s="113">
        <v>44896</v>
      </c>
      <c r="N20" s="43"/>
      <c r="O20" s="43"/>
      <c r="P20" s="89"/>
      <c r="R20" t="s">
        <v>411</v>
      </c>
      <c r="S20" s="73">
        <v>90000</v>
      </c>
    </row>
    <row r="21" spans="1:19" x14ac:dyDescent="0.3">
      <c r="A21" s="123" t="s">
        <v>475</v>
      </c>
      <c r="B21" s="123">
        <v>200000</v>
      </c>
      <c r="C21" s="197"/>
      <c r="D21" s="43"/>
      <c r="E21" s="43" t="s">
        <v>462</v>
      </c>
      <c r="F21" s="73">
        <v>5000</v>
      </c>
      <c r="G21" s="80" t="s">
        <v>256</v>
      </c>
      <c r="H21" s="80">
        <v>7600</v>
      </c>
      <c r="I21" s="113">
        <v>44932</v>
      </c>
      <c r="K21" s="43" t="s">
        <v>479</v>
      </c>
      <c r="L21" s="43" t="s">
        <v>480</v>
      </c>
      <c r="S21" s="73">
        <f>(S19-S20)</f>
        <v>57000</v>
      </c>
    </row>
    <row r="22" spans="1:19" x14ac:dyDescent="0.3">
      <c r="A22" s="116" t="s">
        <v>203</v>
      </c>
      <c r="B22" s="190">
        <v>6000</v>
      </c>
      <c r="C22" s="186"/>
      <c r="D22" s="145"/>
      <c r="E22" s="43" t="s">
        <v>467</v>
      </c>
      <c r="F22" s="73">
        <v>6700</v>
      </c>
      <c r="G22" s="115" t="s">
        <v>431</v>
      </c>
      <c r="H22" s="116">
        <v>20481</v>
      </c>
      <c r="I22" s="113">
        <v>44905</v>
      </c>
      <c r="K22" s="43"/>
      <c r="L22" s="43" t="s">
        <v>481</v>
      </c>
      <c r="R22" s="65"/>
      <c r="S22" s="73"/>
    </row>
    <row r="23" spans="1:19" x14ac:dyDescent="0.3">
      <c r="A23" s="115" t="s">
        <v>381</v>
      </c>
      <c r="B23" s="190">
        <v>20000</v>
      </c>
      <c r="C23" s="186"/>
      <c r="D23" s="43"/>
      <c r="E23" s="43" t="s">
        <v>468</v>
      </c>
      <c r="F23" s="73">
        <f>'September 23'!AO30</f>
        <v>0</v>
      </c>
      <c r="G23" s="115"/>
      <c r="H23" s="116"/>
      <c r="I23" s="113"/>
      <c r="K23" s="43"/>
      <c r="L23" s="43" t="s">
        <v>482</v>
      </c>
      <c r="R23" t="s">
        <v>142</v>
      </c>
      <c r="S23" s="73">
        <v>200000</v>
      </c>
    </row>
    <row r="24" spans="1:19" x14ac:dyDescent="0.3">
      <c r="A24" s="64" t="s">
        <v>5</v>
      </c>
      <c r="B24" s="186">
        <f>SUM(B1:B17)</f>
        <v>230786</v>
      </c>
      <c r="C24" s="186">
        <f>SUM(C1:C17)</f>
        <v>124638</v>
      </c>
      <c r="D24" s="72"/>
      <c r="E24" s="43" t="s">
        <v>469</v>
      </c>
      <c r="F24" s="73">
        <v>51800</v>
      </c>
      <c r="G24" s="124"/>
      <c r="H24" s="118"/>
      <c r="I24" s="113"/>
      <c r="K24" s="43"/>
      <c r="L24" s="43" t="s">
        <v>483</v>
      </c>
      <c r="R24" t="s">
        <v>206</v>
      </c>
      <c r="S24" s="73">
        <f>(S21+S23)</f>
        <v>257000</v>
      </c>
    </row>
    <row r="25" spans="1:19" x14ac:dyDescent="0.3">
      <c r="A25" s="43"/>
      <c r="B25" s="43"/>
      <c r="C25" s="43"/>
      <c r="D25" s="72"/>
      <c r="E25" s="178" t="s">
        <v>470</v>
      </c>
      <c r="F25" s="179">
        <v>22000</v>
      </c>
      <c r="G25" s="43"/>
      <c r="H25" s="106"/>
      <c r="I25" s="114"/>
      <c r="K25" s="199"/>
      <c r="L25" s="43">
        <v>1270</v>
      </c>
      <c r="O25">
        <v>176000</v>
      </c>
      <c r="S25" s="73"/>
    </row>
    <row r="26" spans="1:19" x14ac:dyDescent="0.3">
      <c r="A26" s="64" t="s">
        <v>228</v>
      </c>
      <c r="B26" s="43"/>
      <c r="C26" s="62">
        <f>(C24-B24)</f>
        <v>-106148</v>
      </c>
      <c r="D26" s="43" t="s">
        <v>227</v>
      </c>
      <c r="E26" s="43" t="s">
        <v>471</v>
      </c>
      <c r="F26" s="73">
        <v>11500</v>
      </c>
      <c r="K26" s="73" t="s">
        <v>485</v>
      </c>
      <c r="L26" s="43" t="s">
        <v>484</v>
      </c>
      <c r="O26">
        <v>152000</v>
      </c>
      <c r="R26" t="s">
        <v>413</v>
      </c>
      <c r="S26" s="73">
        <v>260000</v>
      </c>
    </row>
    <row r="27" spans="1:19" x14ac:dyDescent="0.3">
      <c r="A27" s="64"/>
      <c r="B27" s="43"/>
      <c r="C27" s="43"/>
      <c r="D27" s="43"/>
      <c r="E27" s="43" t="s">
        <v>472</v>
      </c>
      <c r="F27" s="73">
        <v>26000</v>
      </c>
      <c r="K27" s="43" t="s">
        <v>486</v>
      </c>
      <c r="L27" s="43">
        <v>1250</v>
      </c>
      <c r="O27">
        <f>O25-O26</f>
        <v>24000</v>
      </c>
      <c r="S27" s="30">
        <f>(S26-S24)</f>
        <v>3000</v>
      </c>
    </row>
    <row r="28" spans="1:19" x14ac:dyDescent="0.3">
      <c r="A28" s="64" t="s">
        <v>225</v>
      </c>
      <c r="B28" s="43"/>
      <c r="C28" s="62">
        <f>(F6+C26)</f>
        <v>-105788</v>
      </c>
      <c r="D28" s="43"/>
      <c r="E28" s="43" t="s">
        <v>476</v>
      </c>
      <c r="F28" s="186">
        <v>41600</v>
      </c>
      <c r="K28" s="43" t="s">
        <v>487</v>
      </c>
      <c r="L28" s="43">
        <v>91</v>
      </c>
    </row>
    <row r="29" spans="1:19" x14ac:dyDescent="0.3">
      <c r="F29" s="73">
        <f>SUM(F10:F28)</f>
        <v>301557.86</v>
      </c>
      <c r="K29" s="43"/>
      <c r="L29" s="43">
        <f>L27*L28</f>
        <v>113750</v>
      </c>
    </row>
    <row r="30" spans="1:19" x14ac:dyDescent="0.3">
      <c r="K30" s="43" t="s">
        <v>488</v>
      </c>
      <c r="L30" s="73">
        <v>99130</v>
      </c>
    </row>
    <row r="31" spans="1:19" x14ac:dyDescent="0.3">
      <c r="K31" s="43"/>
      <c r="L31" s="106">
        <f>L29+L30</f>
        <v>212880</v>
      </c>
    </row>
    <row r="32" spans="1:19" x14ac:dyDescent="0.3">
      <c r="K32" s="178" t="s">
        <v>490</v>
      </c>
      <c r="L32" s="91">
        <v>-109464</v>
      </c>
    </row>
    <row r="33" spans="11:12" x14ac:dyDescent="0.3">
      <c r="K33" s="43"/>
      <c r="L33" s="200">
        <v>-25000</v>
      </c>
    </row>
    <row r="34" spans="11:12" x14ac:dyDescent="0.3">
      <c r="K34" s="43" t="s">
        <v>143</v>
      </c>
      <c r="L34" s="73">
        <f>L31+L32+L33</f>
        <v>78416</v>
      </c>
    </row>
  </sheetData>
  <mergeCells count="3">
    <mergeCell ref="E1:F1"/>
    <mergeCell ref="I1:L1"/>
    <mergeCell ref="J4:L4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9501-3840-4251-B759-40453866F181}">
  <dimension ref="A1:S34"/>
  <sheetViews>
    <sheetView workbookViewId="0">
      <selection activeCell="C21" sqref="C21"/>
    </sheetView>
  </sheetViews>
  <sheetFormatPr defaultRowHeight="14.4" x14ac:dyDescent="0.3"/>
  <cols>
    <col min="1" max="1" width="17.5546875" bestFit="1" customWidth="1"/>
    <col min="2" max="2" width="9.44140625" bestFit="1" customWidth="1"/>
    <col min="3" max="3" width="13.44140625" bestFit="1" customWidth="1"/>
    <col min="5" max="5" width="15.88671875" bestFit="1" customWidth="1"/>
    <col min="6" max="6" width="10.44140625" bestFit="1" customWidth="1"/>
    <col min="7" max="7" width="16.6640625" bestFit="1" customWidth="1"/>
    <col min="9" max="9" width="14" bestFit="1" customWidth="1"/>
    <col min="11" max="11" width="14" bestFit="1" customWidth="1"/>
    <col min="12" max="12" width="11.33203125" bestFit="1" customWidth="1"/>
    <col min="16" max="16" width="17.5546875" bestFit="1" customWidth="1"/>
    <col min="17" max="17" width="9.6640625" bestFit="1" customWidth="1"/>
    <col min="18" max="18" width="11.109375" bestFit="1" customWidth="1"/>
    <col min="19" max="19" width="13.33203125" bestFit="1" customWidth="1"/>
  </cols>
  <sheetData>
    <row r="1" spans="1:19" x14ac:dyDescent="0.3">
      <c r="A1" s="43" t="s">
        <v>6</v>
      </c>
      <c r="B1" s="186">
        <v>18000</v>
      </c>
      <c r="C1" s="191">
        <v>18000</v>
      </c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</row>
    <row r="2" spans="1:19" x14ac:dyDescent="0.3">
      <c r="A2" s="43" t="s">
        <v>0</v>
      </c>
      <c r="B2" s="186">
        <v>37000</v>
      </c>
      <c r="C2" s="191">
        <v>25000</v>
      </c>
      <c r="D2" s="186"/>
      <c r="E2" s="43"/>
      <c r="F2" s="73"/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19" x14ac:dyDescent="0.3">
      <c r="A3" s="43" t="s">
        <v>1</v>
      </c>
      <c r="B3" s="186">
        <v>5000</v>
      </c>
      <c r="C3" s="191">
        <v>5000</v>
      </c>
      <c r="D3" s="43"/>
      <c r="E3" s="43" t="s">
        <v>265</v>
      </c>
      <c r="F3" s="73">
        <v>30000</v>
      </c>
      <c r="G3" s="73"/>
      <c r="H3" s="30"/>
      <c r="I3" s="110" t="s">
        <v>382</v>
      </c>
      <c r="J3" s="157">
        <v>10</v>
      </c>
      <c r="K3" s="157">
        <v>999</v>
      </c>
      <c r="L3" s="194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</row>
    <row r="4" spans="1:19" x14ac:dyDescent="0.3">
      <c r="A4" s="43" t="s">
        <v>2</v>
      </c>
      <c r="B4" s="186">
        <v>2000</v>
      </c>
      <c r="C4" s="191">
        <v>2000</v>
      </c>
      <c r="D4" s="43"/>
      <c r="E4" s="43" t="s">
        <v>204</v>
      </c>
      <c r="F4" s="73">
        <v>50000</v>
      </c>
      <c r="G4" s="73"/>
      <c r="I4" s="110" t="s">
        <v>379</v>
      </c>
      <c r="J4" s="284" t="s">
        <v>473</v>
      </c>
      <c r="K4" s="285"/>
      <c r="L4" s="286"/>
      <c r="M4" s="192">
        <v>44682</v>
      </c>
      <c r="N4" s="43"/>
      <c r="O4" s="43"/>
      <c r="P4" s="73"/>
      <c r="R4" s="43"/>
      <c r="S4" s="73"/>
    </row>
    <row r="5" spans="1:19" x14ac:dyDescent="0.3">
      <c r="A5" s="43" t="s">
        <v>89</v>
      </c>
      <c r="B5" s="186">
        <v>33953</v>
      </c>
      <c r="C5" s="191">
        <v>33953</v>
      </c>
      <c r="D5" s="43" t="s">
        <v>450</v>
      </c>
      <c r="E5" s="43" t="s">
        <v>205</v>
      </c>
      <c r="F5" s="73">
        <v>18</v>
      </c>
      <c r="I5" s="110" t="s">
        <v>19</v>
      </c>
      <c r="J5" s="157">
        <v>22</v>
      </c>
      <c r="K5" s="157">
        <v>1321.63</v>
      </c>
      <c r="L5" s="194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</row>
    <row r="6" spans="1:19" x14ac:dyDescent="0.3">
      <c r="A6" s="43" t="s">
        <v>3</v>
      </c>
      <c r="B6" s="186">
        <v>2190</v>
      </c>
      <c r="C6" s="191">
        <v>2190</v>
      </c>
      <c r="D6" s="43"/>
      <c r="E6" s="43" t="s">
        <v>6</v>
      </c>
      <c r="F6" s="73">
        <f>SUM(F4:F5)</f>
        <v>50018</v>
      </c>
      <c r="I6" s="110" t="s">
        <v>362</v>
      </c>
      <c r="J6" s="157">
        <v>6</v>
      </c>
      <c r="K6" s="157">
        <v>1918.68</v>
      </c>
      <c r="L6" s="194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</row>
    <row r="7" spans="1:19" x14ac:dyDescent="0.3">
      <c r="A7" s="43" t="s">
        <v>9</v>
      </c>
      <c r="B7" s="186">
        <v>846</v>
      </c>
      <c r="C7" s="191">
        <v>846</v>
      </c>
      <c r="D7" s="43"/>
      <c r="E7" s="43" t="s">
        <v>430</v>
      </c>
      <c r="F7" s="44">
        <f>B24</f>
        <v>276945</v>
      </c>
      <c r="I7" s="110" t="s">
        <v>363</v>
      </c>
      <c r="J7" s="157">
        <v>5</v>
      </c>
      <c r="K7" s="157">
        <v>1049.19</v>
      </c>
      <c r="L7" s="194">
        <f t="shared" si="1"/>
        <v>5245.9500000000007</v>
      </c>
      <c r="M7" s="192">
        <v>45108</v>
      </c>
      <c r="N7" s="43"/>
      <c r="O7" s="43"/>
      <c r="P7" s="73"/>
      <c r="R7" s="43"/>
      <c r="S7" s="73"/>
    </row>
    <row r="8" spans="1:19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7">
        <v>11</v>
      </c>
      <c r="K8" s="157">
        <v>470.99</v>
      </c>
      <c r="L8" s="194">
        <f t="shared" si="1"/>
        <v>5180.8900000000003</v>
      </c>
      <c r="M8" s="192">
        <v>45108</v>
      </c>
      <c r="N8" s="43"/>
      <c r="O8" s="43"/>
      <c r="P8" s="108">
        <f>SUM(P3:P6)</f>
        <v>2240000</v>
      </c>
      <c r="R8" s="43"/>
      <c r="S8" s="73">
        <f>SUM(S3:S6)</f>
        <v>1290975</v>
      </c>
    </row>
    <row r="9" spans="1:19" x14ac:dyDescent="0.3">
      <c r="A9" s="43" t="s">
        <v>107</v>
      </c>
      <c r="B9" s="186">
        <v>590</v>
      </c>
      <c r="C9" s="191">
        <v>590</v>
      </c>
      <c r="D9" s="43"/>
      <c r="E9" s="43"/>
      <c r="F9" s="43"/>
      <c r="I9" s="110" t="s">
        <v>377</v>
      </c>
      <c r="J9" s="157">
        <v>4</v>
      </c>
      <c r="K9" s="157">
        <v>1376.72</v>
      </c>
      <c r="L9" s="194">
        <f t="shared" si="1"/>
        <v>5506.88</v>
      </c>
      <c r="N9" s="43"/>
      <c r="O9" s="43"/>
      <c r="P9" s="73"/>
      <c r="R9" s="43"/>
      <c r="S9" s="73"/>
    </row>
    <row r="10" spans="1:19" x14ac:dyDescent="0.3">
      <c r="A10" s="43" t="s">
        <v>174</v>
      </c>
      <c r="B10" s="186">
        <v>5000</v>
      </c>
      <c r="C10" s="191">
        <v>5000</v>
      </c>
      <c r="D10" s="43"/>
      <c r="E10" s="43" t="s">
        <v>442</v>
      </c>
      <c r="F10" s="73">
        <v>234.82</v>
      </c>
      <c r="I10" s="110" t="s">
        <v>387</v>
      </c>
      <c r="J10" s="157">
        <v>5</v>
      </c>
      <c r="K10" s="157">
        <v>936.51</v>
      </c>
      <c r="L10" s="194">
        <f t="shared" si="1"/>
        <v>4682.55</v>
      </c>
      <c r="M10" s="192">
        <v>45108</v>
      </c>
      <c r="N10" s="43"/>
      <c r="O10" s="43" t="s">
        <v>339</v>
      </c>
      <c r="P10" s="134">
        <v>500000</v>
      </c>
      <c r="S10" s="30"/>
    </row>
    <row r="11" spans="1:19" x14ac:dyDescent="0.3">
      <c r="A11" s="178" t="s">
        <v>414</v>
      </c>
      <c r="B11" s="187">
        <v>41452</v>
      </c>
      <c r="C11" s="191">
        <v>41452</v>
      </c>
      <c r="D11" s="43" t="s">
        <v>451</v>
      </c>
      <c r="E11" s="43" t="s">
        <v>441</v>
      </c>
      <c r="F11" s="73">
        <v>1419.04</v>
      </c>
      <c r="I11" s="110" t="s">
        <v>380</v>
      </c>
      <c r="J11" s="157">
        <v>5</v>
      </c>
      <c r="K11" s="157">
        <v>959.34</v>
      </c>
      <c r="L11" s="194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</row>
    <row r="12" spans="1:19" x14ac:dyDescent="0.3">
      <c r="A12" s="186" t="s">
        <v>285</v>
      </c>
      <c r="B12" s="186">
        <v>1300</v>
      </c>
      <c r="C12" s="191">
        <v>1300</v>
      </c>
      <c r="D12" s="43"/>
      <c r="E12" s="43" t="s">
        <v>443</v>
      </c>
      <c r="F12" s="73">
        <v>3500</v>
      </c>
      <c r="I12" s="110" t="s">
        <v>385</v>
      </c>
      <c r="J12" s="157">
        <v>50</v>
      </c>
      <c r="K12" s="157">
        <v>43.35</v>
      </c>
      <c r="L12" s="194">
        <f t="shared" si="1"/>
        <v>2167.5</v>
      </c>
      <c r="N12" s="43"/>
      <c r="O12" s="43" t="s">
        <v>6</v>
      </c>
      <c r="P12" s="134">
        <v>50000</v>
      </c>
    </row>
    <row r="13" spans="1:19" x14ac:dyDescent="0.3">
      <c r="A13" s="178" t="s">
        <v>478</v>
      </c>
      <c r="B13" s="186">
        <v>18195</v>
      </c>
      <c r="C13" s="186"/>
      <c r="D13" s="43"/>
      <c r="E13" s="43" t="s">
        <v>455</v>
      </c>
      <c r="F13" s="73">
        <v>8000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</row>
    <row r="14" spans="1:19" ht="15" thickBot="1" x14ac:dyDescent="0.35">
      <c r="A14" s="178" t="s">
        <v>475</v>
      </c>
      <c r="B14" s="186">
        <v>100000</v>
      </c>
      <c r="C14" s="204">
        <v>100000</v>
      </c>
      <c r="D14" s="186"/>
      <c r="E14" s="43" t="s">
        <v>456</v>
      </c>
      <c r="F14" s="73">
        <v>1000</v>
      </c>
      <c r="I14" s="169" t="s">
        <v>447</v>
      </c>
      <c r="J14" s="173">
        <v>4</v>
      </c>
      <c r="K14" s="173">
        <v>507.02</v>
      </c>
      <c r="L14" s="195">
        <f t="shared" si="1"/>
        <v>2028.08</v>
      </c>
      <c r="N14" s="43"/>
      <c r="O14" s="43" t="s">
        <v>408</v>
      </c>
      <c r="P14" s="134">
        <v>10000</v>
      </c>
    </row>
    <row r="15" spans="1:19" x14ac:dyDescent="0.3">
      <c r="A15" s="43"/>
      <c r="B15" s="186"/>
      <c r="C15" s="186"/>
      <c r="D15" s="43"/>
      <c r="E15" s="43" t="s">
        <v>457</v>
      </c>
      <c r="F15" s="73">
        <v>5074</v>
      </c>
      <c r="L15" s="193">
        <f>SUM(L4:L14)</f>
        <v>72210.990000000005</v>
      </c>
      <c r="N15" s="43"/>
      <c r="O15" s="43"/>
      <c r="P15" s="134">
        <f>SUM(P10:P14)</f>
        <v>815000</v>
      </c>
    </row>
    <row r="16" spans="1:19" x14ac:dyDescent="0.3">
      <c r="A16" s="178"/>
      <c r="B16" s="186"/>
      <c r="C16" s="186"/>
      <c r="D16" s="43"/>
      <c r="E16" s="43" t="s">
        <v>458</v>
      </c>
      <c r="F16" s="73">
        <v>113280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</row>
    <row r="17" spans="1:19" x14ac:dyDescent="0.3">
      <c r="A17" s="123" t="s">
        <v>213</v>
      </c>
      <c r="B17" s="123">
        <v>50000</v>
      </c>
      <c r="C17" s="123">
        <v>50000</v>
      </c>
      <c r="D17" s="201" t="s">
        <v>491</v>
      </c>
      <c r="E17" s="43" t="s">
        <v>459</v>
      </c>
      <c r="F17" s="73">
        <v>750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19" ht="15" thickBot="1" x14ac:dyDescent="0.35">
      <c r="A18" s="123" t="s">
        <v>123</v>
      </c>
      <c r="B18" s="123">
        <f>L31</f>
        <v>212880</v>
      </c>
      <c r="C18" s="123">
        <v>212880</v>
      </c>
      <c r="D18" s="201" t="s">
        <v>491</v>
      </c>
      <c r="E18" s="43" t="s">
        <v>463</v>
      </c>
      <c r="F18" s="73">
        <v>1000</v>
      </c>
      <c r="G18" s="167" t="s">
        <v>109</v>
      </c>
      <c r="H18" s="116">
        <v>18195</v>
      </c>
      <c r="I18" s="113">
        <v>44958</v>
      </c>
      <c r="N18" s="43"/>
      <c r="O18" s="43"/>
      <c r="R18" t="s">
        <v>412</v>
      </c>
      <c r="S18" s="73">
        <v>93000</v>
      </c>
    </row>
    <row r="19" spans="1:19" ht="15" thickBot="1" x14ac:dyDescent="0.35">
      <c r="A19" s="123" t="s">
        <v>81</v>
      </c>
      <c r="B19" s="123">
        <v>50000</v>
      </c>
      <c r="C19" s="186"/>
      <c r="D19" s="72"/>
      <c r="E19" s="43" t="s">
        <v>464</v>
      </c>
      <c r="F19" s="73">
        <v>700</v>
      </c>
      <c r="G19" s="181" t="s">
        <v>268</v>
      </c>
      <c r="H19" s="112">
        <v>10526</v>
      </c>
      <c r="I19" s="113">
        <v>44958</v>
      </c>
      <c r="N19" s="43"/>
      <c r="O19" s="104" t="s">
        <v>410</v>
      </c>
      <c r="P19" s="177">
        <f>(P17-P16)</f>
        <v>-151000</v>
      </c>
      <c r="S19" s="73">
        <f>SUM(S17:S18)</f>
        <v>147000</v>
      </c>
    </row>
    <row r="20" spans="1:19" x14ac:dyDescent="0.3">
      <c r="A20" s="123" t="s">
        <v>123</v>
      </c>
      <c r="B20" s="123">
        <v>48000</v>
      </c>
      <c r="C20" s="186"/>
      <c r="D20" s="72"/>
      <c r="E20" s="43" t="s">
        <v>465</v>
      </c>
      <c r="F20" s="73">
        <v>2000</v>
      </c>
      <c r="G20" s="80" t="s">
        <v>298</v>
      </c>
      <c r="H20" s="80">
        <v>5000</v>
      </c>
      <c r="I20" s="113">
        <v>44896</v>
      </c>
      <c r="N20" s="43"/>
      <c r="O20" s="43"/>
      <c r="P20" s="89"/>
      <c r="R20" t="s">
        <v>411</v>
      </c>
      <c r="S20" s="73">
        <v>90000</v>
      </c>
    </row>
    <row r="21" spans="1:19" x14ac:dyDescent="0.3">
      <c r="A21" s="123" t="s">
        <v>475</v>
      </c>
      <c r="B21" s="123">
        <v>200000</v>
      </c>
      <c r="C21" s="186">
        <f>B21-C14</f>
        <v>100000</v>
      </c>
      <c r="D21" s="43"/>
      <c r="E21" s="43" t="s">
        <v>462</v>
      </c>
      <c r="F21" s="73">
        <v>5000</v>
      </c>
      <c r="G21" s="80" t="s">
        <v>256</v>
      </c>
      <c r="H21" s="80">
        <v>7600</v>
      </c>
      <c r="I21" s="113">
        <v>44932</v>
      </c>
      <c r="K21" s="43" t="s">
        <v>479</v>
      </c>
      <c r="L21" s="43" t="s">
        <v>480</v>
      </c>
      <c r="S21" s="73">
        <f>(S19-S20)</f>
        <v>57000</v>
      </c>
    </row>
    <row r="22" spans="1:19" x14ac:dyDescent="0.3">
      <c r="A22" s="116" t="s">
        <v>203</v>
      </c>
      <c r="B22" s="190">
        <v>13000</v>
      </c>
      <c r="C22" s="186"/>
      <c r="D22" s="145"/>
      <c r="E22" s="43" t="s">
        <v>467</v>
      </c>
      <c r="F22" s="73">
        <v>6700</v>
      </c>
      <c r="G22" s="115" t="s">
        <v>431</v>
      </c>
      <c r="H22" s="116">
        <v>20481</v>
      </c>
      <c r="I22" s="113">
        <v>44905</v>
      </c>
      <c r="K22" s="43"/>
      <c r="L22" s="43" t="s">
        <v>481</v>
      </c>
      <c r="R22" s="65"/>
      <c r="S22" s="73"/>
    </row>
    <row r="23" spans="1:19" x14ac:dyDescent="0.3">
      <c r="A23" s="115" t="s">
        <v>381</v>
      </c>
      <c r="B23" s="190">
        <v>20000</v>
      </c>
      <c r="C23" s="186"/>
      <c r="D23" s="43"/>
      <c r="E23" s="43" t="s">
        <v>468</v>
      </c>
      <c r="F23" s="73">
        <f>'September 23'!AO30</f>
        <v>0</v>
      </c>
      <c r="G23" s="115"/>
      <c r="H23" s="116"/>
      <c r="I23" s="113"/>
      <c r="K23" s="43"/>
      <c r="L23" s="43" t="s">
        <v>482</v>
      </c>
      <c r="R23" t="s">
        <v>142</v>
      </c>
      <c r="S23" s="73">
        <v>200000</v>
      </c>
    </row>
    <row r="24" spans="1:19" x14ac:dyDescent="0.3">
      <c r="A24" s="64" t="s">
        <v>5</v>
      </c>
      <c r="B24" s="186">
        <f>SUM(B1:B16)</f>
        <v>276945</v>
      </c>
      <c r="C24" s="186">
        <f>SUM(C1:C17)</f>
        <v>296750</v>
      </c>
      <c r="D24" s="72"/>
      <c r="E24" s="43" t="s">
        <v>469</v>
      </c>
      <c r="F24" s="73">
        <v>51800</v>
      </c>
      <c r="G24" s="124"/>
      <c r="H24" s="118"/>
      <c r="I24" s="113"/>
      <c r="K24" s="43"/>
      <c r="L24" s="43" t="s">
        <v>483</v>
      </c>
      <c r="R24" t="s">
        <v>206</v>
      </c>
      <c r="S24" s="73">
        <f>(S21+S23)</f>
        <v>257000</v>
      </c>
    </row>
    <row r="25" spans="1:19" x14ac:dyDescent="0.3">
      <c r="A25" s="43"/>
      <c r="B25" s="43"/>
      <c r="C25" s="43"/>
      <c r="D25" s="72"/>
      <c r="E25" s="178" t="s">
        <v>470</v>
      </c>
      <c r="F25" s="179">
        <v>22000</v>
      </c>
      <c r="G25" s="43"/>
      <c r="H25" s="106"/>
      <c r="I25" s="114"/>
      <c r="K25" s="199"/>
      <c r="L25" s="43">
        <v>1270</v>
      </c>
      <c r="O25">
        <v>176000</v>
      </c>
      <c r="S25" s="73"/>
    </row>
    <row r="26" spans="1:19" x14ac:dyDescent="0.3">
      <c r="A26" s="64" t="s">
        <v>228</v>
      </c>
      <c r="B26" s="43"/>
      <c r="C26" s="62">
        <f>(C24-B24)</f>
        <v>19805</v>
      </c>
      <c r="D26" s="43" t="s">
        <v>227</v>
      </c>
      <c r="E26" s="43" t="s">
        <v>471</v>
      </c>
      <c r="F26" s="73">
        <v>11500</v>
      </c>
      <c r="K26" s="73" t="s">
        <v>485</v>
      </c>
      <c r="L26" s="43" t="s">
        <v>484</v>
      </c>
      <c r="O26">
        <v>152000</v>
      </c>
      <c r="R26" t="s">
        <v>413</v>
      </c>
      <c r="S26" s="73">
        <v>260000</v>
      </c>
    </row>
    <row r="27" spans="1:19" x14ac:dyDescent="0.3">
      <c r="A27" s="64"/>
      <c r="B27" s="43"/>
      <c r="C27" s="43"/>
      <c r="D27" s="43"/>
      <c r="E27" s="43" t="s">
        <v>472</v>
      </c>
      <c r="F27" s="73">
        <v>26000</v>
      </c>
      <c r="K27" s="43" t="s">
        <v>486</v>
      </c>
      <c r="L27" s="43">
        <v>1250</v>
      </c>
      <c r="O27">
        <f>O25-O26</f>
        <v>24000</v>
      </c>
      <c r="S27" s="30">
        <f>(S26-S24)</f>
        <v>3000</v>
      </c>
    </row>
    <row r="28" spans="1:19" x14ac:dyDescent="0.3">
      <c r="A28" s="64" t="s">
        <v>225</v>
      </c>
      <c r="B28" s="43"/>
      <c r="C28" s="62">
        <f>(F6+C26)</f>
        <v>69823</v>
      </c>
      <c r="D28" s="43"/>
      <c r="E28" s="43" t="s">
        <v>476</v>
      </c>
      <c r="F28" s="186">
        <v>41600</v>
      </c>
      <c r="K28" s="43" t="s">
        <v>487</v>
      </c>
      <c r="L28" s="43">
        <v>91</v>
      </c>
    </row>
    <row r="29" spans="1:19" x14ac:dyDescent="0.3">
      <c r="F29" s="73">
        <f>SUM(F10:F28)</f>
        <v>301557.86</v>
      </c>
      <c r="K29" s="43"/>
      <c r="L29" s="43">
        <f>L27*L28</f>
        <v>113750</v>
      </c>
    </row>
    <row r="30" spans="1:19" x14ac:dyDescent="0.3">
      <c r="K30" s="43" t="s">
        <v>488</v>
      </c>
      <c r="L30" s="73">
        <v>99130</v>
      </c>
    </row>
    <row r="31" spans="1:19" x14ac:dyDescent="0.3">
      <c r="K31" s="43"/>
      <c r="L31" s="106">
        <f>L29+L30</f>
        <v>212880</v>
      </c>
    </row>
    <row r="32" spans="1:19" x14ac:dyDescent="0.3">
      <c r="K32" s="178" t="s">
        <v>490</v>
      </c>
      <c r="L32" s="91">
        <v>-109464</v>
      </c>
    </row>
    <row r="33" spans="11:12" x14ac:dyDescent="0.3">
      <c r="K33" s="43" t="s">
        <v>488</v>
      </c>
      <c r="L33" s="200">
        <v>-25000</v>
      </c>
    </row>
    <row r="34" spans="11:12" x14ac:dyDescent="0.3">
      <c r="K34" s="43" t="s">
        <v>143</v>
      </c>
      <c r="L34" s="73">
        <f>L31+L32+L33</f>
        <v>78416</v>
      </c>
    </row>
  </sheetData>
  <mergeCells count="3">
    <mergeCell ref="E1:F1"/>
    <mergeCell ref="I1:L1"/>
    <mergeCell ref="J4:L4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F6EC-C0B8-4D8C-8D73-BEF0C4C054A3}">
  <dimension ref="A1:S34"/>
  <sheetViews>
    <sheetView workbookViewId="0">
      <selection activeCell="C15" sqref="C15"/>
    </sheetView>
  </sheetViews>
  <sheetFormatPr defaultRowHeight="14.4" x14ac:dyDescent="0.3"/>
  <cols>
    <col min="1" max="1" width="17.5546875" bestFit="1" customWidth="1"/>
    <col min="2" max="2" width="9.44140625" bestFit="1" customWidth="1"/>
    <col min="3" max="3" width="13.44140625" bestFit="1" customWidth="1"/>
    <col min="4" max="4" width="13.33203125" bestFit="1" customWidth="1"/>
    <col min="5" max="5" width="15.88671875" bestFit="1" customWidth="1"/>
    <col min="6" max="6" width="10.44140625" bestFit="1" customWidth="1"/>
    <col min="7" max="7" width="16.6640625" bestFit="1" customWidth="1"/>
    <col min="9" max="9" width="14" bestFit="1" customWidth="1"/>
    <col min="11" max="11" width="14" bestFit="1" customWidth="1"/>
    <col min="12" max="12" width="11.33203125" bestFit="1" customWidth="1"/>
    <col min="16" max="16" width="17.5546875" bestFit="1" customWidth="1"/>
    <col min="17" max="17" width="9.6640625" bestFit="1" customWidth="1"/>
    <col min="18" max="18" width="11.109375" bestFit="1" customWidth="1"/>
    <col min="19" max="19" width="13.33203125" bestFit="1" customWidth="1"/>
  </cols>
  <sheetData>
    <row r="1" spans="1:19" x14ac:dyDescent="0.3">
      <c r="A1" s="43" t="s">
        <v>6</v>
      </c>
      <c r="B1" s="186">
        <v>18000</v>
      </c>
      <c r="C1" s="191">
        <v>18000</v>
      </c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</row>
    <row r="2" spans="1:19" x14ac:dyDescent="0.3">
      <c r="A2" s="43" t="s">
        <v>0</v>
      </c>
      <c r="B2" s="186">
        <v>37000</v>
      </c>
      <c r="C2" s="191">
        <v>55000</v>
      </c>
      <c r="D2" s="186"/>
      <c r="E2" s="43"/>
      <c r="F2" s="73"/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19" x14ac:dyDescent="0.3">
      <c r="A3" s="43" t="s">
        <v>1</v>
      </c>
      <c r="B3" s="186">
        <v>5000</v>
      </c>
      <c r="C3" s="191">
        <v>5000</v>
      </c>
      <c r="D3" s="43"/>
      <c r="E3" s="43" t="s">
        <v>265</v>
      </c>
      <c r="F3" s="73">
        <v>30000</v>
      </c>
      <c r="G3" s="73"/>
      <c r="H3" s="30"/>
      <c r="I3" s="110" t="s">
        <v>382</v>
      </c>
      <c r="J3" s="157">
        <v>10</v>
      </c>
      <c r="K3" s="157">
        <v>999</v>
      </c>
      <c r="L3" s="194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</row>
    <row r="4" spans="1:19" x14ac:dyDescent="0.3">
      <c r="A4" s="43" t="s">
        <v>2</v>
      </c>
      <c r="B4" s="186">
        <v>2000</v>
      </c>
      <c r="C4" s="191">
        <v>2000</v>
      </c>
      <c r="D4" s="43"/>
      <c r="E4" s="43" t="s">
        <v>204</v>
      </c>
      <c r="F4" s="73">
        <v>50000</v>
      </c>
      <c r="G4" s="73"/>
      <c r="I4" s="110" t="s">
        <v>379</v>
      </c>
      <c r="J4" s="284" t="s">
        <v>473</v>
      </c>
      <c r="K4" s="285"/>
      <c r="L4" s="286"/>
      <c r="M4" s="192">
        <v>44682</v>
      </c>
      <c r="N4" s="43"/>
      <c r="O4" s="43"/>
      <c r="P4" s="73"/>
      <c r="R4" s="43"/>
      <c r="S4" s="73"/>
    </row>
    <row r="5" spans="1:19" x14ac:dyDescent="0.3">
      <c r="A5" s="43" t="s">
        <v>89</v>
      </c>
      <c r="B5" s="186">
        <v>33953</v>
      </c>
      <c r="C5" s="191">
        <v>33953</v>
      </c>
      <c r="D5" s="43" t="s">
        <v>450</v>
      </c>
      <c r="E5" s="43" t="s">
        <v>205</v>
      </c>
      <c r="F5" s="73">
        <v>18</v>
      </c>
      <c r="I5" s="110" t="s">
        <v>19</v>
      </c>
      <c r="J5" s="157">
        <v>22</v>
      </c>
      <c r="K5" s="157">
        <v>1321.63</v>
      </c>
      <c r="L5" s="194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</row>
    <row r="6" spans="1:19" x14ac:dyDescent="0.3">
      <c r="A6" s="43" t="s">
        <v>3</v>
      </c>
      <c r="B6" s="186">
        <v>2190</v>
      </c>
      <c r="C6" s="191">
        <v>2190</v>
      </c>
      <c r="D6" s="43"/>
      <c r="E6" s="43" t="s">
        <v>6</v>
      </c>
      <c r="F6" s="73">
        <f>SUM(F4:F5)</f>
        <v>50018</v>
      </c>
      <c r="I6" s="110" t="s">
        <v>362</v>
      </c>
      <c r="J6" s="157">
        <v>6</v>
      </c>
      <c r="K6" s="157">
        <v>1918.68</v>
      </c>
      <c r="L6" s="194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</row>
    <row r="7" spans="1:19" x14ac:dyDescent="0.3">
      <c r="A7" s="43" t="s">
        <v>9</v>
      </c>
      <c r="B7" s="186">
        <v>1100</v>
      </c>
      <c r="C7" s="191">
        <v>1100</v>
      </c>
      <c r="D7" s="43"/>
      <c r="E7" s="43" t="s">
        <v>428</v>
      </c>
      <c r="F7" s="44">
        <f>B24</f>
        <v>277253</v>
      </c>
      <c r="I7" s="110" t="s">
        <v>363</v>
      </c>
      <c r="J7" s="157">
        <v>5</v>
      </c>
      <c r="K7" s="157">
        <v>1049.19</v>
      </c>
      <c r="L7" s="194">
        <f t="shared" si="1"/>
        <v>5245.9500000000007</v>
      </c>
      <c r="M7" s="192">
        <v>45108</v>
      </c>
      <c r="N7" s="43"/>
      <c r="O7" s="43"/>
      <c r="P7" s="73"/>
      <c r="R7" s="43"/>
      <c r="S7" s="73"/>
    </row>
    <row r="8" spans="1:19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7">
        <v>11</v>
      </c>
      <c r="K8" s="157">
        <v>470.99</v>
      </c>
      <c r="L8" s="194">
        <f t="shared" si="1"/>
        <v>5180.8900000000003</v>
      </c>
      <c r="M8" s="192">
        <v>45108</v>
      </c>
      <c r="N8" s="43"/>
      <c r="O8" s="43"/>
      <c r="P8" s="108">
        <f>SUM(P3:P6)</f>
        <v>2240000</v>
      </c>
      <c r="R8" s="43"/>
      <c r="S8" s="73">
        <f>SUM(S3:S6)</f>
        <v>1290975</v>
      </c>
    </row>
    <row r="9" spans="1:19" x14ac:dyDescent="0.3">
      <c r="A9" s="43" t="s">
        <v>107</v>
      </c>
      <c r="B9" s="186">
        <v>590</v>
      </c>
      <c r="C9" s="191">
        <v>590</v>
      </c>
      <c r="D9" s="43"/>
      <c r="E9" s="43"/>
      <c r="F9" s="43"/>
      <c r="I9" s="110" t="s">
        <v>377</v>
      </c>
      <c r="J9" s="157">
        <v>4</v>
      </c>
      <c r="K9" s="157">
        <v>1376.72</v>
      </c>
      <c r="L9" s="194">
        <f t="shared" si="1"/>
        <v>5506.88</v>
      </c>
      <c r="N9" s="43"/>
      <c r="O9" s="43"/>
      <c r="P9" s="73"/>
      <c r="R9" s="43"/>
      <c r="S9" s="73"/>
    </row>
    <row r="10" spans="1:19" x14ac:dyDescent="0.3">
      <c r="A10" s="43" t="s">
        <v>174</v>
      </c>
      <c r="B10" s="186">
        <v>5000</v>
      </c>
      <c r="C10" s="191">
        <v>5000</v>
      </c>
      <c r="D10" s="43"/>
      <c r="E10" s="43" t="s">
        <v>442</v>
      </c>
      <c r="F10" s="73">
        <v>234.82</v>
      </c>
      <c r="I10" s="110" t="s">
        <v>387</v>
      </c>
      <c r="J10" s="157">
        <v>5</v>
      </c>
      <c r="K10" s="157">
        <v>936.51</v>
      </c>
      <c r="L10" s="194">
        <f t="shared" si="1"/>
        <v>4682.55</v>
      </c>
      <c r="M10" s="192">
        <v>45108</v>
      </c>
      <c r="N10" s="43"/>
      <c r="O10" s="43" t="s">
        <v>339</v>
      </c>
      <c r="P10" s="134">
        <v>500000</v>
      </c>
      <c r="S10" s="30"/>
    </row>
    <row r="11" spans="1:19" x14ac:dyDescent="0.3">
      <c r="A11" s="178" t="s">
        <v>414</v>
      </c>
      <c r="B11" s="187">
        <v>41452</v>
      </c>
      <c r="C11" s="191">
        <v>41452</v>
      </c>
      <c r="D11" s="43" t="s">
        <v>451</v>
      </c>
      <c r="E11" s="43" t="s">
        <v>441</v>
      </c>
      <c r="F11" s="73">
        <v>1419.04</v>
      </c>
      <c r="I11" s="110" t="s">
        <v>380</v>
      </c>
      <c r="J11" s="157">
        <v>5</v>
      </c>
      <c r="K11" s="157">
        <v>959.34</v>
      </c>
      <c r="L11" s="194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</row>
    <row r="12" spans="1:19" x14ac:dyDescent="0.3">
      <c r="A12" s="178" t="s">
        <v>478</v>
      </c>
      <c r="B12" s="203">
        <v>39000</v>
      </c>
      <c r="C12" s="204">
        <v>39000</v>
      </c>
      <c r="D12" s="85" t="s">
        <v>495</v>
      </c>
      <c r="E12" s="43" t="s">
        <v>443</v>
      </c>
      <c r="F12" s="73">
        <v>3500</v>
      </c>
      <c r="I12" s="110" t="s">
        <v>385</v>
      </c>
      <c r="J12" s="157">
        <v>50</v>
      </c>
      <c r="K12" s="157">
        <v>43.35</v>
      </c>
      <c r="L12" s="194">
        <f t="shared" si="1"/>
        <v>2167.5</v>
      </c>
      <c r="N12" s="43"/>
      <c r="O12" s="43" t="s">
        <v>6</v>
      </c>
      <c r="P12" s="134">
        <v>50000</v>
      </c>
    </row>
    <row r="13" spans="1:19" x14ac:dyDescent="0.3">
      <c r="A13" s="43" t="s">
        <v>492</v>
      </c>
      <c r="B13" s="43">
        <v>549</v>
      </c>
      <c r="C13" s="204">
        <v>549</v>
      </c>
      <c r="D13" s="43"/>
      <c r="E13" s="43" t="s">
        <v>455</v>
      </c>
      <c r="F13" s="73">
        <v>8000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</row>
    <row r="14" spans="1:19" ht="15" thickBot="1" x14ac:dyDescent="0.35">
      <c r="A14" s="87" t="s">
        <v>493</v>
      </c>
      <c r="B14" s="187">
        <v>15000</v>
      </c>
      <c r="C14" s="204">
        <v>15000</v>
      </c>
      <c r="D14" s="205" t="s">
        <v>494</v>
      </c>
      <c r="E14" s="43" t="s">
        <v>456</v>
      </c>
      <c r="F14" s="73">
        <v>1000</v>
      </c>
      <c r="I14" s="169" t="s">
        <v>447</v>
      </c>
      <c r="J14" s="173">
        <v>4</v>
      </c>
      <c r="K14" s="173">
        <v>507.02</v>
      </c>
      <c r="L14" s="195">
        <f t="shared" si="1"/>
        <v>2028.08</v>
      </c>
      <c r="N14" s="43"/>
      <c r="O14" s="43" t="s">
        <v>408</v>
      </c>
      <c r="P14" s="134">
        <v>10000</v>
      </c>
    </row>
    <row r="15" spans="1:19" x14ac:dyDescent="0.3">
      <c r="A15" s="43" t="s">
        <v>123</v>
      </c>
      <c r="B15" s="186">
        <v>15000</v>
      </c>
      <c r="C15" s="204">
        <v>15000</v>
      </c>
      <c r="D15" s="43"/>
      <c r="E15" s="43" t="s">
        <v>457</v>
      </c>
      <c r="F15" s="73">
        <v>5074</v>
      </c>
      <c r="L15" s="193">
        <f>SUM(L4:L14)</f>
        <v>72210.990000000005</v>
      </c>
      <c r="N15" s="43"/>
      <c r="O15" s="43"/>
      <c r="P15" s="134">
        <f>SUM(P10:P14)</f>
        <v>815000</v>
      </c>
    </row>
    <row r="16" spans="1:19" x14ac:dyDescent="0.3">
      <c r="A16" s="178" t="s">
        <v>475</v>
      </c>
      <c r="B16" s="186">
        <v>50000</v>
      </c>
      <c r="C16" s="204">
        <v>50000</v>
      </c>
      <c r="D16" s="43"/>
      <c r="E16" s="43" t="s">
        <v>458</v>
      </c>
      <c r="F16" s="73">
        <v>113280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</row>
    <row r="17" spans="1:19" x14ac:dyDescent="0.3">
      <c r="A17" s="73"/>
      <c r="B17" s="73"/>
      <c r="C17" s="73"/>
      <c r="D17" s="202"/>
      <c r="E17" s="43" t="s">
        <v>459</v>
      </c>
      <c r="F17" s="73">
        <v>750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19" ht="15" thickBot="1" x14ac:dyDescent="0.35">
      <c r="A18" s="73"/>
      <c r="B18" s="73"/>
      <c r="C18" s="73"/>
      <c r="D18" s="202"/>
      <c r="E18" s="43" t="s">
        <v>463</v>
      </c>
      <c r="F18" s="73">
        <v>1000</v>
      </c>
      <c r="G18" s="167" t="s">
        <v>109</v>
      </c>
      <c r="H18" s="116">
        <v>18195</v>
      </c>
      <c r="I18" s="113">
        <v>44958</v>
      </c>
      <c r="N18" s="43"/>
      <c r="O18" s="43"/>
      <c r="R18" t="s">
        <v>412</v>
      </c>
      <c r="S18" s="73">
        <v>93000</v>
      </c>
    </row>
    <row r="19" spans="1:19" ht="15" thickBot="1" x14ac:dyDescent="0.35">
      <c r="A19" s="123" t="s">
        <v>81</v>
      </c>
      <c r="B19" s="123">
        <v>50000</v>
      </c>
      <c r="C19" s="186"/>
      <c r="D19" s="72"/>
      <c r="E19" s="43" t="s">
        <v>464</v>
      </c>
      <c r="F19" s="73">
        <v>700</v>
      </c>
      <c r="G19" s="181" t="s">
        <v>268</v>
      </c>
      <c r="H19" s="112">
        <v>10526</v>
      </c>
      <c r="I19" s="113">
        <v>44958</v>
      </c>
      <c r="N19" s="43"/>
      <c r="O19" s="104" t="s">
        <v>410</v>
      </c>
      <c r="P19" s="177">
        <f>(P17-P16)</f>
        <v>-151000</v>
      </c>
      <c r="S19" s="73">
        <f>SUM(S17:S18)</f>
        <v>147000</v>
      </c>
    </row>
    <row r="20" spans="1:19" x14ac:dyDescent="0.3">
      <c r="A20" s="123" t="s">
        <v>123</v>
      </c>
      <c r="B20" s="123">
        <v>48000</v>
      </c>
      <c r="C20" s="186">
        <f>B20-C15</f>
        <v>33000</v>
      </c>
      <c r="D20" s="72">
        <v>15000</v>
      </c>
      <c r="E20" s="43" t="s">
        <v>465</v>
      </c>
      <c r="F20" s="73">
        <v>2000</v>
      </c>
      <c r="G20" s="80" t="s">
        <v>298</v>
      </c>
      <c r="H20" s="80">
        <v>5000</v>
      </c>
      <c r="I20" s="113">
        <v>44896</v>
      </c>
      <c r="N20" s="43"/>
      <c r="O20" s="43"/>
      <c r="P20" s="89"/>
      <c r="R20" t="s">
        <v>411</v>
      </c>
      <c r="S20" s="73">
        <v>90000</v>
      </c>
    </row>
    <row r="21" spans="1:19" x14ac:dyDescent="0.3">
      <c r="A21" s="123" t="s">
        <v>475</v>
      </c>
      <c r="B21" s="123">
        <v>100000</v>
      </c>
      <c r="C21" s="186">
        <f>B21-C16</f>
        <v>50000</v>
      </c>
      <c r="D21" s="43"/>
      <c r="E21" s="43" t="s">
        <v>462</v>
      </c>
      <c r="F21" s="73">
        <v>5000</v>
      </c>
      <c r="G21" s="80" t="s">
        <v>256</v>
      </c>
      <c r="H21" s="80">
        <v>7600</v>
      </c>
      <c r="I21" s="113">
        <v>44932</v>
      </c>
      <c r="K21" s="43" t="s">
        <v>479</v>
      </c>
      <c r="L21" s="43" t="s">
        <v>480</v>
      </c>
      <c r="S21" s="73">
        <f>(S19-S20)</f>
        <v>57000</v>
      </c>
    </row>
    <row r="22" spans="1:19" x14ac:dyDescent="0.3">
      <c r="A22" s="116" t="s">
        <v>203</v>
      </c>
      <c r="B22" s="190">
        <v>13000</v>
      </c>
      <c r="C22" s="186"/>
      <c r="D22" s="145"/>
      <c r="E22" s="43" t="s">
        <v>467</v>
      </c>
      <c r="F22" s="73">
        <v>6700</v>
      </c>
      <c r="G22" s="115" t="s">
        <v>431</v>
      </c>
      <c r="H22" s="116">
        <v>20481</v>
      </c>
      <c r="I22" s="113">
        <v>44905</v>
      </c>
      <c r="K22" s="43"/>
      <c r="L22" s="43" t="s">
        <v>481</v>
      </c>
      <c r="R22" s="65"/>
      <c r="S22" s="73"/>
    </row>
    <row r="23" spans="1:19" x14ac:dyDescent="0.3">
      <c r="A23" s="115" t="s">
        <v>381</v>
      </c>
      <c r="B23" s="190">
        <v>20000</v>
      </c>
      <c r="C23" s="186">
        <v>60000</v>
      </c>
      <c r="D23" s="43">
        <v>40000</v>
      </c>
      <c r="E23" s="43" t="s">
        <v>468</v>
      </c>
      <c r="F23" s="73">
        <f>'September 23'!AO30</f>
        <v>0</v>
      </c>
      <c r="G23" s="115"/>
      <c r="H23" s="116"/>
      <c r="I23" s="113"/>
      <c r="K23" s="43"/>
      <c r="L23" s="43" t="s">
        <v>482</v>
      </c>
      <c r="R23" t="s">
        <v>142</v>
      </c>
      <c r="S23" s="73">
        <v>200000</v>
      </c>
    </row>
    <row r="24" spans="1:19" x14ac:dyDescent="0.3">
      <c r="A24" s="64" t="s">
        <v>5</v>
      </c>
      <c r="B24" s="186">
        <f>SUM(B1:B16)</f>
        <v>277253</v>
      </c>
      <c r="C24" s="186">
        <f>SUM(C1:C17)</f>
        <v>295253</v>
      </c>
      <c r="D24" s="72"/>
      <c r="E24" s="43" t="s">
        <v>469</v>
      </c>
      <c r="F24" s="73">
        <v>51800</v>
      </c>
      <c r="G24" s="124"/>
      <c r="H24" s="118"/>
      <c r="I24" s="113"/>
      <c r="K24" s="43"/>
      <c r="L24" s="43" t="s">
        <v>483</v>
      </c>
      <c r="R24" t="s">
        <v>206</v>
      </c>
      <c r="S24" s="73">
        <f>(S21+S23)</f>
        <v>257000</v>
      </c>
    </row>
    <row r="25" spans="1:19" x14ac:dyDescent="0.3">
      <c r="A25" s="43"/>
      <c r="B25" s="43"/>
      <c r="C25" s="43"/>
      <c r="D25" s="72"/>
      <c r="E25" s="178" t="s">
        <v>470</v>
      </c>
      <c r="F25" s="179">
        <v>22000</v>
      </c>
      <c r="G25" s="43"/>
      <c r="H25" s="106"/>
      <c r="I25" s="114"/>
      <c r="K25" s="199"/>
      <c r="L25" s="43">
        <v>1270</v>
      </c>
      <c r="O25">
        <v>176000</v>
      </c>
      <c r="S25" s="73"/>
    </row>
    <row r="26" spans="1:19" x14ac:dyDescent="0.3">
      <c r="A26" s="64" t="s">
        <v>228</v>
      </c>
      <c r="B26" s="43"/>
      <c r="C26" s="62">
        <f>(C24-B24)</f>
        <v>18000</v>
      </c>
      <c r="D26" s="43" t="s">
        <v>227</v>
      </c>
      <c r="E26" s="43" t="s">
        <v>471</v>
      </c>
      <c r="F26" s="73">
        <v>11500</v>
      </c>
      <c r="K26" s="73" t="s">
        <v>485</v>
      </c>
      <c r="L26" s="43" t="s">
        <v>484</v>
      </c>
      <c r="O26">
        <v>152000</v>
      </c>
      <c r="R26" t="s">
        <v>413</v>
      </c>
      <c r="S26" s="73">
        <v>260000</v>
      </c>
    </row>
    <row r="27" spans="1:19" x14ac:dyDescent="0.3">
      <c r="A27" s="64"/>
      <c r="B27" s="43"/>
      <c r="C27" s="43"/>
      <c r="D27" s="43"/>
      <c r="E27" s="43" t="s">
        <v>472</v>
      </c>
      <c r="F27" s="73">
        <v>26000</v>
      </c>
      <c r="K27" s="43" t="s">
        <v>486</v>
      </c>
      <c r="L27" s="43">
        <v>1250</v>
      </c>
      <c r="O27">
        <f>O25-O26</f>
        <v>24000</v>
      </c>
      <c r="S27" s="30">
        <f>(S26-S24)</f>
        <v>3000</v>
      </c>
    </row>
    <row r="28" spans="1:19" x14ac:dyDescent="0.3">
      <c r="A28" s="64" t="s">
        <v>225</v>
      </c>
      <c r="B28" s="43"/>
      <c r="C28" s="62">
        <f>(F6+C26)</f>
        <v>68018</v>
      </c>
      <c r="D28" s="43"/>
      <c r="E28" s="43" t="s">
        <v>476</v>
      </c>
      <c r="F28" s="186">
        <v>41600</v>
      </c>
      <c r="K28" s="43" t="s">
        <v>487</v>
      </c>
      <c r="L28" s="43">
        <v>91</v>
      </c>
    </row>
    <row r="29" spans="1:19" x14ac:dyDescent="0.3">
      <c r="F29" s="73">
        <f>SUM(F10:F28)</f>
        <v>301557.86</v>
      </c>
      <c r="K29" s="43"/>
      <c r="L29" s="43">
        <f>L27*L28</f>
        <v>113750</v>
      </c>
    </row>
    <row r="30" spans="1:19" x14ac:dyDescent="0.3">
      <c r="K30" s="43" t="s">
        <v>488</v>
      </c>
      <c r="L30" s="73">
        <v>99130</v>
      </c>
    </row>
    <row r="31" spans="1:19" x14ac:dyDescent="0.3">
      <c r="K31" s="43"/>
      <c r="L31" s="106">
        <f>L29+L30</f>
        <v>212880</v>
      </c>
    </row>
    <row r="32" spans="1:19" x14ac:dyDescent="0.3">
      <c r="K32" s="178" t="s">
        <v>490</v>
      </c>
      <c r="L32" s="91">
        <v>-109464</v>
      </c>
    </row>
    <row r="33" spans="11:12" x14ac:dyDescent="0.3">
      <c r="K33" s="43" t="s">
        <v>488</v>
      </c>
      <c r="L33" s="200">
        <v>-25000</v>
      </c>
    </row>
    <row r="34" spans="11:12" x14ac:dyDescent="0.3">
      <c r="K34" s="43" t="s">
        <v>143</v>
      </c>
      <c r="L34" s="73">
        <f>L31+L32+L33</f>
        <v>78416</v>
      </c>
    </row>
  </sheetData>
  <mergeCells count="3">
    <mergeCell ref="E1:F1"/>
    <mergeCell ref="I1:L1"/>
    <mergeCell ref="J4:L4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470-DF69-4347-9527-39A38D7AF058}">
  <dimension ref="A1:S44"/>
  <sheetViews>
    <sheetView workbookViewId="0">
      <selection activeCell="A14" sqref="A14"/>
    </sheetView>
  </sheetViews>
  <sheetFormatPr defaultRowHeight="14.4" x14ac:dyDescent="0.3"/>
  <cols>
    <col min="1" max="1" width="17.5546875" bestFit="1" customWidth="1"/>
    <col min="2" max="2" width="9.44140625" bestFit="1" customWidth="1"/>
    <col min="3" max="3" width="13.44140625" bestFit="1" customWidth="1"/>
    <col min="5" max="5" width="15.88671875" bestFit="1" customWidth="1"/>
    <col min="6" max="6" width="10.44140625" bestFit="1" customWidth="1"/>
    <col min="7" max="7" width="16.6640625" bestFit="1" customWidth="1"/>
    <col min="9" max="9" width="14" bestFit="1" customWidth="1"/>
    <col min="11" max="11" width="14" bestFit="1" customWidth="1"/>
    <col min="12" max="12" width="11.33203125" bestFit="1" customWidth="1"/>
    <col min="16" max="16" width="17.5546875" bestFit="1" customWidth="1"/>
    <col min="17" max="17" width="9.6640625" bestFit="1" customWidth="1"/>
    <col min="18" max="18" width="11.109375" bestFit="1" customWidth="1"/>
    <col min="19" max="19" width="13.33203125" bestFit="1" customWidth="1"/>
  </cols>
  <sheetData>
    <row r="1" spans="1:19" x14ac:dyDescent="0.3">
      <c r="A1" s="43" t="s">
        <v>6</v>
      </c>
      <c r="B1" s="186">
        <v>18000</v>
      </c>
      <c r="C1" s="191">
        <v>18000</v>
      </c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</row>
    <row r="2" spans="1:19" x14ac:dyDescent="0.3">
      <c r="A2" s="43" t="s">
        <v>0</v>
      </c>
      <c r="B2" s="186">
        <v>29867</v>
      </c>
      <c r="C2" s="191">
        <v>29867</v>
      </c>
      <c r="D2" s="186"/>
      <c r="E2" s="43"/>
      <c r="F2" s="73"/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19" x14ac:dyDescent="0.3">
      <c r="A3" s="43" t="s">
        <v>1</v>
      </c>
      <c r="B3" s="186">
        <v>5000</v>
      </c>
      <c r="C3" s="191">
        <v>5000</v>
      </c>
      <c r="D3" s="43"/>
      <c r="E3" s="43" t="s">
        <v>265</v>
      </c>
      <c r="F3" s="73">
        <v>30000</v>
      </c>
      <c r="G3" s="73"/>
      <c r="H3" s="30"/>
      <c r="I3" s="110" t="s">
        <v>382</v>
      </c>
      <c r="J3" s="157">
        <v>10</v>
      </c>
      <c r="K3" s="157">
        <v>999</v>
      </c>
      <c r="L3" s="194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</row>
    <row r="4" spans="1:19" x14ac:dyDescent="0.3">
      <c r="A4" s="43" t="s">
        <v>2</v>
      </c>
      <c r="B4" s="186">
        <v>2000</v>
      </c>
      <c r="C4" s="191">
        <v>2000</v>
      </c>
      <c r="D4" s="43"/>
      <c r="E4" s="43" t="s">
        <v>204</v>
      </c>
      <c r="F4" s="73">
        <v>50000</v>
      </c>
      <c r="G4" s="73"/>
      <c r="I4" s="110" t="s">
        <v>379</v>
      </c>
      <c r="J4" s="284" t="s">
        <v>473</v>
      </c>
      <c r="K4" s="285"/>
      <c r="L4" s="286"/>
      <c r="M4" s="192">
        <v>44682</v>
      </c>
      <c r="N4" s="43"/>
      <c r="O4" s="43"/>
      <c r="P4" s="73"/>
      <c r="R4" s="43"/>
      <c r="S4" s="73"/>
    </row>
    <row r="5" spans="1:19" x14ac:dyDescent="0.3">
      <c r="A5" s="43" t="s">
        <v>89</v>
      </c>
      <c r="B5" s="186">
        <v>33953</v>
      </c>
      <c r="C5" s="191">
        <v>33953</v>
      </c>
      <c r="D5" s="43" t="s">
        <v>450</v>
      </c>
      <c r="E5" s="43" t="s">
        <v>205</v>
      </c>
      <c r="F5" s="73">
        <v>18</v>
      </c>
      <c r="I5" s="110" t="s">
        <v>19</v>
      </c>
      <c r="J5" s="157">
        <v>22</v>
      </c>
      <c r="K5" s="157">
        <v>1321.63</v>
      </c>
      <c r="L5" s="194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</row>
    <row r="6" spans="1:19" x14ac:dyDescent="0.3">
      <c r="A6" s="43" t="s">
        <v>3</v>
      </c>
      <c r="B6" s="186">
        <v>2000</v>
      </c>
      <c r="C6" s="191">
        <v>1500</v>
      </c>
      <c r="D6" s="43"/>
      <c r="E6" s="43" t="s">
        <v>6</v>
      </c>
      <c r="F6" s="73">
        <f>SUM(F4:F5)</f>
        <v>50018</v>
      </c>
      <c r="I6" s="110" t="s">
        <v>362</v>
      </c>
      <c r="J6" s="157">
        <v>6</v>
      </c>
      <c r="K6" s="157">
        <v>1918.68</v>
      </c>
      <c r="L6" s="194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</row>
    <row r="7" spans="1:19" x14ac:dyDescent="0.3">
      <c r="A7" s="43" t="s">
        <v>9</v>
      </c>
      <c r="B7" s="186">
        <v>700</v>
      </c>
      <c r="C7" s="191">
        <v>700</v>
      </c>
      <c r="D7" s="43"/>
      <c r="E7" s="43" t="s">
        <v>429</v>
      </c>
      <c r="F7" s="44">
        <f>B24</f>
        <v>237490.61</v>
      </c>
      <c r="I7" s="110" t="s">
        <v>363</v>
      </c>
      <c r="J7" s="157">
        <v>5</v>
      </c>
      <c r="K7" s="157">
        <v>1049.19</v>
      </c>
      <c r="L7" s="194">
        <f t="shared" si="1"/>
        <v>5245.9500000000007</v>
      </c>
      <c r="M7" s="192">
        <v>45108</v>
      </c>
      <c r="N7" s="43"/>
      <c r="O7" s="43"/>
      <c r="P7" s="73"/>
      <c r="R7" s="43"/>
      <c r="S7" s="73"/>
    </row>
    <row r="8" spans="1:19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7">
        <v>11</v>
      </c>
      <c r="K8" s="157">
        <v>470.99</v>
      </c>
      <c r="L8" s="194">
        <f t="shared" si="1"/>
        <v>5180.8900000000003</v>
      </c>
      <c r="M8" s="192">
        <v>45108</v>
      </c>
      <c r="N8" s="43"/>
      <c r="O8" s="43"/>
      <c r="P8" s="108">
        <f>SUM(P3:P6)</f>
        <v>2240000</v>
      </c>
      <c r="R8" s="43"/>
      <c r="S8" s="73">
        <f>SUM(S3:S6)</f>
        <v>1290975</v>
      </c>
    </row>
    <row r="9" spans="1:19" x14ac:dyDescent="0.3">
      <c r="A9" s="43" t="s">
        <v>107</v>
      </c>
      <c r="B9" s="186">
        <v>590</v>
      </c>
      <c r="C9" s="191">
        <v>590</v>
      </c>
      <c r="D9" s="43"/>
      <c r="E9" s="43"/>
      <c r="F9" s="43"/>
      <c r="I9" s="110" t="s">
        <v>377</v>
      </c>
      <c r="J9" s="157">
        <v>4</v>
      </c>
      <c r="K9" s="157">
        <v>1376.72</v>
      </c>
      <c r="L9" s="194">
        <f t="shared" si="1"/>
        <v>5506.88</v>
      </c>
      <c r="N9" s="43"/>
      <c r="O9" s="43"/>
      <c r="P9" s="73"/>
      <c r="R9" s="43"/>
      <c r="S9" s="73"/>
    </row>
    <row r="10" spans="1:19" x14ac:dyDescent="0.3">
      <c r="A10" s="43" t="s">
        <v>174</v>
      </c>
      <c r="B10" s="186">
        <v>5000</v>
      </c>
      <c r="C10" s="191">
        <v>2000</v>
      </c>
      <c r="D10" s="43"/>
      <c r="E10" s="43" t="s">
        <v>442</v>
      </c>
      <c r="F10" s="73">
        <v>234.82</v>
      </c>
      <c r="I10" s="110" t="s">
        <v>387</v>
      </c>
      <c r="J10" s="157">
        <v>5</v>
      </c>
      <c r="K10" s="157">
        <v>936.51</v>
      </c>
      <c r="L10" s="194">
        <f t="shared" si="1"/>
        <v>4682.55</v>
      </c>
      <c r="M10" s="192">
        <v>45108</v>
      </c>
      <c r="N10" s="43"/>
      <c r="O10" s="43" t="s">
        <v>339</v>
      </c>
      <c r="P10" s="134">
        <v>500000</v>
      </c>
      <c r="S10" s="30"/>
    </row>
    <row r="11" spans="1:19" x14ac:dyDescent="0.3">
      <c r="A11" s="43" t="s">
        <v>414</v>
      </c>
      <c r="B11" s="186">
        <v>41452</v>
      </c>
      <c r="C11" s="191">
        <v>41452</v>
      </c>
      <c r="D11" s="43" t="s">
        <v>451</v>
      </c>
      <c r="E11" s="43" t="s">
        <v>441</v>
      </c>
      <c r="F11" s="73">
        <v>1419.04</v>
      </c>
      <c r="I11" s="110" t="s">
        <v>380</v>
      </c>
      <c r="J11" s="157">
        <v>5</v>
      </c>
      <c r="K11" s="157">
        <v>959.34</v>
      </c>
      <c r="L11" s="194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</row>
    <row r="12" spans="1:19" x14ac:dyDescent="0.3">
      <c r="A12" s="178" t="s">
        <v>496</v>
      </c>
      <c r="B12" s="186">
        <v>32000</v>
      </c>
      <c r="C12" s="191">
        <v>32000</v>
      </c>
      <c r="D12" s="85"/>
      <c r="E12" s="43" t="s">
        <v>443</v>
      </c>
      <c r="F12" s="73">
        <v>3500</v>
      </c>
      <c r="I12" s="110" t="s">
        <v>385</v>
      </c>
      <c r="J12" s="157">
        <v>50</v>
      </c>
      <c r="K12" s="157">
        <v>43.35</v>
      </c>
      <c r="L12" s="194">
        <f t="shared" si="1"/>
        <v>2167.5</v>
      </c>
      <c r="N12" s="43"/>
      <c r="O12" s="43" t="s">
        <v>6</v>
      </c>
      <c r="P12" s="134">
        <v>50000</v>
      </c>
    </row>
    <row r="13" spans="1:19" x14ac:dyDescent="0.3">
      <c r="A13" s="43" t="s">
        <v>256</v>
      </c>
      <c r="B13" s="186">
        <v>10421</v>
      </c>
      <c r="C13" s="191">
        <v>10421</v>
      </c>
      <c r="D13" s="43"/>
      <c r="E13" s="43" t="s">
        <v>455</v>
      </c>
      <c r="F13" s="73">
        <v>8000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</row>
    <row r="14" spans="1:19" ht="15" thickBot="1" x14ac:dyDescent="0.35">
      <c r="A14" s="87" t="s">
        <v>435</v>
      </c>
      <c r="B14" s="186">
        <v>20481</v>
      </c>
      <c r="C14" s="191">
        <v>20481</v>
      </c>
      <c r="D14" s="205"/>
      <c r="E14" s="43" t="s">
        <v>456</v>
      </c>
      <c r="F14" s="73">
        <v>1000</v>
      </c>
      <c r="I14" s="169" t="s">
        <v>447</v>
      </c>
      <c r="J14" s="173">
        <v>4</v>
      </c>
      <c r="K14" s="173">
        <v>507.02</v>
      </c>
      <c r="L14" s="195">
        <f t="shared" si="1"/>
        <v>2028.08</v>
      </c>
      <c r="N14" s="43"/>
      <c r="O14" s="43" t="s">
        <v>408</v>
      </c>
      <c r="P14" s="134">
        <v>10000</v>
      </c>
    </row>
    <row r="15" spans="1:19" x14ac:dyDescent="0.3">
      <c r="A15" s="43" t="s">
        <v>497</v>
      </c>
      <c r="B15" s="186">
        <f>H44+12675</f>
        <v>24607.61</v>
      </c>
      <c r="C15" s="191">
        <v>26000</v>
      </c>
      <c r="D15" s="43"/>
      <c r="E15" s="43" t="s">
        <v>457</v>
      </c>
      <c r="F15" s="73">
        <v>5074</v>
      </c>
      <c r="L15" s="193">
        <f>SUM(L4:L14)</f>
        <v>72210.990000000005</v>
      </c>
      <c r="N15" s="43"/>
      <c r="O15" s="43"/>
      <c r="P15" s="134">
        <f>SUM(P10:P14)</f>
        <v>815000</v>
      </c>
    </row>
    <row r="16" spans="1:19" x14ac:dyDescent="0.3">
      <c r="A16" s="178"/>
      <c r="B16" s="186"/>
      <c r="C16" s="186"/>
      <c r="D16" s="43"/>
      <c r="E16" s="43" t="s">
        <v>458</v>
      </c>
      <c r="F16" s="73">
        <v>113280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</row>
    <row r="17" spans="1:19" x14ac:dyDescent="0.3">
      <c r="A17" s="73"/>
      <c r="B17" s="73"/>
      <c r="C17" s="73"/>
      <c r="D17" s="202"/>
      <c r="E17" s="43" t="s">
        <v>459</v>
      </c>
      <c r="F17" s="73">
        <v>750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19" ht="15" thickBot="1" x14ac:dyDescent="0.35">
      <c r="A18" s="73"/>
      <c r="B18" s="73"/>
      <c r="C18" s="73"/>
      <c r="D18" s="202"/>
      <c r="E18" s="43" t="s">
        <v>463</v>
      </c>
      <c r="F18" s="73">
        <v>1000</v>
      </c>
      <c r="G18" s="167" t="s">
        <v>109</v>
      </c>
      <c r="H18" s="116">
        <v>18195</v>
      </c>
      <c r="I18" s="113">
        <v>44958</v>
      </c>
      <c r="N18" s="43"/>
      <c r="O18" s="43"/>
      <c r="R18" t="s">
        <v>412</v>
      </c>
      <c r="S18" s="73">
        <v>93000</v>
      </c>
    </row>
    <row r="19" spans="1:19" ht="15" thickBot="1" x14ac:dyDescent="0.35">
      <c r="A19" s="123" t="s">
        <v>81</v>
      </c>
      <c r="B19" s="123">
        <v>50000</v>
      </c>
      <c r="C19" s="186"/>
      <c r="D19" s="72"/>
      <c r="E19" s="43" t="s">
        <v>464</v>
      </c>
      <c r="F19" s="73">
        <v>700</v>
      </c>
      <c r="G19" s="181" t="s">
        <v>268</v>
      </c>
      <c r="H19" s="112">
        <v>10526</v>
      </c>
      <c r="I19" s="113">
        <v>44958</v>
      </c>
      <c r="N19" s="43"/>
      <c r="O19" s="104" t="s">
        <v>410</v>
      </c>
      <c r="P19" s="177">
        <f>(P17-P16)</f>
        <v>-151000</v>
      </c>
      <c r="S19" s="73">
        <f>SUM(S17:S18)</f>
        <v>147000</v>
      </c>
    </row>
    <row r="20" spans="1:19" x14ac:dyDescent="0.3">
      <c r="A20" s="123" t="s">
        <v>123</v>
      </c>
      <c r="B20" s="123">
        <v>33000</v>
      </c>
      <c r="C20" s="186"/>
      <c r="D20" s="72"/>
      <c r="E20" s="43" t="s">
        <v>465</v>
      </c>
      <c r="F20" s="73">
        <v>2000</v>
      </c>
      <c r="G20" s="80" t="s">
        <v>298</v>
      </c>
      <c r="H20" s="80">
        <v>5000</v>
      </c>
      <c r="I20" s="113">
        <v>44896</v>
      </c>
      <c r="N20" s="43"/>
      <c r="O20" s="43"/>
      <c r="P20" s="89"/>
      <c r="R20" t="s">
        <v>411</v>
      </c>
      <c r="S20" s="73">
        <v>90000</v>
      </c>
    </row>
    <row r="21" spans="1:19" x14ac:dyDescent="0.3">
      <c r="A21" s="123" t="s">
        <v>475</v>
      </c>
      <c r="B21" s="123">
        <v>50000</v>
      </c>
      <c r="C21" s="197"/>
      <c r="D21" s="43"/>
      <c r="E21" s="43" t="s">
        <v>462</v>
      </c>
      <c r="F21" s="73">
        <v>5000</v>
      </c>
      <c r="G21" s="80" t="s">
        <v>256</v>
      </c>
      <c r="H21" s="80">
        <v>7600</v>
      </c>
      <c r="I21" s="113">
        <v>44932</v>
      </c>
      <c r="K21" s="43" t="s">
        <v>479</v>
      </c>
      <c r="L21" s="43" t="s">
        <v>480</v>
      </c>
      <c r="S21" s="73">
        <f>(S19-S20)</f>
        <v>57000</v>
      </c>
    </row>
    <row r="22" spans="1:19" x14ac:dyDescent="0.3">
      <c r="A22" s="116" t="s">
        <v>203</v>
      </c>
      <c r="B22" s="190">
        <v>13000</v>
      </c>
      <c r="C22" s="186"/>
      <c r="D22" s="145"/>
      <c r="E22" s="43" t="s">
        <v>467</v>
      </c>
      <c r="F22" s="73">
        <v>6700</v>
      </c>
      <c r="G22" s="115" t="s">
        <v>431</v>
      </c>
      <c r="H22" s="116">
        <v>20481</v>
      </c>
      <c r="I22" s="113">
        <v>44905</v>
      </c>
      <c r="K22" s="43"/>
      <c r="L22" s="43" t="s">
        <v>481</v>
      </c>
      <c r="R22" s="65"/>
      <c r="S22" s="73"/>
    </row>
    <row r="23" spans="1:19" x14ac:dyDescent="0.3">
      <c r="A23" s="115" t="s">
        <v>381</v>
      </c>
      <c r="B23" s="190">
        <v>60000</v>
      </c>
      <c r="C23" s="186"/>
      <c r="D23" s="43"/>
      <c r="E23" s="43" t="s">
        <v>468</v>
      </c>
      <c r="F23" s="73">
        <f>'September 23'!AO30</f>
        <v>0</v>
      </c>
      <c r="G23" s="115"/>
      <c r="H23" s="116"/>
      <c r="I23" s="113"/>
      <c r="K23" s="43"/>
      <c r="L23" s="43" t="s">
        <v>482</v>
      </c>
      <c r="R23" t="s">
        <v>142</v>
      </c>
      <c r="S23" s="73">
        <v>200000</v>
      </c>
    </row>
    <row r="24" spans="1:19" x14ac:dyDescent="0.3">
      <c r="A24" s="64" t="s">
        <v>5</v>
      </c>
      <c r="B24" s="186">
        <f>SUM(B1:B16)</f>
        <v>237490.61</v>
      </c>
      <c r="C24" s="186">
        <f>SUM(C1:C17)</f>
        <v>235383</v>
      </c>
      <c r="D24" s="72"/>
      <c r="E24" s="43" t="s">
        <v>469</v>
      </c>
      <c r="F24" s="73">
        <v>51800</v>
      </c>
      <c r="G24" s="124"/>
      <c r="H24" s="118"/>
      <c r="I24" s="113"/>
      <c r="K24" s="43"/>
      <c r="L24" s="43" t="s">
        <v>483</v>
      </c>
      <c r="R24" t="s">
        <v>206</v>
      </c>
      <c r="S24" s="73">
        <f>(S21+S23)</f>
        <v>257000</v>
      </c>
    </row>
    <row r="25" spans="1:19" x14ac:dyDescent="0.3">
      <c r="A25" s="43"/>
      <c r="B25" s="43"/>
      <c r="C25" s="43"/>
      <c r="D25" s="72"/>
      <c r="E25" s="178" t="s">
        <v>470</v>
      </c>
      <c r="F25" s="179">
        <v>22000</v>
      </c>
      <c r="G25" s="43"/>
      <c r="H25" s="106"/>
      <c r="I25" s="114"/>
      <c r="K25" s="199"/>
      <c r="L25" s="43">
        <v>1270</v>
      </c>
      <c r="O25">
        <v>176000</v>
      </c>
      <c r="S25" s="73"/>
    </row>
    <row r="26" spans="1:19" x14ac:dyDescent="0.3">
      <c r="A26" s="64" t="s">
        <v>228</v>
      </c>
      <c r="B26" s="43"/>
      <c r="C26" s="62">
        <f>(C24-B24)</f>
        <v>-2107.609999999986</v>
      </c>
      <c r="D26" s="43" t="s">
        <v>227</v>
      </c>
      <c r="E26" s="43" t="s">
        <v>471</v>
      </c>
      <c r="F26" s="73">
        <v>11500</v>
      </c>
      <c r="K26" s="73" t="s">
        <v>485</v>
      </c>
      <c r="L26" s="43" t="s">
        <v>484</v>
      </c>
      <c r="O26">
        <v>152000</v>
      </c>
      <c r="R26" t="s">
        <v>413</v>
      </c>
      <c r="S26" s="73">
        <v>260000</v>
      </c>
    </row>
    <row r="27" spans="1:19" ht="15" thickBot="1" x14ac:dyDescent="0.35">
      <c r="A27" s="64"/>
      <c r="B27" s="43"/>
      <c r="C27" s="43"/>
      <c r="D27" s="43"/>
      <c r="E27" s="43" t="s">
        <v>472</v>
      </c>
      <c r="F27" s="73">
        <v>26000</v>
      </c>
      <c r="H27">
        <f>55000-110000</f>
        <v>-55000</v>
      </c>
      <c r="K27" s="43" t="s">
        <v>486</v>
      </c>
      <c r="L27" s="43">
        <v>1250</v>
      </c>
      <c r="O27">
        <f>O25-O26</f>
        <v>24000</v>
      </c>
      <c r="S27" s="30">
        <f>(S26-S24)</f>
        <v>3000</v>
      </c>
    </row>
    <row r="28" spans="1:19" x14ac:dyDescent="0.3">
      <c r="A28" s="64" t="s">
        <v>225</v>
      </c>
      <c r="B28" s="43"/>
      <c r="C28" s="62">
        <f>(F6+C26)</f>
        <v>47910.390000000014</v>
      </c>
      <c r="D28" s="43"/>
      <c r="E28" s="43" t="s">
        <v>476</v>
      </c>
      <c r="F28" s="186">
        <v>41600</v>
      </c>
      <c r="G28" s="288" t="s">
        <v>499</v>
      </c>
      <c r="H28" s="289"/>
      <c r="K28" s="43" t="s">
        <v>487</v>
      </c>
      <c r="L28" s="43">
        <v>91</v>
      </c>
    </row>
    <row r="29" spans="1:19" x14ac:dyDescent="0.3">
      <c r="F29" s="73">
        <f>SUM(F10:F28)</f>
        <v>301557.86</v>
      </c>
      <c r="G29" s="287" t="s">
        <v>500</v>
      </c>
      <c r="H29" s="127">
        <v>3353.9</v>
      </c>
      <c r="K29" s="43"/>
      <c r="L29" s="43">
        <f>L27*L28</f>
        <v>113750</v>
      </c>
    </row>
    <row r="30" spans="1:19" x14ac:dyDescent="0.3">
      <c r="G30" s="287"/>
      <c r="H30" s="127">
        <v>3024.35</v>
      </c>
      <c r="K30" s="43" t="s">
        <v>488</v>
      </c>
      <c r="L30" s="73">
        <v>99130</v>
      </c>
    </row>
    <row r="31" spans="1:19" x14ac:dyDescent="0.3">
      <c r="G31" s="287"/>
      <c r="H31" s="127">
        <v>8616.36</v>
      </c>
      <c r="K31" s="43"/>
      <c r="L31" s="106">
        <f>L29+L30</f>
        <v>212880</v>
      </c>
    </row>
    <row r="32" spans="1:19" x14ac:dyDescent="0.3">
      <c r="G32" s="82"/>
      <c r="H32" s="127"/>
      <c r="K32" s="178" t="s">
        <v>490</v>
      </c>
      <c r="L32" s="91">
        <v>-109464</v>
      </c>
    </row>
    <row r="33" spans="7:12" x14ac:dyDescent="0.3">
      <c r="G33" s="82" t="s">
        <v>5</v>
      </c>
      <c r="H33" s="127">
        <f>SUM(H29:H31)</f>
        <v>14994.61</v>
      </c>
      <c r="K33" s="43" t="s">
        <v>488</v>
      </c>
      <c r="L33" s="200">
        <v>-25000</v>
      </c>
    </row>
    <row r="34" spans="7:12" x14ac:dyDescent="0.3">
      <c r="G34" s="82"/>
      <c r="H34" s="127"/>
      <c r="K34" s="43" t="s">
        <v>143</v>
      </c>
      <c r="L34" s="73">
        <f>L31+L32+L33</f>
        <v>78416</v>
      </c>
    </row>
    <row r="35" spans="7:12" x14ac:dyDescent="0.3">
      <c r="G35" s="287" t="s">
        <v>501</v>
      </c>
      <c r="H35" s="127">
        <v>3273.95</v>
      </c>
    </row>
    <row r="36" spans="7:12" x14ac:dyDescent="0.3">
      <c r="G36" s="287"/>
      <c r="H36" s="127">
        <v>956</v>
      </c>
    </row>
    <row r="37" spans="7:12" x14ac:dyDescent="0.3">
      <c r="G37" s="287"/>
      <c r="H37" s="127">
        <v>250</v>
      </c>
    </row>
    <row r="38" spans="7:12" x14ac:dyDescent="0.3">
      <c r="G38" s="287"/>
      <c r="H38" s="127">
        <v>3098.01</v>
      </c>
    </row>
    <row r="39" spans="7:12" x14ac:dyDescent="0.3">
      <c r="G39" s="287"/>
      <c r="H39" s="127">
        <v>2574.65</v>
      </c>
    </row>
    <row r="40" spans="7:12" x14ac:dyDescent="0.3">
      <c r="G40" s="287"/>
      <c r="H40" s="127">
        <v>780</v>
      </c>
    </row>
    <row r="41" spans="7:12" x14ac:dyDescent="0.3">
      <c r="G41" s="287"/>
      <c r="H41" s="127">
        <v>1000</v>
      </c>
    </row>
    <row r="42" spans="7:12" x14ac:dyDescent="0.3">
      <c r="G42" s="82"/>
      <c r="H42" s="127"/>
    </row>
    <row r="43" spans="7:12" x14ac:dyDescent="0.3">
      <c r="G43" s="82"/>
      <c r="H43" s="127"/>
    </row>
    <row r="44" spans="7:12" ht="15" thickBot="1" x14ac:dyDescent="0.35">
      <c r="G44" s="206"/>
      <c r="H44" s="207">
        <f>SUM(H35:H41)</f>
        <v>11932.61</v>
      </c>
    </row>
  </sheetData>
  <mergeCells count="6">
    <mergeCell ref="G35:G41"/>
    <mergeCell ref="E1:F1"/>
    <mergeCell ref="I1:L1"/>
    <mergeCell ref="J4:L4"/>
    <mergeCell ref="G28:H28"/>
    <mergeCell ref="G29:G3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8EB4-AECC-4491-BE60-857B47ECED73}">
  <dimension ref="A1:S34"/>
  <sheetViews>
    <sheetView topLeftCell="A3" workbookViewId="0">
      <selection activeCell="D13" sqref="D13"/>
    </sheetView>
  </sheetViews>
  <sheetFormatPr defaultRowHeight="14.4" x14ac:dyDescent="0.3"/>
  <cols>
    <col min="1" max="1" width="17.5546875" bestFit="1" customWidth="1"/>
    <col min="2" max="2" width="9.44140625" bestFit="1" customWidth="1"/>
    <col min="3" max="3" width="13.44140625" bestFit="1" customWidth="1"/>
    <col min="5" max="5" width="15.88671875" bestFit="1" customWidth="1"/>
    <col min="6" max="6" width="10.44140625" bestFit="1" customWidth="1"/>
    <col min="7" max="7" width="16.6640625" bestFit="1" customWidth="1"/>
    <col min="9" max="9" width="14" bestFit="1" customWidth="1"/>
    <col min="11" max="11" width="14" bestFit="1" customWidth="1"/>
    <col min="12" max="12" width="11.33203125" bestFit="1" customWidth="1"/>
    <col min="16" max="16" width="17.5546875" bestFit="1" customWidth="1"/>
    <col min="17" max="17" width="9.6640625" bestFit="1" customWidth="1"/>
    <col min="18" max="18" width="11.109375" bestFit="1" customWidth="1"/>
    <col min="19" max="19" width="13.33203125" bestFit="1" customWidth="1"/>
  </cols>
  <sheetData>
    <row r="1" spans="1:19" x14ac:dyDescent="0.3">
      <c r="A1" s="43" t="s">
        <v>6</v>
      </c>
      <c r="B1" s="186">
        <v>18000</v>
      </c>
      <c r="C1" s="191">
        <v>18000</v>
      </c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</row>
    <row r="2" spans="1:19" x14ac:dyDescent="0.3">
      <c r="A2" s="43" t="s">
        <v>0</v>
      </c>
      <c r="B2" s="186">
        <v>23468.91</v>
      </c>
      <c r="C2" s="191">
        <v>23468.91</v>
      </c>
      <c r="D2" s="186"/>
      <c r="E2" s="43"/>
      <c r="F2" s="73"/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19" x14ac:dyDescent="0.3">
      <c r="A3" s="43" t="s">
        <v>1</v>
      </c>
      <c r="B3" s="186">
        <v>5000</v>
      </c>
      <c r="C3" s="191">
        <v>5000</v>
      </c>
      <c r="D3" s="43"/>
      <c r="E3" s="43" t="s">
        <v>265</v>
      </c>
      <c r="F3" s="73">
        <v>30000</v>
      </c>
      <c r="G3" s="73"/>
      <c r="H3" s="30"/>
      <c r="I3" s="110" t="s">
        <v>382</v>
      </c>
      <c r="J3" s="157">
        <v>10</v>
      </c>
      <c r="K3" s="157">
        <v>999</v>
      </c>
      <c r="L3" s="194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</row>
    <row r="4" spans="1:19" x14ac:dyDescent="0.3">
      <c r="A4" s="43" t="s">
        <v>2</v>
      </c>
      <c r="B4" s="186">
        <v>2000</v>
      </c>
      <c r="C4" s="191">
        <v>2000</v>
      </c>
      <c r="D4" s="43"/>
      <c r="E4" s="43" t="s">
        <v>204</v>
      </c>
      <c r="F4" s="73">
        <v>50000</v>
      </c>
      <c r="G4" s="73"/>
      <c r="I4" s="110" t="s">
        <v>379</v>
      </c>
      <c r="J4" s="284" t="s">
        <v>473</v>
      </c>
      <c r="K4" s="285"/>
      <c r="L4" s="286"/>
      <c r="M4" s="192">
        <v>44682</v>
      </c>
      <c r="N4" s="43"/>
      <c r="O4" s="43"/>
      <c r="P4" s="73"/>
      <c r="R4" s="43"/>
      <c r="S4" s="73"/>
    </row>
    <row r="5" spans="1:19" x14ac:dyDescent="0.3">
      <c r="A5" s="43" t="s">
        <v>89</v>
      </c>
      <c r="B5" s="186">
        <v>33953</v>
      </c>
      <c r="C5" s="191">
        <v>33953</v>
      </c>
      <c r="D5" s="43" t="s">
        <v>450</v>
      </c>
      <c r="E5" s="43" t="s">
        <v>205</v>
      </c>
      <c r="F5" s="73">
        <v>18</v>
      </c>
      <c r="I5" s="110" t="s">
        <v>19</v>
      </c>
      <c r="J5" s="157">
        <v>22</v>
      </c>
      <c r="K5" s="157">
        <v>1321.63</v>
      </c>
      <c r="L5" s="194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</row>
    <row r="6" spans="1:19" x14ac:dyDescent="0.3">
      <c r="A6" s="43" t="s">
        <v>3</v>
      </c>
      <c r="B6" s="186">
        <v>2000</v>
      </c>
      <c r="C6" s="191">
        <v>2000</v>
      </c>
      <c r="D6" s="43"/>
      <c r="E6" s="43" t="s">
        <v>6</v>
      </c>
      <c r="F6" s="73">
        <f>SUM(F4:F5)</f>
        <v>50018</v>
      </c>
      <c r="I6" s="110" t="s">
        <v>362</v>
      </c>
      <c r="J6" s="157">
        <v>6</v>
      </c>
      <c r="K6" s="157">
        <v>1918.68</v>
      </c>
      <c r="L6" s="194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</row>
    <row r="7" spans="1:19" x14ac:dyDescent="0.3">
      <c r="A7" s="43" t="s">
        <v>9</v>
      </c>
      <c r="B7" s="186">
        <v>615</v>
      </c>
      <c r="C7" s="191">
        <v>615</v>
      </c>
      <c r="D7" s="43"/>
      <c r="E7" s="43" t="s">
        <v>429</v>
      </c>
      <c r="F7" s="44">
        <f>B24</f>
        <v>182922.91</v>
      </c>
      <c r="I7" s="110" t="s">
        <v>363</v>
      </c>
      <c r="J7" s="157">
        <v>5</v>
      </c>
      <c r="K7" s="157">
        <v>1049.19</v>
      </c>
      <c r="L7" s="194">
        <f t="shared" si="1"/>
        <v>5245.9500000000007</v>
      </c>
      <c r="M7" s="192">
        <v>45108</v>
      </c>
      <c r="N7" s="43"/>
      <c r="O7" s="43"/>
      <c r="P7" s="73"/>
      <c r="R7" s="43"/>
      <c r="S7" s="73"/>
    </row>
    <row r="8" spans="1:19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7">
        <v>11</v>
      </c>
      <c r="K8" s="157">
        <v>470.99</v>
      </c>
      <c r="L8" s="194">
        <f t="shared" si="1"/>
        <v>5180.8900000000003</v>
      </c>
      <c r="M8" s="192">
        <v>45108</v>
      </c>
      <c r="N8" s="43"/>
      <c r="O8" s="43"/>
      <c r="P8" s="108">
        <f>SUM(P3:P6)</f>
        <v>2240000</v>
      </c>
      <c r="R8" s="43"/>
      <c r="S8" s="73">
        <f>SUM(S3:S6)</f>
        <v>1290975</v>
      </c>
    </row>
    <row r="9" spans="1:19" x14ac:dyDescent="0.3">
      <c r="A9" s="43" t="s">
        <v>107</v>
      </c>
      <c r="B9" s="186">
        <v>590</v>
      </c>
      <c r="C9" s="191">
        <v>590</v>
      </c>
      <c r="D9" s="43"/>
      <c r="E9" s="43"/>
      <c r="F9" s="43"/>
      <c r="I9" s="110" t="s">
        <v>377</v>
      </c>
      <c r="J9" s="157">
        <v>4</v>
      </c>
      <c r="K9" s="157">
        <v>1376.72</v>
      </c>
      <c r="L9" s="194">
        <f t="shared" si="1"/>
        <v>5506.88</v>
      </c>
      <c r="N9" s="43"/>
      <c r="O9" s="43"/>
      <c r="P9" s="73"/>
      <c r="R9" s="43"/>
      <c r="S9" s="73"/>
    </row>
    <row r="10" spans="1:19" x14ac:dyDescent="0.3">
      <c r="A10" s="43" t="s">
        <v>174</v>
      </c>
      <c r="B10" s="186">
        <v>5000</v>
      </c>
      <c r="C10" s="191">
        <v>10000</v>
      </c>
      <c r="D10" s="43"/>
      <c r="E10" s="43" t="s">
        <v>442</v>
      </c>
      <c r="F10" s="73">
        <v>234.82</v>
      </c>
      <c r="I10" s="110" t="s">
        <v>387</v>
      </c>
      <c r="J10" s="157">
        <v>5</v>
      </c>
      <c r="K10" s="157">
        <v>936.51</v>
      </c>
      <c r="L10" s="194">
        <f t="shared" si="1"/>
        <v>4682.55</v>
      </c>
      <c r="M10" s="192">
        <v>45108</v>
      </c>
      <c r="N10" s="43"/>
      <c r="O10" s="43" t="s">
        <v>339</v>
      </c>
      <c r="P10" s="134">
        <v>500000</v>
      </c>
      <c r="S10" s="30"/>
    </row>
    <row r="11" spans="1:19" x14ac:dyDescent="0.3">
      <c r="A11" s="43" t="s">
        <v>414</v>
      </c>
      <c r="B11" s="186">
        <v>41452</v>
      </c>
      <c r="C11" s="191">
        <v>41452</v>
      </c>
      <c r="D11" s="43" t="s">
        <v>451</v>
      </c>
      <c r="E11" s="43" t="s">
        <v>441</v>
      </c>
      <c r="F11" s="73">
        <v>1419.04</v>
      </c>
      <c r="I11" s="110" t="s">
        <v>380</v>
      </c>
      <c r="J11" s="157">
        <v>5</v>
      </c>
      <c r="K11" s="157">
        <v>959.34</v>
      </c>
      <c r="L11" s="194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</row>
    <row r="12" spans="1:19" x14ac:dyDescent="0.3">
      <c r="A12" s="178" t="s">
        <v>498</v>
      </c>
      <c r="B12" s="186">
        <f>SUM(P32:P34)</f>
        <v>11750</v>
      </c>
      <c r="C12" s="186"/>
      <c r="D12" s="85"/>
      <c r="E12" s="43" t="s">
        <v>443</v>
      </c>
      <c r="F12" s="73">
        <v>3500</v>
      </c>
      <c r="I12" s="110" t="s">
        <v>385</v>
      </c>
      <c r="J12" s="157">
        <v>50</v>
      </c>
      <c r="K12" s="157">
        <v>43.35</v>
      </c>
      <c r="L12" s="194">
        <f t="shared" si="1"/>
        <v>2167.5</v>
      </c>
      <c r="N12" s="43"/>
      <c r="O12" s="43" t="s">
        <v>6</v>
      </c>
      <c r="P12" s="134">
        <v>50000</v>
      </c>
    </row>
    <row r="13" spans="1:19" x14ac:dyDescent="0.3">
      <c r="A13" s="43" t="s">
        <v>85</v>
      </c>
      <c r="B13" s="186">
        <v>12675</v>
      </c>
      <c r="C13" s="191">
        <v>3000</v>
      </c>
      <c r="D13" s="186">
        <f>B13-C13</f>
        <v>9675</v>
      </c>
      <c r="E13" s="43" t="s">
        <v>455</v>
      </c>
      <c r="F13" s="73">
        <v>8000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</row>
    <row r="14" spans="1:19" ht="15" thickBot="1" x14ac:dyDescent="0.35">
      <c r="A14" s="87" t="s">
        <v>502</v>
      </c>
      <c r="B14" s="186">
        <v>15000</v>
      </c>
      <c r="C14" s="191">
        <v>15000</v>
      </c>
      <c r="D14" s="205" t="s">
        <v>222</v>
      </c>
      <c r="E14" s="43" t="s">
        <v>456</v>
      </c>
      <c r="F14" s="73">
        <v>1000</v>
      </c>
      <c r="I14" s="169" t="s">
        <v>447</v>
      </c>
      <c r="J14" s="173">
        <v>4</v>
      </c>
      <c r="K14" s="173">
        <v>507.02</v>
      </c>
      <c r="L14" s="195">
        <f t="shared" si="1"/>
        <v>2028.08</v>
      </c>
      <c r="N14" s="43"/>
      <c r="O14" s="43" t="s">
        <v>408</v>
      </c>
      <c r="P14" s="134">
        <v>10000</v>
      </c>
    </row>
    <row r="15" spans="1:19" x14ac:dyDescent="0.3">
      <c r="A15" s="43"/>
      <c r="B15" s="186"/>
      <c r="C15" s="186"/>
      <c r="D15" s="43"/>
      <c r="E15" s="43" t="s">
        <v>457</v>
      </c>
      <c r="F15" s="73">
        <v>5074</v>
      </c>
      <c r="L15" s="193">
        <f>SUM(L4:L14)</f>
        <v>72210.990000000005</v>
      </c>
      <c r="N15" s="43"/>
      <c r="O15" s="43"/>
      <c r="P15" s="134">
        <f>SUM(P10:P14)</f>
        <v>815000</v>
      </c>
    </row>
    <row r="16" spans="1:19" x14ac:dyDescent="0.3">
      <c r="A16" s="178"/>
      <c r="B16" s="186"/>
      <c r="C16" s="186"/>
      <c r="D16" s="43"/>
      <c r="E16" s="43" t="s">
        <v>458</v>
      </c>
      <c r="F16" s="73">
        <v>113280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</row>
    <row r="17" spans="1:19" x14ac:dyDescent="0.3">
      <c r="A17" s="73"/>
      <c r="B17" s="73"/>
      <c r="C17" s="73"/>
      <c r="D17" s="202"/>
      <c r="E17" s="43" t="s">
        <v>459</v>
      </c>
      <c r="F17" s="73">
        <v>750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19" ht="15" thickBot="1" x14ac:dyDescent="0.35">
      <c r="A18" s="73"/>
      <c r="B18" s="73"/>
      <c r="C18" s="73"/>
      <c r="D18" s="202"/>
      <c r="E18" s="43" t="s">
        <v>463</v>
      </c>
      <c r="F18" s="73">
        <v>1000</v>
      </c>
      <c r="G18" s="167" t="s">
        <v>109</v>
      </c>
      <c r="H18" s="116">
        <v>18195</v>
      </c>
      <c r="I18" s="113">
        <v>44958</v>
      </c>
      <c r="N18" s="43"/>
      <c r="O18" s="43"/>
      <c r="R18" t="s">
        <v>412</v>
      </c>
      <c r="S18" s="73">
        <v>93000</v>
      </c>
    </row>
    <row r="19" spans="1:19" ht="15" thickBot="1" x14ac:dyDescent="0.35">
      <c r="A19" s="123" t="s">
        <v>81</v>
      </c>
      <c r="B19" s="123">
        <v>50000</v>
      </c>
      <c r="C19" s="186"/>
      <c r="D19" s="72"/>
      <c r="E19" s="43" t="s">
        <v>464</v>
      </c>
      <c r="F19" s="73">
        <v>700</v>
      </c>
      <c r="G19" s="181" t="s">
        <v>268</v>
      </c>
      <c r="H19" s="112">
        <v>10526</v>
      </c>
      <c r="I19" s="113">
        <v>44958</v>
      </c>
      <c r="N19" s="43"/>
      <c r="O19" s="104" t="s">
        <v>410</v>
      </c>
      <c r="P19" s="177">
        <f>(P17-P16)</f>
        <v>-151000</v>
      </c>
      <c r="S19" s="73">
        <f>SUM(S17:S18)</f>
        <v>147000</v>
      </c>
    </row>
    <row r="20" spans="1:19" x14ac:dyDescent="0.3">
      <c r="A20" s="123" t="s">
        <v>123</v>
      </c>
      <c r="B20" s="123">
        <v>33000</v>
      </c>
      <c r="C20" s="186"/>
      <c r="D20" s="72"/>
      <c r="E20" s="43" t="s">
        <v>465</v>
      </c>
      <c r="F20" s="73">
        <v>2000</v>
      </c>
      <c r="G20" s="80" t="s">
        <v>298</v>
      </c>
      <c r="H20" s="80">
        <v>5000</v>
      </c>
      <c r="I20" s="113">
        <v>44896</v>
      </c>
      <c r="N20" s="43"/>
      <c r="O20" s="43"/>
      <c r="P20" s="89"/>
      <c r="R20" t="s">
        <v>411</v>
      </c>
      <c r="S20" s="73">
        <v>90000</v>
      </c>
    </row>
    <row r="21" spans="1:19" x14ac:dyDescent="0.3">
      <c r="A21" s="123" t="s">
        <v>475</v>
      </c>
      <c r="B21" s="123">
        <v>50000</v>
      </c>
      <c r="C21" s="208">
        <v>25000</v>
      </c>
      <c r="D21" s="43"/>
      <c r="E21" s="43" t="s">
        <v>462</v>
      </c>
      <c r="F21" s="73">
        <v>5000</v>
      </c>
      <c r="G21" s="80" t="s">
        <v>256</v>
      </c>
      <c r="H21" s="80">
        <v>7600</v>
      </c>
      <c r="I21" s="113">
        <v>44932</v>
      </c>
      <c r="K21" s="43" t="s">
        <v>479</v>
      </c>
      <c r="L21" s="43" t="s">
        <v>480</v>
      </c>
      <c r="S21" s="73">
        <f>(S19-S20)</f>
        <v>57000</v>
      </c>
    </row>
    <row r="22" spans="1:19" x14ac:dyDescent="0.3">
      <c r="A22" s="116" t="s">
        <v>203</v>
      </c>
      <c r="B22" s="190">
        <v>13000</v>
      </c>
      <c r="C22" s="186"/>
      <c r="D22" s="145"/>
      <c r="E22" s="43" t="s">
        <v>467</v>
      </c>
      <c r="F22" s="73">
        <v>6700</v>
      </c>
      <c r="G22" s="115" t="s">
        <v>431</v>
      </c>
      <c r="H22" s="116">
        <v>20481</v>
      </c>
      <c r="I22" s="113">
        <v>44905</v>
      </c>
      <c r="K22" s="43"/>
      <c r="L22" s="43" t="s">
        <v>481</v>
      </c>
      <c r="R22" s="65"/>
      <c r="S22" s="73"/>
    </row>
    <row r="23" spans="1:19" x14ac:dyDescent="0.3">
      <c r="A23" s="115" t="s">
        <v>381</v>
      </c>
      <c r="B23" s="190">
        <v>60000</v>
      </c>
      <c r="C23" s="186"/>
      <c r="D23" s="43"/>
      <c r="E23" s="43" t="s">
        <v>468</v>
      </c>
      <c r="F23" s="73">
        <f>'September 23'!AO30</f>
        <v>0</v>
      </c>
      <c r="G23" s="115"/>
      <c r="H23" s="116"/>
      <c r="I23" s="113"/>
      <c r="K23" s="43"/>
      <c r="L23" s="43" t="s">
        <v>482</v>
      </c>
      <c r="R23" t="s">
        <v>142</v>
      </c>
      <c r="S23" s="73">
        <v>200000</v>
      </c>
    </row>
    <row r="24" spans="1:19" x14ac:dyDescent="0.3">
      <c r="A24" s="64" t="s">
        <v>5</v>
      </c>
      <c r="B24" s="186">
        <f>SUM(B1:B16)</f>
        <v>182922.91</v>
      </c>
      <c r="C24" s="186">
        <f>SUM(C1:C17)</f>
        <v>166497.91</v>
      </c>
      <c r="D24" s="72"/>
      <c r="E24" s="43" t="s">
        <v>469</v>
      </c>
      <c r="F24" s="73">
        <v>51800</v>
      </c>
      <c r="G24" s="124"/>
      <c r="H24" s="118"/>
      <c r="I24" s="113"/>
      <c r="K24" s="43"/>
      <c r="L24" s="43" t="s">
        <v>483</v>
      </c>
      <c r="R24" t="s">
        <v>206</v>
      </c>
      <c r="S24" s="73">
        <f>(S21+S23)</f>
        <v>257000</v>
      </c>
    </row>
    <row r="25" spans="1:19" x14ac:dyDescent="0.3">
      <c r="A25" s="43"/>
      <c r="B25" s="43"/>
      <c r="C25" s="43"/>
      <c r="D25" s="72"/>
      <c r="E25" s="178" t="s">
        <v>470</v>
      </c>
      <c r="F25" s="179">
        <v>22000</v>
      </c>
      <c r="G25" s="43"/>
      <c r="H25" s="106"/>
      <c r="I25" s="114"/>
      <c r="K25" s="199"/>
      <c r="L25" s="43">
        <v>1270</v>
      </c>
      <c r="O25">
        <v>176000</v>
      </c>
      <c r="S25" s="73"/>
    </row>
    <row r="26" spans="1:19" x14ac:dyDescent="0.3">
      <c r="A26" s="64" t="s">
        <v>228</v>
      </c>
      <c r="B26" s="43"/>
      <c r="C26" s="62">
        <f>(C24-B24)</f>
        <v>-16425</v>
      </c>
      <c r="D26" s="43" t="s">
        <v>227</v>
      </c>
      <c r="E26" s="43" t="s">
        <v>471</v>
      </c>
      <c r="F26" s="73">
        <v>11500</v>
      </c>
      <c r="K26" s="73" t="s">
        <v>485</v>
      </c>
      <c r="L26" s="43" t="s">
        <v>484</v>
      </c>
      <c r="O26">
        <v>152000</v>
      </c>
      <c r="R26" t="s">
        <v>413</v>
      </c>
      <c r="S26" s="73">
        <v>260000</v>
      </c>
    </row>
    <row r="27" spans="1:19" x14ac:dyDescent="0.3">
      <c r="A27" s="64"/>
      <c r="B27" s="43"/>
      <c r="C27" s="43"/>
      <c r="D27" s="43"/>
      <c r="E27" s="43" t="s">
        <v>472</v>
      </c>
      <c r="F27" s="73">
        <v>26000</v>
      </c>
      <c r="H27">
        <f>55000-110000</f>
        <v>-55000</v>
      </c>
      <c r="K27" s="43" t="s">
        <v>486</v>
      </c>
      <c r="L27" s="43">
        <v>1250</v>
      </c>
      <c r="O27">
        <f>O25-O26</f>
        <v>24000</v>
      </c>
      <c r="S27" s="30">
        <f>(S26-S24)</f>
        <v>3000</v>
      </c>
    </row>
    <row r="28" spans="1:19" x14ac:dyDescent="0.3">
      <c r="A28" s="64" t="s">
        <v>225</v>
      </c>
      <c r="B28" s="43"/>
      <c r="C28" s="62">
        <f>(F6+C26)</f>
        <v>33593</v>
      </c>
      <c r="D28" s="43"/>
      <c r="E28" s="43" t="s">
        <v>476</v>
      </c>
      <c r="F28" s="186">
        <v>41600</v>
      </c>
      <c r="K28" s="43" t="s">
        <v>487</v>
      </c>
      <c r="L28" s="43">
        <v>91</v>
      </c>
    </row>
    <row r="29" spans="1:19" x14ac:dyDescent="0.3">
      <c r="F29" s="73">
        <f>SUM(F10:F28)</f>
        <v>301557.86</v>
      </c>
      <c r="K29" s="43"/>
      <c r="L29" s="43">
        <f>L27*L28</f>
        <v>113750</v>
      </c>
    </row>
    <row r="30" spans="1:19" x14ac:dyDescent="0.3">
      <c r="K30" s="43" t="s">
        <v>488</v>
      </c>
      <c r="L30" s="73">
        <v>99130</v>
      </c>
    </row>
    <row r="31" spans="1:19" x14ac:dyDescent="0.3">
      <c r="K31" s="43"/>
      <c r="L31" s="106">
        <f>L29+L30</f>
        <v>212880</v>
      </c>
      <c r="O31">
        <f>5000/40</f>
        <v>125</v>
      </c>
    </row>
    <row r="32" spans="1:19" x14ac:dyDescent="0.3">
      <c r="K32" s="178" t="s">
        <v>490</v>
      </c>
      <c r="L32" s="91">
        <v>-109464</v>
      </c>
      <c r="O32">
        <v>23</v>
      </c>
      <c r="P32">
        <f>O31*O32</f>
        <v>2875</v>
      </c>
    </row>
    <row r="33" spans="11:16" x14ac:dyDescent="0.3">
      <c r="K33" s="43" t="s">
        <v>488</v>
      </c>
      <c r="L33" s="200">
        <v>-25000</v>
      </c>
      <c r="P33">
        <v>2875</v>
      </c>
    </row>
    <row r="34" spans="11:16" x14ac:dyDescent="0.3">
      <c r="K34" s="43" t="s">
        <v>143</v>
      </c>
      <c r="L34" s="73">
        <f>L31+L32+L33</f>
        <v>78416</v>
      </c>
      <c r="P34">
        <v>6000</v>
      </c>
    </row>
  </sheetData>
  <mergeCells count="3">
    <mergeCell ref="E1:F1"/>
    <mergeCell ref="I1:L1"/>
    <mergeCell ref="J4:L4"/>
  </mergeCells>
  <pageMargins left="0.7" right="0.7" top="0.75" bottom="0.75" header="0.3" footer="0.3"/>
  <pageSetup paperSize="9"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98B0-5891-4472-BE40-B928CF6D342F}">
  <dimension ref="A1:S34"/>
  <sheetViews>
    <sheetView workbookViewId="0">
      <selection activeCell="D14" sqref="D14"/>
    </sheetView>
  </sheetViews>
  <sheetFormatPr defaultRowHeight="14.4" x14ac:dyDescent="0.3"/>
  <cols>
    <col min="1" max="1" width="17.5546875" bestFit="1" customWidth="1"/>
    <col min="2" max="2" width="9.44140625" bestFit="1" customWidth="1"/>
    <col min="3" max="3" width="13.44140625" bestFit="1" customWidth="1"/>
    <col min="5" max="5" width="15.88671875" bestFit="1" customWidth="1"/>
    <col min="6" max="6" width="10.44140625" bestFit="1" customWidth="1"/>
    <col min="7" max="7" width="16.6640625" bestFit="1" customWidth="1"/>
    <col min="9" max="9" width="14" bestFit="1" customWidth="1"/>
    <col min="11" max="11" width="14" bestFit="1" customWidth="1"/>
    <col min="12" max="12" width="11.33203125" bestFit="1" customWidth="1"/>
    <col min="16" max="16" width="17.5546875" bestFit="1" customWidth="1"/>
    <col min="17" max="17" width="9.6640625" bestFit="1" customWidth="1"/>
    <col min="18" max="18" width="11.109375" bestFit="1" customWidth="1"/>
    <col min="19" max="19" width="13.33203125" bestFit="1" customWidth="1"/>
  </cols>
  <sheetData>
    <row r="1" spans="1:19" x14ac:dyDescent="0.3">
      <c r="A1" s="43" t="s">
        <v>6</v>
      </c>
      <c r="B1" s="186">
        <v>12000</v>
      </c>
      <c r="C1" s="186"/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</row>
    <row r="2" spans="1:19" x14ac:dyDescent="0.3">
      <c r="A2" s="43" t="s">
        <v>0</v>
      </c>
      <c r="B2" s="186">
        <v>53000</v>
      </c>
      <c r="C2" s="191">
        <v>36000</v>
      </c>
      <c r="D2" s="186"/>
      <c r="E2" s="43"/>
      <c r="F2" s="73"/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19" x14ac:dyDescent="0.3">
      <c r="A3" s="43" t="s">
        <v>1</v>
      </c>
      <c r="B3" s="186">
        <v>5000</v>
      </c>
      <c r="C3" s="191">
        <v>5000</v>
      </c>
      <c r="D3" s="43"/>
      <c r="E3" s="43" t="s">
        <v>265</v>
      </c>
      <c r="F3" s="73">
        <v>36</v>
      </c>
      <c r="G3" s="73"/>
      <c r="H3" s="30"/>
      <c r="I3" s="110" t="s">
        <v>382</v>
      </c>
      <c r="J3" s="157">
        <v>10</v>
      </c>
      <c r="K3" s="157">
        <v>999</v>
      </c>
      <c r="L3" s="194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</row>
    <row r="4" spans="1:19" x14ac:dyDescent="0.3">
      <c r="A4" s="43" t="s">
        <v>2</v>
      </c>
      <c r="B4" s="186">
        <v>2000</v>
      </c>
      <c r="C4" s="191">
        <v>2000</v>
      </c>
      <c r="D4" s="43"/>
      <c r="E4" s="43" t="s">
        <v>204</v>
      </c>
      <c r="F4" s="73">
        <v>16000</v>
      </c>
      <c r="G4" s="73"/>
      <c r="I4" s="110" t="s">
        <v>379</v>
      </c>
      <c r="J4" s="284" t="s">
        <v>473</v>
      </c>
      <c r="K4" s="285"/>
      <c r="L4" s="286"/>
      <c r="M4" s="192">
        <v>44682</v>
      </c>
      <c r="N4" s="43"/>
      <c r="O4" s="43"/>
      <c r="P4" s="73"/>
      <c r="R4" s="43"/>
      <c r="S4" s="73"/>
    </row>
    <row r="5" spans="1:19" x14ac:dyDescent="0.3">
      <c r="A5" s="43" t="s">
        <v>89</v>
      </c>
      <c r="B5" s="186">
        <v>33953</v>
      </c>
      <c r="C5" s="191">
        <v>33953</v>
      </c>
      <c r="D5" s="43" t="s">
        <v>450</v>
      </c>
      <c r="E5" s="43" t="s">
        <v>205</v>
      </c>
      <c r="F5" s="73">
        <v>4000</v>
      </c>
      <c r="I5" s="110" t="s">
        <v>19</v>
      </c>
      <c r="J5" s="157">
        <v>22</v>
      </c>
      <c r="K5" s="157">
        <v>1321.63</v>
      </c>
      <c r="L5" s="194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</row>
    <row r="6" spans="1:19" x14ac:dyDescent="0.3">
      <c r="A6" s="43" t="s">
        <v>3</v>
      </c>
      <c r="B6" s="186">
        <v>2000</v>
      </c>
      <c r="C6" s="191">
        <v>2000</v>
      </c>
      <c r="D6" s="43"/>
      <c r="E6" s="43" t="s">
        <v>6</v>
      </c>
      <c r="F6" s="73">
        <f>SUM(F4:F5)</f>
        <v>20000</v>
      </c>
      <c r="I6" s="110" t="s">
        <v>362</v>
      </c>
      <c r="J6" s="157">
        <v>6</v>
      </c>
      <c r="K6" s="157">
        <v>1918.68</v>
      </c>
      <c r="L6" s="194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</row>
    <row r="7" spans="1:19" x14ac:dyDescent="0.3">
      <c r="A7" s="43" t="s">
        <v>9</v>
      </c>
      <c r="B7" s="186">
        <v>1000</v>
      </c>
      <c r="C7" s="191">
        <v>1000</v>
      </c>
      <c r="D7" s="43"/>
      <c r="E7" s="43" t="s">
        <v>445</v>
      </c>
      <c r="F7" s="44">
        <f>B24</f>
        <v>201665</v>
      </c>
      <c r="I7" s="110" t="s">
        <v>363</v>
      </c>
      <c r="J7" s="157">
        <v>5</v>
      </c>
      <c r="K7" s="157">
        <v>1049.19</v>
      </c>
      <c r="L7" s="194">
        <f t="shared" si="1"/>
        <v>5245.9500000000007</v>
      </c>
      <c r="M7" s="192">
        <v>45108</v>
      </c>
      <c r="N7" s="43"/>
      <c r="O7" s="43"/>
      <c r="P7" s="73"/>
      <c r="R7" s="43"/>
      <c r="S7" s="73"/>
    </row>
    <row r="8" spans="1:19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7">
        <v>11</v>
      </c>
      <c r="K8" s="157">
        <v>470.99</v>
      </c>
      <c r="L8" s="194">
        <f t="shared" si="1"/>
        <v>5180.8900000000003</v>
      </c>
      <c r="M8" s="192">
        <v>45108</v>
      </c>
      <c r="N8" s="43"/>
      <c r="O8" s="43"/>
      <c r="P8" s="108">
        <f>SUM(P3:P6)</f>
        <v>2240000</v>
      </c>
      <c r="R8" s="43"/>
      <c r="S8" s="73">
        <f>SUM(S3:S6)</f>
        <v>1290975</v>
      </c>
    </row>
    <row r="9" spans="1:19" x14ac:dyDescent="0.3">
      <c r="A9" s="43" t="s">
        <v>107</v>
      </c>
      <c r="B9" s="186">
        <v>590</v>
      </c>
      <c r="C9" s="191">
        <v>590</v>
      </c>
      <c r="D9" s="43"/>
      <c r="E9" s="43"/>
      <c r="F9" s="43"/>
      <c r="I9" s="110" t="s">
        <v>377</v>
      </c>
      <c r="J9" s="157">
        <v>4</v>
      </c>
      <c r="K9" s="157">
        <v>1376.72</v>
      </c>
      <c r="L9" s="194">
        <f t="shared" si="1"/>
        <v>5506.88</v>
      </c>
      <c r="N9" s="43"/>
      <c r="O9" s="43"/>
      <c r="P9" s="73"/>
      <c r="R9" s="43"/>
      <c r="S9" s="73"/>
    </row>
    <row r="10" spans="1:19" x14ac:dyDescent="0.3">
      <c r="A10" s="43" t="s">
        <v>174</v>
      </c>
      <c r="B10" s="186">
        <v>5000</v>
      </c>
      <c r="C10" s="191">
        <v>2000</v>
      </c>
      <c r="D10" s="43"/>
      <c r="E10" s="43" t="s">
        <v>442</v>
      </c>
      <c r="F10" s="73">
        <v>234.82</v>
      </c>
      <c r="I10" s="110" t="s">
        <v>387</v>
      </c>
      <c r="J10" s="157">
        <v>5</v>
      </c>
      <c r="K10" s="157">
        <v>936.51</v>
      </c>
      <c r="L10" s="194">
        <f t="shared" si="1"/>
        <v>4682.55</v>
      </c>
      <c r="M10" s="192">
        <v>45108</v>
      </c>
      <c r="N10" s="43"/>
      <c r="O10" s="43" t="s">
        <v>339</v>
      </c>
      <c r="P10" s="134">
        <v>500000</v>
      </c>
      <c r="S10" s="30"/>
    </row>
    <row r="11" spans="1:19" x14ac:dyDescent="0.3">
      <c r="A11" s="43" t="s">
        <v>414</v>
      </c>
      <c r="B11" s="186">
        <v>41452</v>
      </c>
      <c r="C11" s="191">
        <v>41452</v>
      </c>
      <c r="D11" s="43" t="s">
        <v>451</v>
      </c>
      <c r="E11" s="43" t="s">
        <v>441</v>
      </c>
      <c r="F11" s="73">
        <v>1419.04</v>
      </c>
      <c r="I11" s="110" t="s">
        <v>380</v>
      </c>
      <c r="J11" s="157">
        <v>5</v>
      </c>
      <c r="K11" s="157">
        <v>959.34</v>
      </c>
      <c r="L11" s="194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</row>
    <row r="12" spans="1:19" x14ac:dyDescent="0.3">
      <c r="A12" s="178" t="s">
        <v>498</v>
      </c>
      <c r="B12" s="186">
        <f>SUM(P32:P34)</f>
        <v>11750</v>
      </c>
      <c r="C12" s="186"/>
      <c r="D12" s="85"/>
      <c r="E12" s="43" t="s">
        <v>443</v>
      </c>
      <c r="F12" s="73">
        <v>3500</v>
      </c>
      <c r="I12" s="110" t="s">
        <v>385</v>
      </c>
      <c r="J12" s="157">
        <v>50</v>
      </c>
      <c r="K12" s="157">
        <v>43.35</v>
      </c>
      <c r="L12" s="194">
        <f t="shared" si="1"/>
        <v>2167.5</v>
      </c>
      <c r="N12" s="43"/>
      <c r="O12" s="43" t="s">
        <v>6</v>
      </c>
      <c r="P12" s="134">
        <v>50000</v>
      </c>
    </row>
    <row r="13" spans="1:19" x14ac:dyDescent="0.3">
      <c r="A13" s="43" t="s">
        <v>285</v>
      </c>
      <c r="B13" s="186">
        <v>2300</v>
      </c>
      <c r="C13" s="191">
        <v>2300</v>
      </c>
      <c r="D13" s="43"/>
      <c r="E13" s="43" t="s">
        <v>455</v>
      </c>
      <c r="F13" s="73">
        <v>8000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</row>
    <row r="14" spans="1:19" ht="15" thickBot="1" x14ac:dyDescent="0.35">
      <c r="A14" s="87" t="s">
        <v>504</v>
      </c>
      <c r="B14" s="186">
        <v>10526</v>
      </c>
      <c r="C14" s="191">
        <v>10526</v>
      </c>
      <c r="D14" s="205" t="s">
        <v>222</v>
      </c>
      <c r="E14" s="43" t="s">
        <v>456</v>
      </c>
      <c r="F14" s="73">
        <v>1000</v>
      </c>
      <c r="I14" s="169" t="s">
        <v>447</v>
      </c>
      <c r="J14" s="173">
        <v>4</v>
      </c>
      <c r="K14" s="173">
        <v>507.02</v>
      </c>
      <c r="L14" s="195">
        <f t="shared" si="1"/>
        <v>2028.08</v>
      </c>
      <c r="N14" s="43"/>
      <c r="O14" s="43" t="s">
        <v>408</v>
      </c>
      <c r="P14" s="134">
        <v>10000</v>
      </c>
    </row>
    <row r="15" spans="1:19" x14ac:dyDescent="0.3">
      <c r="A15" s="43" t="s">
        <v>85</v>
      </c>
      <c r="B15" s="186">
        <v>9675</v>
      </c>
      <c r="C15" s="191">
        <v>9675</v>
      </c>
      <c r="D15" s="43"/>
      <c r="E15" s="43" t="s">
        <v>457</v>
      </c>
      <c r="F15" s="73">
        <v>5074</v>
      </c>
      <c r="L15" s="193">
        <f>SUM(L4:L14)</f>
        <v>72210.990000000005</v>
      </c>
      <c r="N15" s="43"/>
      <c r="O15" s="43"/>
      <c r="P15" s="134">
        <f>SUM(P10:P14)</f>
        <v>815000</v>
      </c>
    </row>
    <row r="16" spans="1:19" x14ac:dyDescent="0.3">
      <c r="A16" s="178"/>
      <c r="B16" s="186"/>
      <c r="C16" s="186"/>
      <c r="D16" s="43"/>
      <c r="E16" s="43" t="s">
        <v>458</v>
      </c>
      <c r="F16" s="73">
        <v>113280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</row>
    <row r="17" spans="1:19" x14ac:dyDescent="0.3">
      <c r="A17" s="73"/>
      <c r="B17" s="73"/>
      <c r="C17" s="73"/>
      <c r="D17" s="202"/>
      <c r="E17" s="43" t="s">
        <v>459</v>
      </c>
      <c r="F17" s="73">
        <v>750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19" ht="15" thickBot="1" x14ac:dyDescent="0.35">
      <c r="A18" s="73"/>
      <c r="B18" s="73"/>
      <c r="C18" s="73"/>
      <c r="D18" s="202"/>
      <c r="E18" s="43" t="s">
        <v>463</v>
      </c>
      <c r="F18" s="73">
        <v>1000</v>
      </c>
      <c r="G18" s="167" t="s">
        <v>109</v>
      </c>
      <c r="H18" s="116">
        <v>18195</v>
      </c>
      <c r="I18" s="113">
        <v>44958</v>
      </c>
      <c r="N18" s="43"/>
      <c r="O18" s="43"/>
      <c r="R18" t="s">
        <v>412</v>
      </c>
      <c r="S18" s="73">
        <v>93000</v>
      </c>
    </row>
    <row r="19" spans="1:19" ht="15" thickBot="1" x14ac:dyDescent="0.35">
      <c r="A19" s="123" t="s">
        <v>81</v>
      </c>
      <c r="B19" s="123">
        <v>50000</v>
      </c>
      <c r="C19" s="186"/>
      <c r="D19" s="72"/>
      <c r="E19" s="43" t="s">
        <v>464</v>
      </c>
      <c r="F19" s="73">
        <v>700</v>
      </c>
      <c r="G19" s="181" t="s">
        <v>268</v>
      </c>
      <c r="H19" s="112">
        <v>10526</v>
      </c>
      <c r="I19" s="113">
        <v>44958</v>
      </c>
      <c r="N19" s="43"/>
      <c r="O19" s="104" t="s">
        <v>410</v>
      </c>
      <c r="P19" s="177">
        <f>(P17-P16)</f>
        <v>-151000</v>
      </c>
      <c r="S19" s="73">
        <f>SUM(S17:S18)</f>
        <v>147000</v>
      </c>
    </row>
    <row r="20" spans="1:19" x14ac:dyDescent="0.3">
      <c r="A20" s="123" t="s">
        <v>123</v>
      </c>
      <c r="B20" s="123">
        <v>33000</v>
      </c>
      <c r="C20" s="186"/>
      <c r="D20" s="72"/>
      <c r="E20" s="43" t="s">
        <v>465</v>
      </c>
      <c r="F20" s="73">
        <v>2000</v>
      </c>
      <c r="G20" s="80" t="s">
        <v>298</v>
      </c>
      <c r="H20" s="80">
        <v>5000</v>
      </c>
      <c r="I20" s="113">
        <v>44896</v>
      </c>
      <c r="N20" s="43"/>
      <c r="O20" s="43"/>
      <c r="P20" s="89"/>
      <c r="R20" t="s">
        <v>411</v>
      </c>
      <c r="S20" s="73">
        <v>90000</v>
      </c>
    </row>
    <row r="21" spans="1:19" x14ac:dyDescent="0.3">
      <c r="A21" s="123" t="s">
        <v>475</v>
      </c>
      <c r="B21" s="123">
        <v>25000</v>
      </c>
      <c r="C21" s="73"/>
      <c r="D21" s="43" t="s">
        <v>503</v>
      </c>
      <c r="E21" s="43" t="s">
        <v>462</v>
      </c>
      <c r="F21" s="73">
        <v>5000</v>
      </c>
      <c r="G21" s="80" t="s">
        <v>256</v>
      </c>
      <c r="H21" s="80">
        <v>7600</v>
      </c>
      <c r="I21" s="113">
        <v>44932</v>
      </c>
      <c r="K21" s="43" t="s">
        <v>479</v>
      </c>
      <c r="L21" s="43" t="s">
        <v>480</v>
      </c>
      <c r="S21" s="73">
        <f>(S19-S20)</f>
        <v>57000</v>
      </c>
    </row>
    <row r="22" spans="1:19" x14ac:dyDescent="0.3">
      <c r="A22" s="116" t="s">
        <v>203</v>
      </c>
      <c r="B22" s="190">
        <v>13000</v>
      </c>
      <c r="C22" s="186"/>
      <c r="D22" s="145"/>
      <c r="E22" s="43" t="s">
        <v>467</v>
      </c>
      <c r="F22" s="73">
        <v>6700</v>
      </c>
      <c r="G22" s="115" t="s">
        <v>431</v>
      </c>
      <c r="H22" s="116">
        <v>20481</v>
      </c>
      <c r="I22" s="113">
        <v>44905</v>
      </c>
      <c r="K22" s="43"/>
      <c r="L22" s="43" t="s">
        <v>481</v>
      </c>
      <c r="R22" s="65"/>
      <c r="S22" s="73"/>
    </row>
    <row r="23" spans="1:19" x14ac:dyDescent="0.3">
      <c r="A23" s="115" t="s">
        <v>381</v>
      </c>
      <c r="B23" s="190">
        <v>60000</v>
      </c>
      <c r="C23" s="186"/>
      <c r="D23" s="43"/>
      <c r="E23" s="43" t="s">
        <v>468</v>
      </c>
      <c r="F23" s="73">
        <f>'September 23'!AO30</f>
        <v>0</v>
      </c>
      <c r="G23" s="115"/>
      <c r="H23" s="116"/>
      <c r="I23" s="113"/>
      <c r="K23" s="43"/>
      <c r="L23" s="43" t="s">
        <v>482</v>
      </c>
      <c r="R23" t="s">
        <v>142</v>
      </c>
      <c r="S23" s="73">
        <v>200000</v>
      </c>
    </row>
    <row r="24" spans="1:19" x14ac:dyDescent="0.3">
      <c r="A24" s="64" t="s">
        <v>5</v>
      </c>
      <c r="B24" s="186">
        <f>SUM(B1:B16)</f>
        <v>201665</v>
      </c>
      <c r="C24" s="186">
        <f>SUM(C1:C17)</f>
        <v>157915</v>
      </c>
      <c r="D24" s="72"/>
      <c r="E24" s="43" t="s">
        <v>469</v>
      </c>
      <c r="F24" s="73">
        <v>51800</v>
      </c>
      <c r="G24" s="124"/>
      <c r="H24" s="118"/>
      <c r="I24" s="113"/>
      <c r="K24" s="43"/>
      <c r="L24" s="43" t="s">
        <v>483</v>
      </c>
      <c r="R24" t="s">
        <v>206</v>
      </c>
      <c r="S24" s="73">
        <f>(S21+S23)</f>
        <v>257000</v>
      </c>
    </row>
    <row r="25" spans="1:19" x14ac:dyDescent="0.3">
      <c r="A25" s="43"/>
      <c r="B25" s="43"/>
      <c r="C25" s="43"/>
      <c r="D25" s="72"/>
      <c r="E25" s="178" t="s">
        <v>470</v>
      </c>
      <c r="F25" s="179">
        <v>22000</v>
      </c>
      <c r="G25" s="43"/>
      <c r="H25" s="106"/>
      <c r="I25" s="114"/>
      <c r="K25" s="199"/>
      <c r="L25" s="43">
        <v>1270</v>
      </c>
      <c r="O25">
        <v>176000</v>
      </c>
      <c r="S25" s="73"/>
    </row>
    <row r="26" spans="1:19" x14ac:dyDescent="0.3">
      <c r="A26" s="64" t="s">
        <v>228</v>
      </c>
      <c r="B26" s="43"/>
      <c r="C26" s="62">
        <f>(C24-B24)</f>
        <v>-43750</v>
      </c>
      <c r="D26" s="43" t="s">
        <v>227</v>
      </c>
      <c r="E26" s="43" t="s">
        <v>471</v>
      </c>
      <c r="F26" s="73">
        <v>11500</v>
      </c>
      <c r="K26" s="73" t="s">
        <v>485</v>
      </c>
      <c r="L26" s="43" t="s">
        <v>484</v>
      </c>
      <c r="O26">
        <v>152000</v>
      </c>
      <c r="R26" t="s">
        <v>413</v>
      </c>
      <c r="S26" s="73">
        <v>260000</v>
      </c>
    </row>
    <row r="27" spans="1:19" x14ac:dyDescent="0.3">
      <c r="A27" s="64"/>
      <c r="B27" s="43"/>
      <c r="C27" s="43"/>
      <c r="D27" s="43"/>
      <c r="E27" s="43" t="s">
        <v>472</v>
      </c>
      <c r="F27" s="73">
        <v>26000</v>
      </c>
      <c r="H27">
        <f>55000-110000</f>
        <v>-55000</v>
      </c>
      <c r="K27" s="43" t="s">
        <v>486</v>
      </c>
      <c r="L27" s="43">
        <v>1250</v>
      </c>
      <c r="O27">
        <f>O25-O26</f>
        <v>24000</v>
      </c>
      <c r="S27" s="30">
        <f>(S26-S24)</f>
        <v>3000</v>
      </c>
    </row>
    <row r="28" spans="1:19" x14ac:dyDescent="0.3">
      <c r="A28" s="64" t="s">
        <v>225</v>
      </c>
      <c r="B28" s="43"/>
      <c r="C28" s="62">
        <f>(F6+C26)</f>
        <v>-23750</v>
      </c>
      <c r="D28" s="43"/>
      <c r="E28" s="43" t="s">
        <v>476</v>
      </c>
      <c r="F28" s="186">
        <v>41600</v>
      </c>
      <c r="K28" s="43" t="s">
        <v>487</v>
      </c>
      <c r="L28" s="43">
        <v>91</v>
      </c>
    </row>
    <row r="29" spans="1:19" x14ac:dyDescent="0.3">
      <c r="F29" s="73">
        <f>SUM(F10:F28)</f>
        <v>301557.86</v>
      </c>
      <c r="K29" s="43"/>
      <c r="L29" s="43">
        <f>L27*L28</f>
        <v>113750</v>
      </c>
    </row>
    <row r="30" spans="1:19" x14ac:dyDescent="0.3">
      <c r="K30" s="43" t="s">
        <v>488</v>
      </c>
      <c r="L30" s="73">
        <v>99130</v>
      </c>
    </row>
    <row r="31" spans="1:19" x14ac:dyDescent="0.3">
      <c r="K31" s="43"/>
      <c r="L31" s="106">
        <f>L29+L30</f>
        <v>212880</v>
      </c>
      <c r="O31">
        <f>5000/40</f>
        <v>125</v>
      </c>
    </row>
    <row r="32" spans="1:19" x14ac:dyDescent="0.3">
      <c r="K32" s="178" t="s">
        <v>490</v>
      </c>
      <c r="L32" s="91">
        <v>-109464</v>
      </c>
      <c r="O32">
        <v>23</v>
      </c>
      <c r="P32">
        <f>O31*O32</f>
        <v>2875</v>
      </c>
    </row>
    <row r="33" spans="11:16" x14ac:dyDescent="0.3">
      <c r="K33" s="43" t="s">
        <v>488</v>
      </c>
      <c r="L33" s="200">
        <v>-25000</v>
      </c>
      <c r="P33">
        <v>2875</v>
      </c>
    </row>
    <row r="34" spans="11:16" x14ac:dyDescent="0.3">
      <c r="K34" s="43" t="s">
        <v>143</v>
      </c>
      <c r="L34" s="73">
        <f>L31+L32+L33</f>
        <v>78416</v>
      </c>
      <c r="P34">
        <v>6000</v>
      </c>
    </row>
  </sheetData>
  <mergeCells count="3">
    <mergeCell ref="E1:F1"/>
    <mergeCell ref="I1:L1"/>
    <mergeCell ref="J4:L4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A3A5-B4EB-49B9-938B-87DB9368885E}">
  <dimension ref="A1:S34"/>
  <sheetViews>
    <sheetView workbookViewId="0">
      <selection activeCell="C21" sqref="C21"/>
    </sheetView>
  </sheetViews>
  <sheetFormatPr defaultRowHeight="14.4" x14ac:dyDescent="0.3"/>
  <cols>
    <col min="1" max="1" width="17.5546875" bestFit="1" customWidth="1"/>
    <col min="2" max="2" width="9.44140625" bestFit="1" customWidth="1"/>
    <col min="3" max="3" width="13.44140625" bestFit="1" customWidth="1"/>
    <col min="5" max="5" width="15.88671875" bestFit="1" customWidth="1"/>
    <col min="6" max="6" width="10.44140625" bestFit="1" customWidth="1"/>
    <col min="7" max="7" width="16.6640625" bestFit="1" customWidth="1"/>
    <col min="9" max="9" width="14" bestFit="1" customWidth="1"/>
    <col min="11" max="11" width="14" bestFit="1" customWidth="1"/>
    <col min="12" max="12" width="11.33203125" bestFit="1" customWidth="1"/>
    <col min="16" max="16" width="17.5546875" bestFit="1" customWidth="1"/>
    <col min="17" max="17" width="9.6640625" bestFit="1" customWidth="1"/>
    <col min="18" max="18" width="11.109375" bestFit="1" customWidth="1"/>
    <col min="19" max="19" width="13.33203125" bestFit="1" customWidth="1"/>
  </cols>
  <sheetData>
    <row r="1" spans="1:19" x14ac:dyDescent="0.3">
      <c r="A1" s="43" t="s">
        <v>6</v>
      </c>
      <c r="B1" s="186">
        <v>24000</v>
      </c>
      <c r="C1" s="191">
        <v>12000</v>
      </c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</row>
    <row r="2" spans="1:19" x14ac:dyDescent="0.3">
      <c r="A2" s="43" t="s">
        <v>0</v>
      </c>
      <c r="B2" s="186">
        <v>20000</v>
      </c>
      <c r="C2" s="191">
        <v>15000</v>
      </c>
      <c r="D2" s="186" t="s">
        <v>451</v>
      </c>
      <c r="E2" s="43"/>
      <c r="F2" s="73"/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19" x14ac:dyDescent="0.3">
      <c r="A3" s="43" t="s">
        <v>1</v>
      </c>
      <c r="B3" s="186">
        <v>5000</v>
      </c>
      <c r="C3" s="191">
        <v>5000</v>
      </c>
      <c r="D3" s="43"/>
      <c r="E3" s="43" t="s">
        <v>265</v>
      </c>
      <c r="F3" s="73">
        <v>36</v>
      </c>
      <c r="G3" s="73"/>
      <c r="H3" s="30"/>
      <c r="I3" s="110" t="s">
        <v>382</v>
      </c>
      <c r="J3" s="157">
        <v>10</v>
      </c>
      <c r="K3" s="157">
        <v>999</v>
      </c>
      <c r="L3" s="194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</row>
    <row r="4" spans="1:19" x14ac:dyDescent="0.3">
      <c r="A4" s="43" t="s">
        <v>2</v>
      </c>
      <c r="B4" s="186">
        <v>2000</v>
      </c>
      <c r="C4" s="191">
        <v>2000</v>
      </c>
      <c r="D4" s="43"/>
      <c r="E4" s="43" t="s">
        <v>204</v>
      </c>
      <c r="F4" s="73">
        <v>68000</v>
      </c>
      <c r="G4" s="73"/>
      <c r="I4" s="110" t="s">
        <v>379</v>
      </c>
      <c r="J4" s="284" t="s">
        <v>473</v>
      </c>
      <c r="K4" s="285"/>
      <c r="L4" s="286"/>
      <c r="M4" s="192">
        <v>44682</v>
      </c>
      <c r="N4" s="43"/>
      <c r="O4" s="43"/>
      <c r="P4" s="73"/>
      <c r="R4" s="43"/>
      <c r="S4" s="73"/>
    </row>
    <row r="5" spans="1:19" x14ac:dyDescent="0.3">
      <c r="A5" s="43" t="s">
        <v>89</v>
      </c>
      <c r="B5" s="186">
        <v>33953</v>
      </c>
      <c r="C5" s="191">
        <v>33953</v>
      </c>
      <c r="D5" s="43" t="s">
        <v>450</v>
      </c>
      <c r="E5" s="43" t="s">
        <v>205</v>
      </c>
      <c r="F5" s="73">
        <v>2000</v>
      </c>
      <c r="I5" s="110" t="s">
        <v>19</v>
      </c>
      <c r="J5" s="157">
        <v>22</v>
      </c>
      <c r="K5" s="157">
        <v>1321.63</v>
      </c>
      <c r="L5" s="194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</row>
    <row r="6" spans="1:19" x14ac:dyDescent="0.3">
      <c r="A6" s="43" t="s">
        <v>3</v>
      </c>
      <c r="B6" s="186">
        <v>2000</v>
      </c>
      <c r="C6" s="191">
        <v>2000</v>
      </c>
      <c r="D6" s="43"/>
      <c r="E6" s="43" t="s">
        <v>6</v>
      </c>
      <c r="F6" s="73">
        <f>SUM(F4:F5)</f>
        <v>70000</v>
      </c>
      <c r="I6" s="110" t="s">
        <v>362</v>
      </c>
      <c r="J6" s="157">
        <v>6</v>
      </c>
      <c r="K6" s="157">
        <v>1918.68</v>
      </c>
      <c r="L6" s="194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</row>
    <row r="7" spans="1:19" x14ac:dyDescent="0.3">
      <c r="A7" s="43" t="s">
        <v>9</v>
      </c>
      <c r="B7" s="186">
        <v>2500</v>
      </c>
      <c r="C7" s="191">
        <v>2500</v>
      </c>
      <c r="D7" s="43"/>
      <c r="E7" s="43" t="s">
        <v>506</v>
      </c>
      <c r="F7" s="44">
        <f>B24</f>
        <v>331133</v>
      </c>
      <c r="I7" s="110" t="s">
        <v>363</v>
      </c>
      <c r="J7" s="157">
        <v>5</v>
      </c>
      <c r="K7" s="157">
        <v>1049.19</v>
      </c>
      <c r="L7" s="194">
        <f t="shared" si="1"/>
        <v>5245.9500000000007</v>
      </c>
      <c r="M7" s="192">
        <v>45108</v>
      </c>
      <c r="N7" s="43"/>
      <c r="O7" s="43"/>
      <c r="P7" s="73"/>
      <c r="R7" s="43"/>
      <c r="S7" s="73"/>
    </row>
    <row r="8" spans="1:19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7">
        <v>11</v>
      </c>
      <c r="K8" s="157">
        <v>470.99</v>
      </c>
      <c r="L8" s="194">
        <f t="shared" si="1"/>
        <v>5180.8900000000003</v>
      </c>
      <c r="M8" s="192">
        <v>45108</v>
      </c>
      <c r="N8" s="43"/>
      <c r="O8" s="43"/>
      <c r="P8" s="108">
        <f>SUM(P3:P6)</f>
        <v>2240000</v>
      </c>
      <c r="R8" s="43"/>
      <c r="S8" s="73">
        <f>SUM(S3:S6)</f>
        <v>1290975</v>
      </c>
    </row>
    <row r="9" spans="1:19" x14ac:dyDescent="0.3">
      <c r="A9" s="43" t="s">
        <v>107</v>
      </c>
      <c r="B9" s="186">
        <v>619</v>
      </c>
      <c r="C9" s="191">
        <v>619</v>
      </c>
      <c r="D9" s="43"/>
      <c r="E9" s="43"/>
      <c r="F9" s="43"/>
      <c r="I9" s="110" t="s">
        <v>377</v>
      </c>
      <c r="J9" s="157">
        <v>4</v>
      </c>
      <c r="K9" s="157">
        <v>1376.72</v>
      </c>
      <c r="L9" s="194">
        <f t="shared" si="1"/>
        <v>5506.88</v>
      </c>
      <c r="N9" s="43"/>
      <c r="O9" s="43"/>
      <c r="P9" s="73"/>
      <c r="R9" s="43"/>
      <c r="S9" s="73"/>
    </row>
    <row r="10" spans="1:19" x14ac:dyDescent="0.3">
      <c r="A10" s="43" t="s">
        <v>174</v>
      </c>
      <c r="B10" s="186">
        <v>5000</v>
      </c>
      <c r="C10" s="191">
        <v>2500</v>
      </c>
      <c r="D10" s="43"/>
      <c r="E10" s="43" t="s">
        <v>442</v>
      </c>
      <c r="F10" s="73">
        <v>234.82</v>
      </c>
      <c r="I10" s="110" t="s">
        <v>387</v>
      </c>
      <c r="J10" s="157">
        <v>5</v>
      </c>
      <c r="K10" s="157">
        <v>936.51</v>
      </c>
      <c r="L10" s="194">
        <f t="shared" si="1"/>
        <v>4682.55</v>
      </c>
      <c r="M10" s="192">
        <v>45108</v>
      </c>
      <c r="N10" s="43"/>
      <c r="O10" s="43" t="s">
        <v>339</v>
      </c>
      <c r="P10" s="134">
        <v>500000</v>
      </c>
      <c r="S10" s="30"/>
    </row>
    <row r="11" spans="1:19" x14ac:dyDescent="0.3">
      <c r="A11" s="43" t="s">
        <v>414</v>
      </c>
      <c r="B11" s="186">
        <v>41452</v>
      </c>
      <c r="C11" s="191">
        <v>41452</v>
      </c>
      <c r="D11" s="43" t="s">
        <v>451</v>
      </c>
      <c r="E11" s="43" t="s">
        <v>441</v>
      </c>
      <c r="F11" s="73">
        <v>1419.04</v>
      </c>
      <c r="I11" s="110" t="s">
        <v>380</v>
      </c>
      <c r="J11" s="157">
        <v>5</v>
      </c>
      <c r="K11" s="157">
        <v>959.34</v>
      </c>
      <c r="L11" s="194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</row>
    <row r="12" spans="1:19" x14ac:dyDescent="0.3">
      <c r="A12" s="178" t="s">
        <v>498</v>
      </c>
      <c r="B12" s="186">
        <f>SUM(P32:P34)</f>
        <v>11750</v>
      </c>
      <c r="C12" s="186"/>
      <c r="D12" s="85"/>
      <c r="E12" s="43" t="s">
        <v>443</v>
      </c>
      <c r="F12" s="73">
        <v>3500</v>
      </c>
      <c r="I12" s="110" t="s">
        <v>385</v>
      </c>
      <c r="J12" s="157">
        <v>50</v>
      </c>
      <c r="K12" s="157">
        <v>43.35</v>
      </c>
      <c r="L12" s="194">
        <f t="shared" si="1"/>
        <v>2167.5</v>
      </c>
      <c r="N12" s="43"/>
      <c r="O12" s="43" t="s">
        <v>6</v>
      </c>
      <c r="P12" s="134">
        <v>50000</v>
      </c>
    </row>
    <row r="13" spans="1:19" x14ac:dyDescent="0.3">
      <c r="A13" s="43" t="s">
        <v>285</v>
      </c>
      <c r="B13" s="186">
        <v>1440</v>
      </c>
      <c r="C13" s="191">
        <v>1440</v>
      </c>
      <c r="D13" s="43"/>
      <c r="E13" s="43" t="s">
        <v>455</v>
      </c>
      <c r="F13" s="73">
        <v>8000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</row>
    <row r="14" spans="1:19" ht="15" thickBot="1" x14ac:dyDescent="0.35">
      <c r="A14" s="87" t="s">
        <v>273</v>
      </c>
      <c r="B14" s="186">
        <v>150000</v>
      </c>
      <c r="C14" s="191">
        <v>50000</v>
      </c>
      <c r="D14" s="205"/>
      <c r="E14" s="43" t="s">
        <v>456</v>
      </c>
      <c r="F14" s="73">
        <v>1000</v>
      </c>
      <c r="I14" s="169" t="s">
        <v>447</v>
      </c>
      <c r="J14" s="173">
        <v>4</v>
      </c>
      <c r="K14" s="173">
        <v>507.02</v>
      </c>
      <c r="L14" s="195">
        <f t="shared" si="1"/>
        <v>2028.08</v>
      </c>
      <c r="N14" s="43"/>
      <c r="O14" s="43" t="s">
        <v>408</v>
      </c>
      <c r="P14" s="134">
        <v>10000</v>
      </c>
    </row>
    <row r="15" spans="1:19" x14ac:dyDescent="0.3">
      <c r="A15" s="43" t="s">
        <v>505</v>
      </c>
      <c r="B15" s="186">
        <v>20000</v>
      </c>
      <c r="C15" s="191">
        <v>20000</v>
      </c>
      <c r="D15" s="43"/>
      <c r="E15" s="43" t="s">
        <v>457</v>
      </c>
      <c r="F15" s="73">
        <v>5074</v>
      </c>
      <c r="L15" s="193">
        <f>SUM(L4:L14)</f>
        <v>72210.990000000005</v>
      </c>
      <c r="N15" s="43"/>
      <c r="O15" s="43"/>
      <c r="P15" s="134">
        <f>SUM(P10:P14)</f>
        <v>815000</v>
      </c>
    </row>
    <row r="16" spans="1:19" x14ac:dyDescent="0.3">
      <c r="A16" s="178"/>
      <c r="B16" s="186"/>
      <c r="C16" s="186"/>
      <c r="D16" s="43"/>
      <c r="E16" s="43" t="s">
        <v>458</v>
      </c>
      <c r="F16" s="73">
        <v>113280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</row>
    <row r="17" spans="1:19" x14ac:dyDescent="0.3">
      <c r="A17" s="73"/>
      <c r="B17" s="73"/>
      <c r="C17" s="73"/>
      <c r="D17" s="202"/>
      <c r="E17" s="43" t="s">
        <v>459</v>
      </c>
      <c r="F17" s="73">
        <v>750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19" ht="15" thickBot="1" x14ac:dyDescent="0.35">
      <c r="A18" s="73"/>
      <c r="B18" s="73"/>
      <c r="C18" s="73"/>
      <c r="D18" s="202"/>
      <c r="E18" s="43" t="s">
        <v>463</v>
      </c>
      <c r="F18" s="73">
        <v>1000</v>
      </c>
      <c r="G18" s="167" t="s">
        <v>109</v>
      </c>
      <c r="H18" s="116">
        <v>18195</v>
      </c>
      <c r="I18" s="113">
        <v>44958</v>
      </c>
      <c r="N18" s="43"/>
      <c r="O18" s="43"/>
      <c r="R18" t="s">
        <v>412</v>
      </c>
      <c r="S18" s="73">
        <v>93000</v>
      </c>
    </row>
    <row r="19" spans="1:19" ht="15" thickBot="1" x14ac:dyDescent="0.35">
      <c r="A19" s="123" t="s">
        <v>81</v>
      </c>
      <c r="B19" s="123">
        <v>50000</v>
      </c>
      <c r="C19" s="186"/>
      <c r="D19" s="72"/>
      <c r="E19" s="43" t="s">
        <v>464</v>
      </c>
      <c r="F19" s="73">
        <v>700</v>
      </c>
      <c r="G19" s="181" t="s">
        <v>268</v>
      </c>
      <c r="H19" s="112">
        <v>10526</v>
      </c>
      <c r="I19" s="113">
        <v>44958</v>
      </c>
      <c r="N19" s="43"/>
      <c r="O19" s="104" t="s">
        <v>410</v>
      </c>
      <c r="P19" s="177">
        <f>(P17-P16)</f>
        <v>-151000</v>
      </c>
      <c r="S19" s="73">
        <f>SUM(S17:S18)</f>
        <v>147000</v>
      </c>
    </row>
    <row r="20" spans="1:19" x14ac:dyDescent="0.3">
      <c r="A20" s="123" t="s">
        <v>123</v>
      </c>
      <c r="B20" s="123">
        <v>33000</v>
      </c>
      <c r="C20" s="186"/>
      <c r="D20" s="72"/>
      <c r="E20" s="43" t="s">
        <v>465</v>
      </c>
      <c r="F20" s="73">
        <v>2000</v>
      </c>
      <c r="G20" s="80" t="s">
        <v>298</v>
      </c>
      <c r="H20" s="80">
        <v>5000</v>
      </c>
      <c r="I20" s="113">
        <v>44896</v>
      </c>
      <c r="N20" s="43"/>
      <c r="O20" s="43"/>
      <c r="P20" s="89"/>
      <c r="R20" t="s">
        <v>411</v>
      </c>
      <c r="S20" s="73">
        <v>90000</v>
      </c>
    </row>
    <row r="21" spans="1:19" x14ac:dyDescent="0.3">
      <c r="A21" s="123" t="s">
        <v>475</v>
      </c>
      <c r="B21" s="123">
        <v>25000</v>
      </c>
      <c r="C21" s="73"/>
      <c r="D21" s="43" t="s">
        <v>503</v>
      </c>
      <c r="E21" s="43" t="s">
        <v>462</v>
      </c>
      <c r="F21" s="73">
        <v>5000</v>
      </c>
      <c r="G21" s="80" t="s">
        <v>256</v>
      </c>
      <c r="H21" s="80">
        <v>7600</v>
      </c>
      <c r="I21" s="113">
        <v>44932</v>
      </c>
      <c r="K21" s="43" t="s">
        <v>479</v>
      </c>
      <c r="L21" s="43" t="s">
        <v>480</v>
      </c>
      <c r="S21" s="73">
        <f>(S19-S20)</f>
        <v>57000</v>
      </c>
    </row>
    <row r="22" spans="1:19" x14ac:dyDescent="0.3">
      <c r="A22" s="116" t="s">
        <v>203</v>
      </c>
      <c r="B22" s="190">
        <v>13000</v>
      </c>
      <c r="C22" s="186"/>
      <c r="D22" s="145"/>
      <c r="E22" s="43" t="s">
        <v>467</v>
      </c>
      <c r="F22" s="73">
        <v>6700</v>
      </c>
      <c r="G22" s="115" t="s">
        <v>431</v>
      </c>
      <c r="H22" s="116">
        <v>20481</v>
      </c>
      <c r="I22" s="113">
        <v>44905</v>
      </c>
      <c r="K22" s="43"/>
      <c r="L22" s="43" t="s">
        <v>481</v>
      </c>
      <c r="R22" s="65"/>
      <c r="S22" s="73"/>
    </row>
    <row r="23" spans="1:19" x14ac:dyDescent="0.3">
      <c r="A23" s="115" t="s">
        <v>381</v>
      </c>
      <c r="B23" s="190">
        <v>60000</v>
      </c>
      <c r="C23" s="186"/>
      <c r="D23" s="43"/>
      <c r="E23" s="43" t="s">
        <v>468</v>
      </c>
      <c r="F23" s="73">
        <f>'September 23'!AO30</f>
        <v>0</v>
      </c>
      <c r="G23" s="115"/>
      <c r="H23" s="116"/>
      <c r="I23" s="113"/>
      <c r="K23" s="43"/>
      <c r="L23" s="43" t="s">
        <v>482</v>
      </c>
      <c r="R23" t="s">
        <v>142</v>
      </c>
      <c r="S23" s="73">
        <v>200000</v>
      </c>
    </row>
    <row r="24" spans="1:19" x14ac:dyDescent="0.3">
      <c r="A24" s="64" t="s">
        <v>5</v>
      </c>
      <c r="B24" s="186">
        <f>SUM(B1:B16)</f>
        <v>331133</v>
      </c>
      <c r="C24" s="186">
        <f>SUM(C1:C17)</f>
        <v>199883</v>
      </c>
      <c r="D24" s="72"/>
      <c r="E24" s="43" t="s">
        <v>469</v>
      </c>
      <c r="F24" s="73">
        <v>51800</v>
      </c>
      <c r="G24" s="124"/>
      <c r="H24" s="118"/>
      <c r="I24" s="113"/>
      <c r="K24" s="43"/>
      <c r="L24" s="43" t="s">
        <v>483</v>
      </c>
      <c r="R24" t="s">
        <v>206</v>
      </c>
      <c r="S24" s="73">
        <f>(S21+S23)</f>
        <v>257000</v>
      </c>
    </row>
    <row r="25" spans="1:19" x14ac:dyDescent="0.3">
      <c r="A25" s="43"/>
      <c r="B25" s="43"/>
      <c r="C25" s="43"/>
      <c r="D25" s="72"/>
      <c r="E25" s="178" t="s">
        <v>470</v>
      </c>
      <c r="F25" s="179">
        <v>22000</v>
      </c>
      <c r="G25" s="43"/>
      <c r="H25" s="106"/>
      <c r="I25" s="114"/>
      <c r="K25" s="199"/>
      <c r="L25" s="43">
        <v>1270</v>
      </c>
      <c r="O25">
        <v>176000</v>
      </c>
      <c r="S25" s="73"/>
    </row>
    <row r="26" spans="1:19" x14ac:dyDescent="0.3">
      <c r="A26" s="64" t="s">
        <v>228</v>
      </c>
      <c r="B26" s="43"/>
      <c r="C26" s="62">
        <f>(C24-B24)</f>
        <v>-131250</v>
      </c>
      <c r="D26" s="43" t="s">
        <v>227</v>
      </c>
      <c r="E26" s="43" t="s">
        <v>471</v>
      </c>
      <c r="F26" s="73">
        <v>11500</v>
      </c>
      <c r="K26" s="73" t="s">
        <v>485</v>
      </c>
      <c r="L26" s="43" t="s">
        <v>484</v>
      </c>
      <c r="O26">
        <v>152000</v>
      </c>
      <c r="R26" t="s">
        <v>413</v>
      </c>
      <c r="S26" s="73">
        <v>260000</v>
      </c>
    </row>
    <row r="27" spans="1:19" x14ac:dyDescent="0.3">
      <c r="A27" s="64"/>
      <c r="B27" s="43"/>
      <c r="C27" s="43"/>
      <c r="D27" s="43"/>
      <c r="E27" s="43" t="s">
        <v>472</v>
      </c>
      <c r="F27" s="73">
        <v>26000</v>
      </c>
      <c r="H27">
        <f>55000-110000</f>
        <v>-55000</v>
      </c>
      <c r="K27" s="43" t="s">
        <v>486</v>
      </c>
      <c r="L27" s="43">
        <v>1250</v>
      </c>
      <c r="O27">
        <f>O25-O26</f>
        <v>24000</v>
      </c>
      <c r="S27" s="30">
        <f>(S26-S24)</f>
        <v>3000</v>
      </c>
    </row>
    <row r="28" spans="1:19" x14ac:dyDescent="0.3">
      <c r="A28" s="64" t="s">
        <v>225</v>
      </c>
      <c r="B28" s="43"/>
      <c r="C28" s="62">
        <f>(F6+C26)</f>
        <v>-61250</v>
      </c>
      <c r="D28" s="43"/>
      <c r="E28" s="43" t="s">
        <v>476</v>
      </c>
      <c r="F28" s="186">
        <v>41600</v>
      </c>
      <c r="K28" s="43" t="s">
        <v>487</v>
      </c>
      <c r="L28" s="43">
        <v>91</v>
      </c>
    </row>
    <row r="29" spans="1:19" x14ac:dyDescent="0.3">
      <c r="F29" s="73">
        <f>SUM(F10:F28)</f>
        <v>301557.86</v>
      </c>
      <c r="K29" s="43"/>
      <c r="L29" s="43">
        <f>L27*L28</f>
        <v>113750</v>
      </c>
    </row>
    <row r="30" spans="1:19" x14ac:dyDescent="0.3">
      <c r="K30" s="43" t="s">
        <v>488</v>
      </c>
      <c r="L30" s="73">
        <v>99130</v>
      </c>
    </row>
    <row r="31" spans="1:19" x14ac:dyDescent="0.3">
      <c r="K31" s="43"/>
      <c r="L31" s="106">
        <f>L29+L30</f>
        <v>212880</v>
      </c>
      <c r="O31">
        <f>5000/40</f>
        <v>125</v>
      </c>
    </row>
    <row r="32" spans="1:19" x14ac:dyDescent="0.3">
      <c r="K32" s="178" t="s">
        <v>490</v>
      </c>
      <c r="L32" s="91">
        <v>-109464</v>
      </c>
      <c r="O32">
        <v>23</v>
      </c>
      <c r="P32">
        <f>O31*O32</f>
        <v>2875</v>
      </c>
    </row>
    <row r="33" spans="11:16" x14ac:dyDescent="0.3">
      <c r="K33" s="43" t="s">
        <v>488</v>
      </c>
      <c r="L33" s="200">
        <v>-25000</v>
      </c>
      <c r="P33">
        <v>2875</v>
      </c>
    </row>
    <row r="34" spans="11:16" x14ac:dyDescent="0.3">
      <c r="K34" s="43" t="s">
        <v>143</v>
      </c>
      <c r="L34" s="73">
        <f>L31+L32+L33</f>
        <v>78416</v>
      </c>
      <c r="P34">
        <v>6000</v>
      </c>
    </row>
  </sheetData>
  <mergeCells count="3">
    <mergeCell ref="E1:F1"/>
    <mergeCell ref="I1:L1"/>
    <mergeCell ref="J4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zoomScaleNormal="100" zoomScaleSheetLayoutView="100" workbookViewId="0">
      <selection activeCell="G27" sqref="G27"/>
    </sheetView>
  </sheetViews>
  <sheetFormatPr defaultRowHeight="14.4" x14ac:dyDescent="0.3"/>
  <cols>
    <col min="1" max="1" width="22.33203125" bestFit="1" customWidth="1"/>
    <col min="2" max="2" width="10.6640625" bestFit="1" customWidth="1"/>
    <col min="3" max="3" width="9.6640625" bestFit="1" customWidth="1"/>
    <col min="4" max="4" width="14.109375" bestFit="1" customWidth="1"/>
    <col min="5" max="5" width="10.109375" bestFit="1" customWidth="1"/>
    <col min="7" max="7" width="12.88671875" bestFit="1" customWidth="1"/>
    <col min="8" max="8" width="5.6640625" bestFit="1" customWidth="1"/>
    <col min="9" max="9" width="8.6640625" bestFit="1" customWidth="1"/>
  </cols>
  <sheetData>
    <row r="1" spans="1:5" x14ac:dyDescent="0.3">
      <c r="A1" s="2" t="s">
        <v>6</v>
      </c>
      <c r="B1" s="4">
        <v>21000</v>
      </c>
      <c r="C1" s="2">
        <v>21000</v>
      </c>
    </row>
    <row r="2" spans="1:5" x14ac:dyDescent="0.3">
      <c r="A2" s="2" t="s">
        <v>0</v>
      </c>
      <c r="B2" s="5">
        <v>10000</v>
      </c>
      <c r="C2" s="2">
        <v>10000</v>
      </c>
      <c r="D2">
        <v>6505.99</v>
      </c>
    </row>
    <row r="3" spans="1:5" x14ac:dyDescent="0.3">
      <c r="A3" s="2" t="s">
        <v>1</v>
      </c>
      <c r="B3" s="4">
        <v>10000</v>
      </c>
      <c r="C3" s="2">
        <v>10000</v>
      </c>
    </row>
    <row r="4" spans="1:5" x14ac:dyDescent="0.3">
      <c r="A4" s="2" t="s">
        <v>2</v>
      </c>
      <c r="B4" s="4">
        <v>15000</v>
      </c>
      <c r="C4" s="2">
        <v>15000</v>
      </c>
    </row>
    <row r="5" spans="1:5" x14ac:dyDescent="0.3">
      <c r="A5" s="2" t="s">
        <v>89</v>
      </c>
      <c r="B5" s="13">
        <v>29706</v>
      </c>
      <c r="C5" s="14">
        <v>29706</v>
      </c>
    </row>
    <row r="6" spans="1:5" x14ac:dyDescent="0.3">
      <c r="A6" s="2" t="s">
        <v>3</v>
      </c>
      <c r="B6" s="2"/>
      <c r="C6" s="2"/>
    </row>
    <row r="7" spans="1:5" x14ac:dyDescent="0.3">
      <c r="A7" s="2" t="s">
        <v>9</v>
      </c>
      <c r="B7" s="4">
        <v>40</v>
      </c>
      <c r="C7" s="2">
        <v>40</v>
      </c>
    </row>
    <row r="8" spans="1:5" x14ac:dyDescent="0.3">
      <c r="A8" s="2" t="s">
        <v>15</v>
      </c>
      <c r="B8" s="7">
        <v>7500</v>
      </c>
      <c r="C8" s="2">
        <v>7500</v>
      </c>
    </row>
    <row r="9" spans="1:5" x14ac:dyDescent="0.3">
      <c r="A9" s="2" t="s">
        <v>37</v>
      </c>
      <c r="B9" s="13">
        <v>10993</v>
      </c>
      <c r="C9">
        <v>8784</v>
      </c>
      <c r="D9" s="2">
        <v>2209</v>
      </c>
      <c r="E9" t="s">
        <v>38</v>
      </c>
    </row>
    <row r="10" spans="1:5" x14ac:dyDescent="0.3">
      <c r="A10" s="2" t="s">
        <v>39</v>
      </c>
      <c r="B10" s="4">
        <v>4730</v>
      </c>
      <c r="C10" s="2">
        <v>4730</v>
      </c>
    </row>
    <row r="11" spans="1:5" x14ac:dyDescent="0.3">
      <c r="A11" s="2" t="s">
        <v>42</v>
      </c>
      <c r="B11" s="4">
        <v>11364</v>
      </c>
      <c r="C11" s="2">
        <v>11364</v>
      </c>
    </row>
    <row r="12" spans="1:5" x14ac:dyDescent="0.3">
      <c r="A12" s="2" t="s">
        <v>43</v>
      </c>
      <c r="B12" s="4">
        <v>2956.21</v>
      </c>
      <c r="C12" s="2">
        <v>2956.21</v>
      </c>
    </row>
    <row r="13" spans="1:5" x14ac:dyDescent="0.3">
      <c r="A13" s="2" t="s">
        <v>47</v>
      </c>
      <c r="B13" s="4">
        <v>30000</v>
      </c>
      <c r="C13" s="2">
        <v>30000</v>
      </c>
    </row>
    <row r="14" spans="1:5" x14ac:dyDescent="0.3">
      <c r="A14" s="2"/>
      <c r="B14" s="2"/>
      <c r="C14" s="2"/>
    </row>
    <row r="15" spans="1:5" x14ac:dyDescent="0.3">
      <c r="A15" s="2" t="s">
        <v>5</v>
      </c>
      <c r="B15" s="3">
        <f>SUM(B1:B14)</f>
        <v>153289.21000000002</v>
      </c>
      <c r="C15" s="2">
        <f>SUM(C1:C14)</f>
        <v>151080.21000000002</v>
      </c>
    </row>
    <row r="16" spans="1:5" x14ac:dyDescent="0.3">
      <c r="B16" s="10"/>
    </row>
    <row r="17" spans="1:9" x14ac:dyDescent="0.3">
      <c r="A17" t="s">
        <v>29</v>
      </c>
      <c r="B17" s="10"/>
      <c r="C17" s="11">
        <f>(C15-B15)</f>
        <v>-2209</v>
      </c>
      <c r="D17" s="11">
        <f>SUM(C17,E24)</f>
        <v>170336.41999999998</v>
      </c>
    </row>
    <row r="18" spans="1:9" x14ac:dyDescent="0.3">
      <c r="B18" s="10"/>
    </row>
    <row r="19" spans="1:9" x14ac:dyDescent="0.3">
      <c r="D19" s="8" t="s">
        <v>16</v>
      </c>
      <c r="E19" s="2">
        <v>10000</v>
      </c>
      <c r="F19" s="2"/>
      <c r="G19" s="2"/>
      <c r="H19" s="1" t="s">
        <v>22</v>
      </c>
      <c r="I19" s="1" t="s">
        <v>23</v>
      </c>
    </row>
    <row r="20" spans="1:9" x14ac:dyDescent="0.3">
      <c r="A20" s="2" t="s">
        <v>35</v>
      </c>
      <c r="B20" s="2">
        <v>78350</v>
      </c>
      <c r="D20" s="8" t="s">
        <v>18</v>
      </c>
      <c r="E20" s="2">
        <v>1188.5899999999999</v>
      </c>
      <c r="F20" s="2"/>
      <c r="G20" s="251" t="s">
        <v>21</v>
      </c>
      <c r="H20" s="2">
        <v>13.15</v>
      </c>
      <c r="I20" s="2"/>
    </row>
    <row r="21" spans="1:9" x14ac:dyDescent="0.3">
      <c r="A21" s="2" t="s">
        <v>34</v>
      </c>
      <c r="B21" s="4">
        <v>30000</v>
      </c>
      <c r="D21" s="8" t="s">
        <v>19</v>
      </c>
      <c r="E21" s="2">
        <v>171356.83</v>
      </c>
      <c r="F21" s="2"/>
      <c r="G21" s="251"/>
      <c r="H21" s="2">
        <v>0</v>
      </c>
      <c r="I21" s="2"/>
    </row>
    <row r="22" spans="1:9" x14ac:dyDescent="0.3">
      <c r="A22" s="2" t="s">
        <v>11</v>
      </c>
      <c r="B22" s="2">
        <v>20000</v>
      </c>
      <c r="D22" s="8" t="s">
        <v>20</v>
      </c>
      <c r="E22" s="2">
        <v>29.16</v>
      </c>
      <c r="F22" s="2"/>
      <c r="G22" s="8" t="s">
        <v>25</v>
      </c>
      <c r="H22" s="2">
        <v>32.840000000000003</v>
      </c>
      <c r="I22" s="2"/>
    </row>
    <row r="23" spans="1:9" x14ac:dyDescent="0.3">
      <c r="D23" s="8"/>
      <c r="E23" s="2"/>
      <c r="F23" s="2"/>
      <c r="G23" s="8" t="s">
        <v>24</v>
      </c>
      <c r="H23" s="2"/>
      <c r="I23" s="2">
        <v>9.14</v>
      </c>
    </row>
    <row r="24" spans="1:9" x14ac:dyDescent="0.3">
      <c r="A24" t="s">
        <v>40</v>
      </c>
      <c r="B24">
        <v>450</v>
      </c>
      <c r="C24" t="s">
        <v>22</v>
      </c>
      <c r="D24" s="8" t="s">
        <v>10</v>
      </c>
      <c r="E24" s="2">
        <f>SUM(E20:E21)</f>
        <v>172545.41999999998</v>
      </c>
      <c r="F24" s="2"/>
      <c r="G24" s="8" t="s">
        <v>10</v>
      </c>
      <c r="H24" s="2">
        <f>SUM(H20:H22)</f>
        <v>45.99</v>
      </c>
      <c r="I24" s="2">
        <f>(H24*I23)</f>
        <v>420.34860000000003</v>
      </c>
    </row>
    <row r="25" spans="1:9" x14ac:dyDescent="0.3">
      <c r="A25" t="s">
        <v>41</v>
      </c>
      <c r="B25">
        <v>12000</v>
      </c>
      <c r="C25" t="s">
        <v>22</v>
      </c>
    </row>
    <row r="27" spans="1:9" x14ac:dyDescent="0.3">
      <c r="B27">
        <f>SUM(B9:B12)</f>
        <v>30043.21</v>
      </c>
    </row>
    <row r="28" spans="1:9" ht="57.6" x14ac:dyDescent="0.3">
      <c r="B28">
        <f>SUM(E20:E21,B27)</f>
        <v>202588.62999999998</v>
      </c>
      <c r="D28" s="8" t="s">
        <v>28</v>
      </c>
      <c r="E28" s="2">
        <v>21000</v>
      </c>
      <c r="F28" s="2"/>
      <c r="G28" s="12" t="s">
        <v>44</v>
      </c>
    </row>
    <row r="29" spans="1:9" ht="57.6" x14ac:dyDescent="0.3">
      <c r="D29" s="8" t="s">
        <v>30</v>
      </c>
      <c r="E29" s="2">
        <v>7500</v>
      </c>
      <c r="F29" s="2"/>
      <c r="G29" s="12" t="s">
        <v>31</v>
      </c>
    </row>
    <row r="33" spans="2:4" x14ac:dyDescent="0.3">
      <c r="B33" s="4">
        <v>49000</v>
      </c>
      <c r="C33" s="2">
        <v>35519.83</v>
      </c>
      <c r="D33" s="2"/>
    </row>
    <row r="34" spans="2:4" x14ac:dyDescent="0.3">
      <c r="B34" s="15">
        <v>49800</v>
      </c>
      <c r="C34" s="2"/>
      <c r="D34" s="2"/>
    </row>
    <row r="35" spans="2:4" x14ac:dyDescent="0.3">
      <c r="B35" s="15">
        <v>49800</v>
      </c>
      <c r="C35" s="2"/>
      <c r="D35" s="2"/>
    </row>
    <row r="36" spans="2:4" x14ac:dyDescent="0.3">
      <c r="B36" s="15">
        <v>49800</v>
      </c>
      <c r="C36" s="2"/>
      <c r="D36" s="2"/>
    </row>
    <row r="37" spans="2:4" x14ac:dyDescent="0.3">
      <c r="B37" s="2">
        <f>SUM(B33:B36)</f>
        <v>198400</v>
      </c>
      <c r="C37" s="2">
        <f>SUM(C33:C36)</f>
        <v>35519.83</v>
      </c>
      <c r="D37" s="2">
        <f>(B37-C37)</f>
        <v>162880.16999999998</v>
      </c>
    </row>
  </sheetData>
  <mergeCells count="1">
    <mergeCell ref="G20:G21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95D4-3ABC-4DBB-8C16-6253CF52669E}">
  <dimension ref="A1:S34"/>
  <sheetViews>
    <sheetView workbookViewId="0">
      <selection activeCell="J22" sqref="J22"/>
    </sheetView>
  </sheetViews>
  <sheetFormatPr defaultRowHeight="14.4" x14ac:dyDescent="0.3"/>
  <cols>
    <col min="1" max="1" width="17.5546875" bestFit="1" customWidth="1"/>
    <col min="2" max="2" width="9.44140625" bestFit="1" customWidth="1"/>
    <col min="3" max="3" width="13.44140625" bestFit="1" customWidth="1"/>
    <col min="4" max="4" width="13.33203125" bestFit="1" customWidth="1"/>
    <col min="5" max="5" width="15.88671875" bestFit="1" customWidth="1"/>
    <col min="6" max="6" width="10.44140625" bestFit="1" customWidth="1"/>
    <col min="7" max="7" width="16.6640625" bestFit="1" customWidth="1"/>
    <col min="9" max="9" width="14" bestFit="1" customWidth="1"/>
    <col min="11" max="11" width="14" bestFit="1" customWidth="1"/>
    <col min="12" max="12" width="11.33203125" bestFit="1" customWidth="1"/>
    <col min="16" max="16" width="17.5546875" bestFit="1" customWidth="1"/>
    <col min="17" max="17" width="9.6640625" bestFit="1" customWidth="1"/>
    <col min="18" max="18" width="11.109375" bestFit="1" customWidth="1"/>
    <col min="19" max="19" width="13.33203125" bestFit="1" customWidth="1"/>
  </cols>
  <sheetData>
    <row r="1" spans="1:19" x14ac:dyDescent="0.3">
      <c r="A1" s="43" t="s">
        <v>6</v>
      </c>
      <c r="B1" s="186">
        <v>12000</v>
      </c>
      <c r="C1" s="191">
        <v>12000</v>
      </c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</row>
    <row r="2" spans="1:19" x14ac:dyDescent="0.3">
      <c r="A2" s="43" t="s">
        <v>0</v>
      </c>
      <c r="B2" s="186">
        <v>25000</v>
      </c>
      <c r="C2" s="191">
        <v>25000</v>
      </c>
      <c r="D2" s="186" t="s">
        <v>451</v>
      </c>
      <c r="E2" s="43"/>
      <c r="F2" s="73"/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19" x14ac:dyDescent="0.3">
      <c r="A3" s="43" t="s">
        <v>1</v>
      </c>
      <c r="B3" s="186">
        <v>5000</v>
      </c>
      <c r="C3" s="191">
        <v>5000</v>
      </c>
      <c r="D3" s="43"/>
      <c r="E3" s="43" t="s">
        <v>265</v>
      </c>
      <c r="F3" s="73">
        <v>36</v>
      </c>
      <c r="G3" s="73"/>
      <c r="H3" s="30"/>
      <c r="I3" s="110" t="s">
        <v>382</v>
      </c>
      <c r="J3" s="157">
        <v>10</v>
      </c>
      <c r="K3" s="157">
        <v>999</v>
      </c>
      <c r="L3" s="194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</row>
    <row r="4" spans="1:19" x14ac:dyDescent="0.3">
      <c r="A4" s="43" t="s">
        <v>2</v>
      </c>
      <c r="B4" s="186">
        <v>2000</v>
      </c>
      <c r="C4" s="191">
        <v>2000</v>
      </c>
      <c r="D4" s="43"/>
      <c r="E4" s="43" t="s">
        <v>204</v>
      </c>
      <c r="F4" s="73">
        <v>68000</v>
      </c>
      <c r="G4" s="73"/>
      <c r="I4" s="110" t="s">
        <v>379</v>
      </c>
      <c r="J4" s="284" t="s">
        <v>473</v>
      </c>
      <c r="K4" s="285"/>
      <c r="L4" s="286"/>
      <c r="M4" s="192">
        <v>44682</v>
      </c>
      <c r="N4" s="43"/>
      <c r="O4" s="43"/>
      <c r="P4" s="73"/>
      <c r="R4" s="43"/>
      <c r="S4" s="73"/>
    </row>
    <row r="5" spans="1:19" x14ac:dyDescent="0.3">
      <c r="A5" s="43" t="s">
        <v>89</v>
      </c>
      <c r="B5" s="186">
        <v>33953</v>
      </c>
      <c r="C5" s="191">
        <v>33953</v>
      </c>
      <c r="D5" s="43" t="s">
        <v>450</v>
      </c>
      <c r="E5" s="43" t="s">
        <v>205</v>
      </c>
      <c r="F5" s="73">
        <v>2000</v>
      </c>
      <c r="I5" s="110" t="s">
        <v>19</v>
      </c>
      <c r="J5" s="157">
        <v>22</v>
      </c>
      <c r="K5" s="157">
        <v>1321.63</v>
      </c>
      <c r="L5" s="194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</row>
    <row r="6" spans="1:19" x14ac:dyDescent="0.3">
      <c r="A6" s="43" t="s">
        <v>3</v>
      </c>
      <c r="B6" s="186">
        <v>1200</v>
      </c>
      <c r="C6" s="191">
        <v>1200</v>
      </c>
      <c r="D6" s="43"/>
      <c r="E6" s="43" t="s">
        <v>6</v>
      </c>
      <c r="F6" s="73">
        <f>SUM(F4:F5)</f>
        <v>70000</v>
      </c>
      <c r="I6" s="110" t="s">
        <v>362</v>
      </c>
      <c r="J6" s="157">
        <v>6</v>
      </c>
      <c r="K6" s="157">
        <v>1918.68</v>
      </c>
      <c r="L6" s="194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</row>
    <row r="7" spans="1:19" x14ac:dyDescent="0.3">
      <c r="A7" s="43" t="s">
        <v>9</v>
      </c>
      <c r="B7" s="186">
        <v>5647</v>
      </c>
      <c r="C7" s="191">
        <v>5647</v>
      </c>
      <c r="D7" s="43"/>
      <c r="E7" s="43" t="s">
        <v>312</v>
      </c>
      <c r="F7" s="44">
        <f>B24</f>
        <v>178140</v>
      </c>
      <c r="I7" s="110" t="s">
        <v>363</v>
      </c>
      <c r="J7" s="157">
        <v>5</v>
      </c>
      <c r="K7" s="157">
        <v>1049.19</v>
      </c>
      <c r="L7" s="194">
        <f t="shared" si="1"/>
        <v>5245.9500000000007</v>
      </c>
      <c r="M7" s="192">
        <v>45108</v>
      </c>
      <c r="N7" s="43"/>
      <c r="O7" s="43"/>
      <c r="P7" s="73"/>
      <c r="R7" s="43"/>
      <c r="S7" s="73"/>
    </row>
    <row r="8" spans="1:19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7">
        <v>11</v>
      </c>
      <c r="K8" s="157">
        <v>470.99</v>
      </c>
      <c r="L8" s="194">
        <f t="shared" si="1"/>
        <v>5180.8900000000003</v>
      </c>
      <c r="M8" s="192">
        <v>45108</v>
      </c>
      <c r="N8" s="43"/>
      <c r="O8" s="43"/>
      <c r="P8" s="108">
        <f>SUM(P3:P6)</f>
        <v>2240000</v>
      </c>
      <c r="R8" s="43"/>
      <c r="S8" s="73">
        <f>SUM(S3:S6)</f>
        <v>1290975</v>
      </c>
    </row>
    <row r="9" spans="1:19" x14ac:dyDescent="0.3">
      <c r="A9" s="43" t="s">
        <v>107</v>
      </c>
      <c r="B9" s="186">
        <v>619</v>
      </c>
      <c r="C9" s="191">
        <v>619</v>
      </c>
      <c r="D9" s="43"/>
      <c r="E9" s="43"/>
      <c r="F9" s="43"/>
      <c r="I9" s="110" t="s">
        <v>377</v>
      </c>
      <c r="J9" s="157">
        <v>4</v>
      </c>
      <c r="K9" s="157">
        <v>1376.72</v>
      </c>
      <c r="L9" s="194">
        <f t="shared" si="1"/>
        <v>5506.88</v>
      </c>
      <c r="N9" s="43"/>
      <c r="O9" s="43"/>
      <c r="P9" s="73"/>
      <c r="R9" s="43"/>
      <c r="S9" s="73"/>
    </row>
    <row r="10" spans="1:19" x14ac:dyDescent="0.3">
      <c r="A10" s="43" t="s">
        <v>174</v>
      </c>
      <c r="B10" s="186">
        <v>5000</v>
      </c>
      <c r="C10" s="191">
        <v>5000</v>
      </c>
      <c r="D10" s="43"/>
      <c r="E10" s="43" t="s">
        <v>442</v>
      </c>
      <c r="F10" s="73">
        <v>234.82</v>
      </c>
      <c r="I10" s="110" t="s">
        <v>387</v>
      </c>
      <c r="J10" s="157">
        <v>5</v>
      </c>
      <c r="K10" s="157">
        <v>936.51</v>
      </c>
      <c r="L10" s="194">
        <f t="shared" si="1"/>
        <v>4682.55</v>
      </c>
      <c r="M10" s="192">
        <v>45108</v>
      </c>
      <c r="N10" s="43"/>
      <c r="O10" s="43" t="s">
        <v>339</v>
      </c>
      <c r="P10" s="134">
        <v>500000</v>
      </c>
      <c r="S10" s="30"/>
    </row>
    <row r="11" spans="1:19" x14ac:dyDescent="0.3">
      <c r="A11" s="43" t="s">
        <v>414</v>
      </c>
      <c r="B11" s="186">
        <v>41452</v>
      </c>
      <c r="C11" s="191">
        <v>41452</v>
      </c>
      <c r="D11" s="43" t="s">
        <v>451</v>
      </c>
      <c r="E11" s="43" t="s">
        <v>441</v>
      </c>
      <c r="F11" s="73">
        <v>1419.04</v>
      </c>
      <c r="I11" s="110" t="s">
        <v>380</v>
      </c>
      <c r="J11" s="157">
        <v>5</v>
      </c>
      <c r="K11" s="157">
        <v>959.34</v>
      </c>
      <c r="L11" s="194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</row>
    <row r="12" spans="1:19" x14ac:dyDescent="0.3">
      <c r="A12" s="178" t="s">
        <v>498</v>
      </c>
      <c r="B12" s="186">
        <f>SUM(P32:P34)</f>
        <v>11750</v>
      </c>
      <c r="D12" s="85"/>
      <c r="E12" s="43" t="s">
        <v>443</v>
      </c>
      <c r="F12" s="73">
        <v>3500</v>
      </c>
      <c r="I12" s="110" t="s">
        <v>385</v>
      </c>
      <c r="J12" s="157">
        <v>50</v>
      </c>
      <c r="K12" s="157">
        <v>43.35</v>
      </c>
      <c r="L12" s="194">
        <f t="shared" si="1"/>
        <v>2167.5</v>
      </c>
      <c r="N12" s="43"/>
      <c r="O12" s="43" t="s">
        <v>6</v>
      </c>
      <c r="P12" s="134">
        <v>50000</v>
      </c>
    </row>
    <row r="13" spans="1:19" x14ac:dyDescent="0.3">
      <c r="A13" s="43" t="s">
        <v>285</v>
      </c>
      <c r="B13" s="186">
        <v>4100</v>
      </c>
      <c r="C13" s="191">
        <v>4100</v>
      </c>
      <c r="D13" s="43"/>
      <c r="E13" s="43" t="s">
        <v>455</v>
      </c>
      <c r="F13" s="73">
        <v>8000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</row>
    <row r="14" spans="1:19" ht="15" thickBot="1" x14ac:dyDescent="0.35">
      <c r="A14" s="87" t="s">
        <v>508</v>
      </c>
      <c r="B14" s="186">
        <v>5000</v>
      </c>
      <c r="C14" s="191">
        <v>5000</v>
      </c>
      <c r="D14" s="205"/>
      <c r="E14" s="43" t="s">
        <v>456</v>
      </c>
      <c r="F14" s="73">
        <v>1000</v>
      </c>
      <c r="I14" s="169" t="s">
        <v>447</v>
      </c>
      <c r="J14" s="173">
        <v>4</v>
      </c>
      <c r="K14" s="173">
        <v>507.02</v>
      </c>
      <c r="L14" s="195">
        <f t="shared" si="1"/>
        <v>2028.08</v>
      </c>
      <c r="N14" s="43"/>
      <c r="O14" s="43" t="s">
        <v>408</v>
      </c>
      <c r="P14" s="134">
        <v>10000</v>
      </c>
    </row>
    <row r="15" spans="1:19" x14ac:dyDescent="0.3">
      <c r="A15" s="43" t="s">
        <v>509</v>
      </c>
      <c r="B15" s="186">
        <v>12000</v>
      </c>
      <c r="C15" s="191">
        <v>12000</v>
      </c>
      <c r="D15" s="43"/>
      <c r="E15" s="43" t="s">
        <v>457</v>
      </c>
      <c r="F15" s="73">
        <v>5074</v>
      </c>
      <c r="L15" s="193">
        <f>SUM(L4:L14)</f>
        <v>72210.990000000005</v>
      </c>
      <c r="N15" s="43"/>
      <c r="O15" s="43"/>
      <c r="P15" s="134">
        <f>SUM(P10:P14)</f>
        <v>815000</v>
      </c>
    </row>
    <row r="16" spans="1:19" x14ac:dyDescent="0.3">
      <c r="A16" s="178" t="s">
        <v>510</v>
      </c>
      <c r="B16" s="186">
        <v>2000</v>
      </c>
      <c r="C16" s="191">
        <v>2000</v>
      </c>
      <c r="D16" s="43"/>
      <c r="E16" s="43" t="s">
        <v>458</v>
      </c>
      <c r="F16" s="73">
        <v>113280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</row>
    <row r="17" spans="1:19" x14ac:dyDescent="0.3">
      <c r="A17" s="73"/>
      <c r="B17" s="73"/>
      <c r="C17" s="73"/>
      <c r="D17" s="202"/>
      <c r="E17" s="43" t="s">
        <v>459</v>
      </c>
      <c r="F17" s="73">
        <v>750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19" ht="15" thickBot="1" x14ac:dyDescent="0.35">
      <c r="A18" s="73"/>
      <c r="B18" s="73"/>
      <c r="C18" s="73"/>
      <c r="D18" s="202"/>
      <c r="E18" s="43" t="s">
        <v>463</v>
      </c>
      <c r="F18" s="73">
        <v>1000</v>
      </c>
      <c r="G18" s="167" t="s">
        <v>109</v>
      </c>
      <c r="H18" s="116">
        <v>18195</v>
      </c>
      <c r="I18" s="113">
        <v>44958</v>
      </c>
      <c r="N18" s="43"/>
      <c r="O18" s="43"/>
      <c r="R18" t="s">
        <v>412</v>
      </c>
      <c r="S18" s="73">
        <v>93000</v>
      </c>
    </row>
    <row r="19" spans="1:19" ht="15" thickBot="1" x14ac:dyDescent="0.35">
      <c r="A19" s="123" t="s">
        <v>81</v>
      </c>
      <c r="B19" s="123">
        <v>50000</v>
      </c>
      <c r="C19" s="186"/>
      <c r="D19" s="72"/>
      <c r="E19" s="43" t="s">
        <v>464</v>
      </c>
      <c r="F19" s="73">
        <v>700</v>
      </c>
      <c r="G19" s="181" t="s">
        <v>268</v>
      </c>
      <c r="H19" s="112">
        <v>10526</v>
      </c>
      <c r="I19" s="113">
        <v>44958</v>
      </c>
      <c r="N19" s="43"/>
      <c r="O19" s="104" t="s">
        <v>410</v>
      </c>
      <c r="P19" s="177">
        <f>(P17-P16)</f>
        <v>-151000</v>
      </c>
      <c r="S19" s="73">
        <f>SUM(S17:S18)</f>
        <v>147000</v>
      </c>
    </row>
    <row r="20" spans="1:19" x14ac:dyDescent="0.3">
      <c r="A20" s="123" t="s">
        <v>123</v>
      </c>
      <c r="B20" s="123">
        <v>33000</v>
      </c>
      <c r="C20" s="186">
        <v>7500</v>
      </c>
      <c r="D20" s="43" t="s">
        <v>507</v>
      </c>
      <c r="E20" s="43" t="s">
        <v>465</v>
      </c>
      <c r="F20" s="73">
        <v>2000</v>
      </c>
      <c r="G20" s="80" t="s">
        <v>298</v>
      </c>
      <c r="H20" s="80">
        <v>5000</v>
      </c>
      <c r="I20" s="113">
        <v>44896</v>
      </c>
      <c r="N20" s="43"/>
      <c r="O20" s="43"/>
      <c r="P20" s="89"/>
      <c r="R20" t="s">
        <v>411</v>
      </c>
      <c r="S20" s="73">
        <v>90000</v>
      </c>
    </row>
    <row r="21" spans="1:19" x14ac:dyDescent="0.3">
      <c r="A21" s="123" t="s">
        <v>475</v>
      </c>
      <c r="B21" s="123">
        <v>25000</v>
      </c>
      <c r="C21" s="73">
        <v>15000</v>
      </c>
      <c r="D21" s="43" t="s">
        <v>511</v>
      </c>
      <c r="E21" s="43" t="s">
        <v>462</v>
      </c>
      <c r="F21" s="73">
        <v>5000</v>
      </c>
      <c r="G21" s="80" t="s">
        <v>256</v>
      </c>
      <c r="H21" s="80">
        <v>7600</v>
      </c>
      <c r="I21" s="113">
        <v>44932</v>
      </c>
      <c r="K21" s="43" t="s">
        <v>479</v>
      </c>
      <c r="L21" s="43" t="s">
        <v>480</v>
      </c>
      <c r="S21" s="73">
        <f>(S19-S20)</f>
        <v>57000</v>
      </c>
    </row>
    <row r="22" spans="1:19" x14ac:dyDescent="0.3">
      <c r="A22" s="116" t="s">
        <v>203</v>
      </c>
      <c r="B22" s="190">
        <v>13000</v>
      </c>
      <c r="C22" s="186"/>
      <c r="D22" s="145"/>
      <c r="E22" s="43" t="s">
        <v>467</v>
      </c>
      <c r="F22" s="73">
        <v>6700</v>
      </c>
      <c r="G22" s="115" t="s">
        <v>431</v>
      </c>
      <c r="H22" s="116">
        <v>20481</v>
      </c>
      <c r="I22" s="113">
        <v>44905</v>
      </c>
      <c r="K22" s="43"/>
      <c r="L22" s="43" t="s">
        <v>481</v>
      </c>
      <c r="R22" s="65"/>
      <c r="S22" s="73"/>
    </row>
    <row r="23" spans="1:19" x14ac:dyDescent="0.3">
      <c r="A23" s="115" t="s">
        <v>381</v>
      </c>
      <c r="B23" s="190">
        <v>60000</v>
      </c>
      <c r="C23" s="186"/>
      <c r="D23" s="43"/>
      <c r="E23" s="43" t="s">
        <v>468</v>
      </c>
      <c r="F23" s="73">
        <f>'September 23'!AO30</f>
        <v>0</v>
      </c>
      <c r="G23" s="115"/>
      <c r="H23" s="116"/>
      <c r="I23" s="113"/>
      <c r="K23" s="43"/>
      <c r="L23" s="43" t="s">
        <v>482</v>
      </c>
      <c r="R23" t="s">
        <v>142</v>
      </c>
      <c r="S23" s="73">
        <v>200000</v>
      </c>
    </row>
    <row r="24" spans="1:19" x14ac:dyDescent="0.3">
      <c r="A24" s="64" t="s">
        <v>5</v>
      </c>
      <c r="B24" s="186">
        <f>SUM(B1:B16)</f>
        <v>178140</v>
      </c>
      <c r="C24" s="186">
        <f>SUM(C1:C17)</f>
        <v>166390</v>
      </c>
      <c r="D24" s="72"/>
      <c r="E24" s="43" t="s">
        <v>469</v>
      </c>
      <c r="F24" s="73">
        <v>51800</v>
      </c>
      <c r="G24" s="124"/>
      <c r="H24" s="118"/>
      <c r="I24" s="113"/>
      <c r="K24" s="43"/>
      <c r="L24" s="43" t="s">
        <v>483</v>
      </c>
      <c r="R24" t="s">
        <v>206</v>
      </c>
      <c r="S24" s="73">
        <f>(S21+S23)</f>
        <v>257000</v>
      </c>
    </row>
    <row r="25" spans="1:19" x14ac:dyDescent="0.3">
      <c r="A25" s="43"/>
      <c r="B25" s="43"/>
      <c r="C25" s="43"/>
      <c r="D25" s="72"/>
      <c r="E25" s="178" t="s">
        <v>470</v>
      </c>
      <c r="F25" s="179">
        <v>22000</v>
      </c>
      <c r="G25" s="43"/>
      <c r="H25" s="106"/>
      <c r="I25" s="114"/>
      <c r="K25" s="199"/>
      <c r="L25" s="43">
        <v>1270</v>
      </c>
      <c r="O25">
        <v>176000</v>
      </c>
      <c r="S25" s="73"/>
    </row>
    <row r="26" spans="1:19" x14ac:dyDescent="0.3">
      <c r="A26" s="64" t="s">
        <v>228</v>
      </c>
      <c r="B26" s="43"/>
      <c r="C26" s="62">
        <f>(C24-B24)</f>
        <v>-11750</v>
      </c>
      <c r="D26" s="43" t="s">
        <v>227</v>
      </c>
      <c r="E26" s="43" t="s">
        <v>471</v>
      </c>
      <c r="F26" s="73">
        <v>11500</v>
      </c>
      <c r="K26" s="73" t="s">
        <v>485</v>
      </c>
      <c r="L26" s="43" t="s">
        <v>484</v>
      </c>
      <c r="O26">
        <v>152000</v>
      </c>
      <c r="R26" t="s">
        <v>413</v>
      </c>
      <c r="S26" s="73">
        <v>260000</v>
      </c>
    </row>
    <row r="27" spans="1:19" x14ac:dyDescent="0.3">
      <c r="A27" s="64"/>
      <c r="B27" s="43"/>
      <c r="C27" s="43"/>
      <c r="D27" s="43"/>
      <c r="E27" s="43" t="s">
        <v>472</v>
      </c>
      <c r="F27" s="73">
        <v>26000</v>
      </c>
      <c r="H27">
        <f>55000-110000</f>
        <v>-55000</v>
      </c>
      <c r="K27" s="43" t="s">
        <v>486</v>
      </c>
      <c r="L27" s="43">
        <v>1250</v>
      </c>
      <c r="O27">
        <f>O25-O26</f>
        <v>24000</v>
      </c>
      <c r="S27" s="30">
        <f>(S26-S24)</f>
        <v>3000</v>
      </c>
    </row>
    <row r="28" spans="1:19" x14ac:dyDescent="0.3">
      <c r="A28" s="64" t="s">
        <v>225</v>
      </c>
      <c r="B28" s="43"/>
      <c r="C28" s="62">
        <f>(F6+C26)</f>
        <v>58250</v>
      </c>
      <c r="D28" s="43"/>
      <c r="E28" s="43" t="s">
        <v>476</v>
      </c>
      <c r="F28" s="186">
        <v>41600</v>
      </c>
      <c r="K28" s="43" t="s">
        <v>487</v>
      </c>
      <c r="L28" s="43">
        <v>91</v>
      </c>
    </row>
    <row r="29" spans="1:19" x14ac:dyDescent="0.3">
      <c r="F29" s="73">
        <f>SUM(F10:F28)</f>
        <v>301557.86</v>
      </c>
      <c r="K29" s="43"/>
      <c r="L29" s="43">
        <f>L27*L28</f>
        <v>113750</v>
      </c>
    </row>
    <row r="30" spans="1:19" x14ac:dyDescent="0.3">
      <c r="K30" s="43" t="s">
        <v>488</v>
      </c>
      <c r="L30" s="73">
        <v>99130</v>
      </c>
    </row>
    <row r="31" spans="1:19" x14ac:dyDescent="0.3">
      <c r="K31" s="43"/>
      <c r="L31" s="106">
        <f>L29+L30</f>
        <v>212880</v>
      </c>
      <c r="O31">
        <f>5000/40</f>
        <v>125</v>
      </c>
    </row>
    <row r="32" spans="1:19" x14ac:dyDescent="0.3">
      <c r="K32" s="178" t="s">
        <v>490</v>
      </c>
      <c r="L32" s="91">
        <v>-109464</v>
      </c>
      <c r="O32">
        <v>23</v>
      </c>
      <c r="P32">
        <f>O31*O32</f>
        <v>2875</v>
      </c>
    </row>
    <row r="33" spans="11:16" x14ac:dyDescent="0.3">
      <c r="K33" s="43" t="s">
        <v>488</v>
      </c>
      <c r="L33" s="200">
        <v>-25000</v>
      </c>
      <c r="P33">
        <v>2875</v>
      </c>
    </row>
    <row r="34" spans="11:16" x14ac:dyDescent="0.3">
      <c r="K34" s="43" t="s">
        <v>143</v>
      </c>
      <c r="L34" s="73">
        <f>L31+L32+L33</f>
        <v>78416</v>
      </c>
      <c r="P34">
        <v>6000</v>
      </c>
    </row>
  </sheetData>
  <mergeCells count="3">
    <mergeCell ref="E1:F1"/>
    <mergeCell ref="I1:L1"/>
    <mergeCell ref="J4:L4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6401-AE78-4ACB-A0BC-D4E81CF802AA}">
  <dimension ref="A1:W44"/>
  <sheetViews>
    <sheetView workbookViewId="0">
      <selection sqref="A1:S34"/>
    </sheetView>
  </sheetViews>
  <sheetFormatPr defaultRowHeight="14.4" x14ac:dyDescent="0.3"/>
  <cols>
    <col min="1" max="1" width="17.5546875" bestFit="1" customWidth="1"/>
    <col min="2" max="2" width="9.44140625" bestFit="1" customWidth="1"/>
    <col min="3" max="3" width="13.44140625" bestFit="1" customWidth="1"/>
    <col min="4" max="4" width="13.33203125" bestFit="1" customWidth="1"/>
    <col min="5" max="5" width="15.88671875" bestFit="1" customWidth="1"/>
    <col min="6" max="6" width="10.44140625" bestFit="1" customWidth="1"/>
    <col min="7" max="7" width="16.6640625" bestFit="1" customWidth="1"/>
    <col min="9" max="9" width="14" bestFit="1" customWidth="1"/>
    <col min="11" max="11" width="14" bestFit="1" customWidth="1"/>
    <col min="12" max="12" width="11.33203125" bestFit="1" customWidth="1"/>
    <col min="16" max="16" width="17.5546875" bestFit="1" customWidth="1"/>
    <col min="17" max="17" width="9.6640625" bestFit="1" customWidth="1"/>
    <col min="18" max="18" width="11.109375" bestFit="1" customWidth="1"/>
    <col min="19" max="19" width="13.33203125" bestFit="1" customWidth="1"/>
    <col min="20" max="20" width="42.88671875" bestFit="1" customWidth="1"/>
    <col min="21" max="21" width="9.88671875" bestFit="1" customWidth="1"/>
  </cols>
  <sheetData>
    <row r="1" spans="1:19" x14ac:dyDescent="0.3">
      <c r="A1" s="43" t="s">
        <v>6</v>
      </c>
      <c r="B1" s="186">
        <v>18000</v>
      </c>
      <c r="C1" s="191">
        <v>18000</v>
      </c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</row>
    <row r="2" spans="1:19" x14ac:dyDescent="0.3">
      <c r="A2" s="43" t="s">
        <v>0</v>
      </c>
      <c r="B2" s="186">
        <v>43000</v>
      </c>
      <c r="C2" s="191">
        <v>32000</v>
      </c>
      <c r="D2" s="186" t="s">
        <v>451</v>
      </c>
      <c r="E2" s="43"/>
      <c r="F2" s="73"/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19" x14ac:dyDescent="0.3">
      <c r="A3" s="43" t="s">
        <v>1</v>
      </c>
      <c r="B3" s="186">
        <v>5000</v>
      </c>
      <c r="C3" s="191">
        <v>5000</v>
      </c>
      <c r="D3" s="43"/>
      <c r="E3" s="43" t="s">
        <v>265</v>
      </c>
      <c r="F3" s="73">
        <v>513</v>
      </c>
      <c r="G3" s="73"/>
      <c r="H3" s="30"/>
      <c r="I3" s="110" t="s">
        <v>382</v>
      </c>
      <c r="J3" s="159">
        <v>10</v>
      </c>
      <c r="K3" s="159">
        <v>999</v>
      </c>
      <c r="L3" s="211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</row>
    <row r="4" spans="1:19" x14ac:dyDescent="0.3">
      <c r="A4" s="43" t="s">
        <v>2</v>
      </c>
      <c r="B4" s="186">
        <v>2000</v>
      </c>
      <c r="C4" s="191">
        <v>2000</v>
      </c>
      <c r="D4" s="43"/>
      <c r="E4" s="43" t="s">
        <v>204</v>
      </c>
      <c r="F4" s="73">
        <v>11000</v>
      </c>
      <c r="G4" s="73"/>
      <c r="I4" s="110" t="s">
        <v>379</v>
      </c>
      <c r="J4" s="290" t="s">
        <v>473</v>
      </c>
      <c r="K4" s="291"/>
      <c r="L4" s="292"/>
      <c r="M4" s="192">
        <v>44682</v>
      </c>
      <c r="N4" s="43"/>
      <c r="O4" s="43"/>
      <c r="P4" s="73"/>
      <c r="R4" s="43"/>
      <c r="S4" s="73"/>
    </row>
    <row r="5" spans="1:19" x14ac:dyDescent="0.3">
      <c r="A5" s="43" t="s">
        <v>89</v>
      </c>
      <c r="B5" s="186">
        <v>33953</v>
      </c>
      <c r="C5" s="191">
        <v>33953</v>
      </c>
      <c r="D5" s="43" t="s">
        <v>450</v>
      </c>
      <c r="E5" s="43" t="s">
        <v>205</v>
      </c>
      <c r="F5" s="73">
        <v>36</v>
      </c>
      <c r="I5" s="110" t="s">
        <v>19</v>
      </c>
      <c r="J5" s="159">
        <v>22</v>
      </c>
      <c r="K5" s="159">
        <v>1321.63</v>
      </c>
      <c r="L5" s="211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</row>
    <row r="6" spans="1:19" x14ac:dyDescent="0.3">
      <c r="A6" s="43" t="s">
        <v>3</v>
      </c>
      <c r="B6" s="186">
        <v>1200</v>
      </c>
      <c r="C6" s="191">
        <v>1200</v>
      </c>
      <c r="D6" s="43"/>
      <c r="E6" s="43" t="s">
        <v>6</v>
      </c>
      <c r="F6" s="73">
        <f>SUM(F4:F5)</f>
        <v>11036</v>
      </c>
      <c r="I6" s="110" t="s">
        <v>362</v>
      </c>
      <c r="J6" s="159">
        <v>6</v>
      </c>
      <c r="K6" s="159">
        <v>1918.68</v>
      </c>
      <c r="L6" s="211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</row>
    <row r="7" spans="1:19" x14ac:dyDescent="0.3">
      <c r="A7" s="43" t="s">
        <v>9</v>
      </c>
      <c r="B7" s="186">
        <v>7100</v>
      </c>
      <c r="C7" s="191">
        <v>7100</v>
      </c>
      <c r="D7" s="43"/>
      <c r="E7" s="43" t="s">
        <v>345</v>
      </c>
      <c r="F7" s="44">
        <f>B24</f>
        <v>205594.42857142858</v>
      </c>
      <c r="I7" s="110" t="s">
        <v>363</v>
      </c>
      <c r="J7" s="159">
        <v>5</v>
      </c>
      <c r="K7" s="159">
        <v>1049.19</v>
      </c>
      <c r="L7" s="211">
        <f t="shared" si="1"/>
        <v>5245.9500000000007</v>
      </c>
      <c r="M7" s="192">
        <v>45108</v>
      </c>
      <c r="N7" s="43"/>
      <c r="O7" s="43"/>
      <c r="P7" s="73"/>
      <c r="R7" s="43"/>
      <c r="S7" s="73"/>
    </row>
    <row r="8" spans="1:19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9">
        <v>11</v>
      </c>
      <c r="K8" s="159">
        <v>470.99</v>
      </c>
      <c r="L8" s="211">
        <f t="shared" si="1"/>
        <v>5180.8900000000003</v>
      </c>
      <c r="M8" s="192">
        <v>45108</v>
      </c>
      <c r="N8" s="43"/>
      <c r="O8" s="43"/>
      <c r="P8" s="108">
        <f>SUM(P3:P6)</f>
        <v>2240000</v>
      </c>
      <c r="R8" s="43"/>
      <c r="S8" s="73">
        <f>SUM(S3:S6)</f>
        <v>1290975</v>
      </c>
    </row>
    <row r="9" spans="1:19" x14ac:dyDescent="0.3">
      <c r="A9" s="43" t="s">
        <v>107</v>
      </c>
      <c r="B9" s="186">
        <v>619</v>
      </c>
      <c r="C9" s="191">
        <v>619</v>
      </c>
      <c r="D9" s="43"/>
      <c r="E9" s="43"/>
      <c r="F9" s="43"/>
      <c r="I9" s="110" t="s">
        <v>377</v>
      </c>
      <c r="J9" s="159">
        <v>4</v>
      </c>
      <c r="K9" s="159">
        <v>1376.72</v>
      </c>
      <c r="L9" s="211">
        <f t="shared" si="1"/>
        <v>5506.88</v>
      </c>
      <c r="N9" s="43"/>
      <c r="O9" s="43"/>
      <c r="P9" s="73"/>
      <c r="R9" s="43"/>
      <c r="S9" s="73"/>
    </row>
    <row r="10" spans="1:19" x14ac:dyDescent="0.3">
      <c r="A10" s="43" t="s">
        <v>174</v>
      </c>
      <c r="B10" s="186">
        <v>5000</v>
      </c>
      <c r="C10" s="191">
        <v>5000</v>
      </c>
      <c r="D10" s="43"/>
      <c r="E10" s="43" t="s">
        <v>442</v>
      </c>
      <c r="F10" s="73">
        <v>234.82</v>
      </c>
      <c r="I10" s="110" t="s">
        <v>387</v>
      </c>
      <c r="J10" s="159">
        <v>5</v>
      </c>
      <c r="K10" s="159">
        <v>936.51</v>
      </c>
      <c r="L10" s="211">
        <f t="shared" si="1"/>
        <v>4682.55</v>
      </c>
      <c r="M10" s="192">
        <v>45108</v>
      </c>
      <c r="N10" s="43"/>
      <c r="O10" s="43" t="s">
        <v>339</v>
      </c>
      <c r="P10" s="134">
        <v>500000</v>
      </c>
      <c r="S10" s="30"/>
    </row>
    <row r="11" spans="1:19" x14ac:dyDescent="0.3">
      <c r="A11" s="43" t="s">
        <v>414</v>
      </c>
      <c r="B11" s="186">
        <v>41452</v>
      </c>
      <c r="C11" s="191">
        <v>41452</v>
      </c>
      <c r="D11" s="43" t="s">
        <v>451</v>
      </c>
      <c r="E11" s="43" t="s">
        <v>441</v>
      </c>
      <c r="F11" s="73">
        <v>1419.04</v>
      </c>
      <c r="I11" s="110" t="s">
        <v>380</v>
      </c>
      <c r="J11" s="159">
        <v>5</v>
      </c>
      <c r="K11" s="159">
        <v>959.34</v>
      </c>
      <c r="L11" s="211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</row>
    <row r="12" spans="1:19" x14ac:dyDescent="0.3">
      <c r="A12" s="178" t="s">
        <v>498</v>
      </c>
      <c r="B12" s="73">
        <f>U41</f>
        <v>12321.428571428572</v>
      </c>
      <c r="C12" s="220">
        <f>U41</f>
        <v>12321.428571428572</v>
      </c>
      <c r="D12" s="85"/>
      <c r="E12" s="43" t="s">
        <v>443</v>
      </c>
      <c r="F12" s="73">
        <v>3500</v>
      </c>
      <c r="I12" s="110" t="s">
        <v>385</v>
      </c>
      <c r="J12" s="159">
        <v>50</v>
      </c>
      <c r="K12" s="159">
        <v>43.35</v>
      </c>
      <c r="L12" s="211">
        <f t="shared" si="1"/>
        <v>2167.5</v>
      </c>
      <c r="N12" s="43"/>
      <c r="O12" s="43" t="s">
        <v>6</v>
      </c>
      <c r="P12" s="134">
        <v>50000</v>
      </c>
    </row>
    <row r="13" spans="1:19" x14ac:dyDescent="0.3">
      <c r="A13" s="43" t="s">
        <v>285</v>
      </c>
      <c r="B13" s="186">
        <v>4230</v>
      </c>
      <c r="C13" s="191">
        <v>4230</v>
      </c>
      <c r="D13" s="43"/>
      <c r="E13" s="43" t="s">
        <v>455</v>
      </c>
      <c r="F13" s="73">
        <v>8000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</row>
    <row r="14" spans="1:19" ht="15" thickBot="1" x14ac:dyDescent="0.35">
      <c r="A14" s="87" t="s">
        <v>518</v>
      </c>
      <c r="B14" s="186">
        <v>12000</v>
      </c>
      <c r="C14" s="191">
        <v>12000</v>
      </c>
      <c r="D14" s="205"/>
      <c r="E14" s="43" t="s">
        <v>456</v>
      </c>
      <c r="F14" s="73">
        <v>1000</v>
      </c>
      <c r="I14" s="169" t="s">
        <v>447</v>
      </c>
      <c r="J14" s="209">
        <v>4</v>
      </c>
      <c r="K14" s="209">
        <v>507.02</v>
      </c>
      <c r="L14" s="210">
        <f t="shared" si="1"/>
        <v>2028.08</v>
      </c>
      <c r="N14" s="43"/>
      <c r="O14" s="43" t="s">
        <v>408</v>
      </c>
      <c r="P14" s="134">
        <v>10000</v>
      </c>
    </row>
    <row r="15" spans="1:19" x14ac:dyDescent="0.3">
      <c r="A15" s="43" t="s">
        <v>520</v>
      </c>
      <c r="B15" s="186">
        <v>3800</v>
      </c>
      <c r="C15" s="191">
        <v>3800</v>
      </c>
      <c r="D15" s="43"/>
      <c r="E15" s="43" t="s">
        <v>457</v>
      </c>
      <c r="F15" s="73">
        <v>5074</v>
      </c>
      <c r="L15" s="193">
        <f>SUM(L4:L14)</f>
        <v>72210.990000000005</v>
      </c>
      <c r="N15" s="43"/>
      <c r="O15" s="43"/>
      <c r="P15" s="134">
        <f>SUM(P10:P14)</f>
        <v>815000</v>
      </c>
    </row>
    <row r="16" spans="1:19" x14ac:dyDescent="0.3">
      <c r="A16" s="43" t="s">
        <v>519</v>
      </c>
      <c r="B16" s="186">
        <v>4500</v>
      </c>
      <c r="C16" s="191">
        <v>4500</v>
      </c>
      <c r="D16" s="186">
        <f>SUM(C14:C16)</f>
        <v>20300</v>
      </c>
      <c r="E16" s="43" t="s">
        <v>458</v>
      </c>
      <c r="F16" s="73">
        <v>113280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</row>
    <row r="17" spans="1:19" x14ac:dyDescent="0.3">
      <c r="A17" s="73"/>
      <c r="B17" s="73"/>
      <c r="C17" s="73"/>
      <c r="D17" s="202"/>
      <c r="E17" s="43" t="s">
        <v>459</v>
      </c>
      <c r="F17" s="73">
        <v>750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19" ht="15" thickBot="1" x14ac:dyDescent="0.35">
      <c r="A18" s="73"/>
      <c r="B18" s="73"/>
      <c r="C18" s="73"/>
      <c r="D18" s="202"/>
      <c r="E18" s="43" t="s">
        <v>463</v>
      </c>
      <c r="F18" s="73">
        <v>1000</v>
      </c>
      <c r="G18" s="167" t="s">
        <v>109</v>
      </c>
      <c r="H18" s="116">
        <v>18195</v>
      </c>
      <c r="I18" s="113" t="s">
        <v>522</v>
      </c>
      <c r="N18" s="43"/>
      <c r="O18" s="43"/>
      <c r="R18" t="s">
        <v>412</v>
      </c>
      <c r="S18" s="73">
        <v>93000</v>
      </c>
    </row>
    <row r="19" spans="1:19" ht="15" thickBot="1" x14ac:dyDescent="0.35">
      <c r="A19" s="123" t="s">
        <v>81</v>
      </c>
      <c r="B19" s="123">
        <v>50000</v>
      </c>
      <c r="C19" s="186"/>
      <c r="D19" s="72"/>
      <c r="E19" s="43" t="s">
        <v>464</v>
      </c>
      <c r="F19" s="73">
        <v>700</v>
      </c>
      <c r="G19" s="181" t="s">
        <v>268</v>
      </c>
      <c r="H19" s="112">
        <v>10526</v>
      </c>
      <c r="I19" s="113" t="s">
        <v>522</v>
      </c>
      <c r="N19" s="43"/>
      <c r="O19" s="104" t="s">
        <v>410</v>
      </c>
      <c r="P19" s="177">
        <f>(P17-P16)</f>
        <v>-151000</v>
      </c>
      <c r="S19" s="73">
        <f>SUM(S17:S18)</f>
        <v>147000</v>
      </c>
    </row>
    <row r="20" spans="1:19" x14ac:dyDescent="0.3">
      <c r="A20" s="123" t="s">
        <v>123</v>
      </c>
      <c r="B20" s="123">
        <v>33000</v>
      </c>
      <c r="C20" s="186">
        <v>7500</v>
      </c>
      <c r="D20" s="43" t="s">
        <v>491</v>
      </c>
      <c r="E20" s="43" t="s">
        <v>465</v>
      </c>
      <c r="F20" s="73">
        <v>2000</v>
      </c>
      <c r="G20" s="80" t="s">
        <v>298</v>
      </c>
      <c r="H20" s="80">
        <v>5000</v>
      </c>
      <c r="I20" s="113">
        <v>44896</v>
      </c>
      <c r="N20" s="43"/>
      <c r="O20" s="43"/>
      <c r="P20" s="89"/>
      <c r="R20" t="s">
        <v>411</v>
      </c>
      <c r="S20" s="73">
        <v>90000</v>
      </c>
    </row>
    <row r="21" spans="1:19" x14ac:dyDescent="0.3">
      <c r="A21" s="123" t="s">
        <v>475</v>
      </c>
      <c r="B21" s="123">
        <v>10000</v>
      </c>
      <c r="C21" s="73"/>
      <c r="D21" s="43" t="s">
        <v>511</v>
      </c>
      <c r="E21" s="43" t="s">
        <v>462</v>
      </c>
      <c r="F21" s="73">
        <v>5000</v>
      </c>
      <c r="G21" s="80" t="s">
        <v>256</v>
      </c>
      <c r="H21" s="80">
        <v>7600</v>
      </c>
      <c r="I21" s="113" t="s">
        <v>523</v>
      </c>
      <c r="K21" s="43" t="s">
        <v>479</v>
      </c>
      <c r="L21" s="43" t="s">
        <v>480</v>
      </c>
      <c r="S21" s="73">
        <f>(S19-S20)</f>
        <v>57000</v>
      </c>
    </row>
    <row r="22" spans="1:19" x14ac:dyDescent="0.3">
      <c r="A22" s="116" t="s">
        <v>203</v>
      </c>
      <c r="B22" s="190">
        <v>13000</v>
      </c>
      <c r="C22" s="186"/>
      <c r="D22" s="145"/>
      <c r="E22" s="43" t="s">
        <v>467</v>
      </c>
      <c r="F22" s="73">
        <v>6700</v>
      </c>
      <c r="G22" s="115" t="s">
        <v>431</v>
      </c>
      <c r="H22" s="116">
        <v>20481</v>
      </c>
      <c r="I22" s="113" t="s">
        <v>521</v>
      </c>
      <c r="K22" s="43"/>
      <c r="L22" s="43" t="s">
        <v>481</v>
      </c>
      <c r="R22" s="65"/>
      <c r="S22" s="73"/>
    </row>
    <row r="23" spans="1:19" x14ac:dyDescent="0.3">
      <c r="A23" s="115" t="s">
        <v>381</v>
      </c>
      <c r="B23" s="190">
        <v>60000</v>
      </c>
      <c r="C23" s="186"/>
      <c r="D23" s="43"/>
      <c r="E23" s="43" t="s">
        <v>468</v>
      </c>
      <c r="F23" s="73">
        <f>'September 23'!AO30</f>
        <v>0</v>
      </c>
      <c r="G23" s="115"/>
      <c r="H23" s="116"/>
      <c r="I23" s="113"/>
      <c r="K23" s="43"/>
      <c r="L23" s="43" t="s">
        <v>482</v>
      </c>
      <c r="R23" t="s">
        <v>142</v>
      </c>
      <c r="S23" s="73">
        <v>200000</v>
      </c>
    </row>
    <row r="24" spans="1:19" x14ac:dyDescent="0.3">
      <c r="A24" s="64" t="s">
        <v>5</v>
      </c>
      <c r="B24" s="186">
        <f>SUM(B1:B16)</f>
        <v>205594.42857142858</v>
      </c>
      <c r="C24" s="186">
        <f>SUM(C1:C17)</f>
        <v>194594.42857142858</v>
      </c>
      <c r="D24" s="72"/>
      <c r="E24" s="43" t="s">
        <v>469</v>
      </c>
      <c r="F24" s="73">
        <v>51800</v>
      </c>
      <c r="G24" s="124"/>
      <c r="H24" s="118"/>
      <c r="I24" s="113"/>
      <c r="K24" s="43"/>
      <c r="L24" s="43" t="s">
        <v>483</v>
      </c>
      <c r="R24" t="s">
        <v>206</v>
      </c>
      <c r="S24" s="73">
        <f>(S21+S23)</f>
        <v>257000</v>
      </c>
    </row>
    <row r="25" spans="1:19" x14ac:dyDescent="0.3">
      <c r="A25" s="43"/>
      <c r="B25" s="43"/>
      <c r="C25" s="43"/>
      <c r="D25" s="72"/>
      <c r="E25" s="178" t="s">
        <v>470</v>
      </c>
      <c r="F25" s="179">
        <v>22000</v>
      </c>
      <c r="G25" s="43"/>
      <c r="H25" s="106"/>
      <c r="I25" s="114"/>
      <c r="K25" s="199"/>
      <c r="L25" s="43">
        <v>1270</v>
      </c>
      <c r="O25">
        <v>176000</v>
      </c>
      <c r="S25" s="73"/>
    </row>
    <row r="26" spans="1:19" x14ac:dyDescent="0.3">
      <c r="A26" s="64" t="s">
        <v>228</v>
      </c>
      <c r="B26" s="43"/>
      <c r="C26" s="62">
        <f>(C24-B24)</f>
        <v>-11000</v>
      </c>
      <c r="D26" s="43" t="s">
        <v>227</v>
      </c>
      <c r="E26" s="43" t="s">
        <v>471</v>
      </c>
      <c r="F26" s="73">
        <v>11500</v>
      </c>
      <c r="K26" s="73" t="s">
        <v>485</v>
      </c>
      <c r="L26" s="43" t="s">
        <v>484</v>
      </c>
      <c r="O26">
        <v>152000</v>
      </c>
      <c r="R26" t="s">
        <v>413</v>
      </c>
      <c r="S26" s="73">
        <v>260000</v>
      </c>
    </row>
    <row r="27" spans="1:19" x14ac:dyDescent="0.3">
      <c r="A27" s="64"/>
      <c r="B27" s="43"/>
      <c r="C27" s="43"/>
      <c r="D27" s="43"/>
      <c r="E27" s="43" t="s">
        <v>472</v>
      </c>
      <c r="F27" s="73">
        <v>26000</v>
      </c>
      <c r="H27">
        <f>55000-110000</f>
        <v>-55000</v>
      </c>
      <c r="K27" s="43" t="s">
        <v>486</v>
      </c>
      <c r="L27" s="43">
        <v>1250</v>
      </c>
      <c r="O27">
        <f>O25-O26</f>
        <v>24000</v>
      </c>
      <c r="S27" s="30">
        <f>(S26-S24)</f>
        <v>3000</v>
      </c>
    </row>
    <row r="28" spans="1:19" x14ac:dyDescent="0.3">
      <c r="A28" s="64" t="s">
        <v>225</v>
      </c>
      <c r="B28" s="43"/>
      <c r="C28" s="62">
        <f>(F6+C26)</f>
        <v>36</v>
      </c>
      <c r="D28" s="43"/>
      <c r="E28" s="43" t="s">
        <v>476</v>
      </c>
      <c r="F28" s="186">
        <v>41600</v>
      </c>
      <c r="K28" s="43" t="s">
        <v>487</v>
      </c>
      <c r="L28" s="43">
        <v>91</v>
      </c>
    </row>
    <row r="29" spans="1:19" x14ac:dyDescent="0.3">
      <c r="F29" s="73">
        <f>SUM(F10:F28)</f>
        <v>301557.86</v>
      </c>
      <c r="K29" s="43"/>
      <c r="L29" s="43">
        <f>L27*L28</f>
        <v>113750</v>
      </c>
    </row>
    <row r="30" spans="1:19" x14ac:dyDescent="0.3">
      <c r="K30" s="43" t="s">
        <v>488</v>
      </c>
      <c r="L30" s="73">
        <v>99130</v>
      </c>
    </row>
    <row r="31" spans="1:19" x14ac:dyDescent="0.3">
      <c r="K31" s="43"/>
      <c r="L31" s="106">
        <f>L29+L30</f>
        <v>212880</v>
      </c>
      <c r="O31">
        <f>5000/40</f>
        <v>125</v>
      </c>
    </row>
    <row r="32" spans="1:19" x14ac:dyDescent="0.3">
      <c r="K32" s="178" t="s">
        <v>490</v>
      </c>
      <c r="L32" s="91">
        <v>-109464</v>
      </c>
      <c r="O32">
        <v>23</v>
      </c>
      <c r="P32">
        <f>O31*O32</f>
        <v>2875</v>
      </c>
    </row>
    <row r="33" spans="11:23" x14ac:dyDescent="0.3">
      <c r="K33" s="43" t="s">
        <v>488</v>
      </c>
      <c r="L33" s="200">
        <v>-25000</v>
      </c>
      <c r="P33">
        <v>2875</v>
      </c>
    </row>
    <row r="34" spans="11:23" ht="15" thickBot="1" x14ac:dyDescent="0.35">
      <c r="K34" s="43" t="s">
        <v>143</v>
      </c>
      <c r="L34" s="73">
        <f>L31+L32+L33</f>
        <v>78416</v>
      </c>
      <c r="P34">
        <v>6000</v>
      </c>
    </row>
    <row r="35" spans="11:23" x14ac:dyDescent="0.3">
      <c r="T35" s="83"/>
      <c r="U35" s="215"/>
      <c r="V35" s="215"/>
      <c r="W35" s="216" t="s">
        <v>517</v>
      </c>
    </row>
    <row r="36" spans="11:23" x14ac:dyDescent="0.3">
      <c r="T36" s="110" t="s">
        <v>512</v>
      </c>
      <c r="U36" s="64"/>
      <c r="V36" s="214">
        <v>7650</v>
      </c>
      <c r="W36" s="217">
        <v>125</v>
      </c>
    </row>
    <row r="37" spans="11:23" x14ac:dyDescent="0.3">
      <c r="T37" s="218" t="s">
        <v>514</v>
      </c>
      <c r="U37" s="213">
        <f>23*W36</f>
        <v>2875</v>
      </c>
      <c r="V37" s="43"/>
      <c r="W37" s="119"/>
    </row>
    <row r="38" spans="11:23" x14ac:dyDescent="0.3">
      <c r="T38" s="218" t="s">
        <v>515</v>
      </c>
      <c r="U38" s="213">
        <v>2875</v>
      </c>
      <c r="V38" s="43"/>
      <c r="W38" s="119"/>
    </row>
    <row r="39" spans="11:23" x14ac:dyDescent="0.3">
      <c r="T39" s="110" t="s">
        <v>516</v>
      </c>
      <c r="U39" s="64"/>
      <c r="V39" s="214">
        <v>18000</v>
      </c>
      <c r="W39" s="217">
        <f>V39/63</f>
        <v>285.71428571428572</v>
      </c>
    </row>
    <row r="40" spans="11:23" x14ac:dyDescent="0.3">
      <c r="T40" s="84" t="s">
        <v>513</v>
      </c>
      <c r="U40" s="213">
        <f>23*W39</f>
        <v>6571.4285714285716</v>
      </c>
      <c r="V40" s="43"/>
      <c r="W40" s="119"/>
    </row>
    <row r="41" spans="11:23" ht="15" thickBot="1" x14ac:dyDescent="0.35">
      <c r="T41" s="99"/>
      <c r="U41" s="219">
        <f>U37+U38+U40</f>
        <v>12321.428571428572</v>
      </c>
      <c r="V41" s="170"/>
      <c r="W41" s="160"/>
    </row>
    <row r="44" spans="11:23" x14ac:dyDescent="0.3">
      <c r="U44" s="212"/>
    </row>
  </sheetData>
  <mergeCells count="3">
    <mergeCell ref="E1:F1"/>
    <mergeCell ref="I1:L1"/>
    <mergeCell ref="J4:L4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D9CC7-685D-4582-A97E-04B214313D03}">
  <dimension ref="A1:AI48"/>
  <sheetViews>
    <sheetView workbookViewId="0">
      <selection activeCell="D16" sqref="D16"/>
    </sheetView>
  </sheetViews>
  <sheetFormatPr defaultRowHeight="14.4" x14ac:dyDescent="0.3"/>
  <cols>
    <col min="1" max="1" width="20.33203125" bestFit="1" customWidth="1"/>
    <col min="2" max="2" width="9.44140625" bestFit="1" customWidth="1"/>
    <col min="3" max="3" width="13.44140625" bestFit="1" customWidth="1"/>
    <col min="4" max="4" width="13.33203125" bestFit="1" customWidth="1"/>
    <col min="5" max="5" width="15.88671875" bestFit="1" customWidth="1"/>
    <col min="6" max="6" width="10.44140625" bestFit="1" customWidth="1"/>
    <col min="7" max="7" width="16.6640625" bestFit="1" customWidth="1"/>
    <col min="9" max="9" width="14" bestFit="1" customWidth="1"/>
    <col min="11" max="11" width="14" bestFit="1" customWidth="1"/>
    <col min="12" max="12" width="11.33203125" bestFit="1" customWidth="1"/>
    <col min="16" max="16" width="17.5546875" bestFit="1" customWidth="1"/>
    <col min="17" max="17" width="9.6640625" bestFit="1" customWidth="1"/>
    <col min="18" max="18" width="11.109375" bestFit="1" customWidth="1"/>
    <col min="19" max="19" width="13.33203125" bestFit="1" customWidth="1"/>
    <col min="22" max="22" width="14.44140625" bestFit="1" customWidth="1"/>
    <col min="23" max="23" width="33.33203125" bestFit="1" customWidth="1"/>
    <col min="24" max="24" width="14.5546875" bestFit="1" customWidth="1"/>
    <col min="25" max="25" width="14.5546875" customWidth="1"/>
    <col min="26" max="26" width="11.33203125" bestFit="1" customWidth="1"/>
    <col min="27" max="27" width="12.6640625" bestFit="1" customWidth="1"/>
    <col min="28" max="28" width="12.33203125" bestFit="1" customWidth="1"/>
  </cols>
  <sheetData>
    <row r="1" spans="1:35" ht="15" thickBot="1" x14ac:dyDescent="0.35">
      <c r="A1" s="43" t="s">
        <v>6</v>
      </c>
      <c r="B1" s="186">
        <v>18000</v>
      </c>
      <c r="C1" s="186"/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  <c r="AA1" s="241" t="s">
        <v>563</v>
      </c>
      <c r="AB1" s="240">
        <v>8300000</v>
      </c>
    </row>
    <row r="2" spans="1:35" x14ac:dyDescent="0.3">
      <c r="A2" s="43" t="s">
        <v>0</v>
      </c>
      <c r="B2" s="186">
        <v>160000</v>
      </c>
      <c r="C2" s="191">
        <v>85000</v>
      </c>
      <c r="D2" s="186" t="s">
        <v>451</v>
      </c>
      <c r="E2" s="43"/>
      <c r="F2" s="73"/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35" x14ac:dyDescent="0.3">
      <c r="A3" s="43" t="s">
        <v>1</v>
      </c>
      <c r="B3" s="186">
        <v>5000</v>
      </c>
      <c r="C3" s="191">
        <v>5000</v>
      </c>
      <c r="D3" s="43"/>
      <c r="E3" s="43" t="s">
        <v>265</v>
      </c>
      <c r="F3" s="73">
        <v>513</v>
      </c>
      <c r="G3" s="73"/>
      <c r="H3" s="30"/>
      <c r="I3" s="110" t="s">
        <v>382</v>
      </c>
      <c r="J3" s="159">
        <v>10</v>
      </c>
      <c r="K3" s="159">
        <v>999</v>
      </c>
      <c r="L3" s="211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  <c r="V3" s="293" t="s">
        <v>525</v>
      </c>
      <c r="W3" s="293"/>
    </row>
    <row r="4" spans="1:35" x14ac:dyDescent="0.3">
      <c r="A4" s="43" t="s">
        <v>2</v>
      </c>
      <c r="B4" s="186">
        <v>2000</v>
      </c>
      <c r="C4" s="191">
        <v>2000</v>
      </c>
      <c r="D4" s="43"/>
      <c r="E4" s="43" t="s">
        <v>204</v>
      </c>
      <c r="F4" s="73">
        <v>11000</v>
      </c>
      <c r="G4" s="73"/>
      <c r="I4" s="110" t="s">
        <v>379</v>
      </c>
      <c r="J4" s="290" t="s">
        <v>473</v>
      </c>
      <c r="K4" s="291"/>
      <c r="L4" s="292"/>
      <c r="M4" s="192">
        <v>44682</v>
      </c>
      <c r="N4" s="43"/>
      <c r="O4" s="43"/>
      <c r="P4" s="73"/>
      <c r="R4" s="43"/>
      <c r="S4" s="73"/>
      <c r="V4" s="157"/>
      <c r="W4" s="157" t="s">
        <v>559</v>
      </c>
      <c r="X4" s="230">
        <v>100000</v>
      </c>
      <c r="Y4" s="230">
        <v>100000</v>
      </c>
      <c r="Z4" s="198">
        <v>45485</v>
      </c>
    </row>
    <row r="5" spans="1:35" ht="14.4" customHeight="1" x14ac:dyDescent="0.3">
      <c r="A5" s="43" t="s">
        <v>89</v>
      </c>
      <c r="B5" s="186">
        <v>33953</v>
      </c>
      <c r="C5" s="191">
        <v>33953</v>
      </c>
      <c r="D5" s="43" t="s">
        <v>450</v>
      </c>
      <c r="E5" s="43" t="s">
        <v>205</v>
      </c>
      <c r="F5" s="73">
        <v>36</v>
      </c>
      <c r="I5" s="110" t="s">
        <v>19</v>
      </c>
      <c r="J5" s="159">
        <v>22</v>
      </c>
      <c r="K5" s="159">
        <v>1321.63</v>
      </c>
      <c r="L5" s="211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  <c r="V5" s="294" t="s">
        <v>529</v>
      </c>
      <c r="W5" s="43" t="s">
        <v>550</v>
      </c>
      <c r="X5" s="231">
        <v>18000</v>
      </c>
      <c r="Y5" s="231">
        <v>18000</v>
      </c>
      <c r="Z5" s="198">
        <v>45492</v>
      </c>
      <c r="AC5">
        <v>34000</v>
      </c>
    </row>
    <row r="6" spans="1:35" x14ac:dyDescent="0.3">
      <c r="A6" s="43" t="s">
        <v>3</v>
      </c>
      <c r="B6" s="186">
        <v>2000</v>
      </c>
      <c r="C6" s="191">
        <v>2000</v>
      </c>
      <c r="D6" s="43"/>
      <c r="E6" s="43" t="s">
        <v>6</v>
      </c>
      <c r="F6" s="73">
        <f>SUM(F4:F5)</f>
        <v>11036</v>
      </c>
      <c r="I6" s="110" t="s">
        <v>362</v>
      </c>
      <c r="J6" s="159">
        <v>6</v>
      </c>
      <c r="K6" s="159">
        <v>1918.68</v>
      </c>
      <c r="L6" s="211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  <c r="V6" s="294"/>
      <c r="W6" s="43" t="s">
        <v>528</v>
      </c>
      <c r="X6" s="231">
        <v>41000</v>
      </c>
      <c r="Y6" s="231">
        <v>41000</v>
      </c>
      <c r="Z6" s="198">
        <v>45498</v>
      </c>
      <c r="AC6">
        <v>65000</v>
      </c>
    </row>
    <row r="7" spans="1:35" x14ac:dyDescent="0.3">
      <c r="A7" s="43" t="s">
        <v>9</v>
      </c>
      <c r="B7" s="186">
        <v>4400</v>
      </c>
      <c r="C7" s="186"/>
      <c r="D7" s="43"/>
      <c r="E7" s="43" t="s">
        <v>374</v>
      </c>
      <c r="F7" s="44">
        <f>B25</f>
        <v>287846</v>
      </c>
      <c r="I7" s="110" t="s">
        <v>363</v>
      </c>
      <c r="J7" s="159">
        <v>5</v>
      </c>
      <c r="K7" s="159">
        <v>1049.19</v>
      </c>
      <c r="L7" s="211">
        <f t="shared" si="1"/>
        <v>5245.9500000000007</v>
      </c>
      <c r="M7" s="192">
        <v>45108</v>
      </c>
      <c r="N7" s="43"/>
      <c r="O7" s="43"/>
      <c r="P7" s="73"/>
      <c r="R7" s="43"/>
      <c r="S7" s="73"/>
      <c r="V7" s="294"/>
      <c r="W7" s="43" t="s">
        <v>530</v>
      </c>
      <c r="X7" s="231">
        <v>7000</v>
      </c>
      <c r="Y7" s="231">
        <v>7000</v>
      </c>
      <c r="Z7" s="198">
        <v>45498</v>
      </c>
      <c r="AC7">
        <v>11418</v>
      </c>
    </row>
    <row r="8" spans="1:35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9">
        <v>11</v>
      </c>
      <c r="K8" s="159">
        <v>470.99</v>
      </c>
      <c r="L8" s="211">
        <f t="shared" si="1"/>
        <v>5180.8900000000003</v>
      </c>
      <c r="M8" s="192">
        <v>45108</v>
      </c>
      <c r="N8" s="43"/>
      <c r="O8" s="43"/>
      <c r="P8" s="108">
        <f>SUM(P3:P6)</f>
        <v>2240000</v>
      </c>
      <c r="R8" s="43"/>
      <c r="S8" s="73">
        <f>SUM(S3:S6)</f>
        <v>1290975</v>
      </c>
      <c r="V8" s="43"/>
      <c r="W8" s="43" t="s">
        <v>527</v>
      </c>
      <c r="X8" s="231">
        <v>547579.80000000005</v>
      </c>
      <c r="Y8" s="231">
        <v>547579.80000000005</v>
      </c>
      <c r="Z8" s="198">
        <v>45498</v>
      </c>
      <c r="AC8">
        <v>25000</v>
      </c>
      <c r="AE8">
        <f>133000+80000</f>
        <v>213000</v>
      </c>
    </row>
    <row r="9" spans="1:35" x14ac:dyDescent="0.3">
      <c r="A9" s="43" t="s">
        <v>107</v>
      </c>
      <c r="B9" s="186">
        <v>619</v>
      </c>
      <c r="C9" s="191">
        <v>619</v>
      </c>
      <c r="D9" s="43"/>
      <c r="E9" s="43"/>
      <c r="F9" s="43"/>
      <c r="I9" s="110" t="s">
        <v>377</v>
      </c>
      <c r="J9" s="159">
        <v>4</v>
      </c>
      <c r="K9" s="159">
        <v>1376.72</v>
      </c>
      <c r="L9" s="211">
        <f t="shared" si="1"/>
        <v>5506.88</v>
      </c>
      <c r="N9" s="43"/>
      <c r="O9" s="43"/>
      <c r="P9" s="73"/>
      <c r="R9" s="43"/>
      <c r="S9" s="73"/>
      <c r="AC9">
        <v>6000</v>
      </c>
      <c r="AE9">
        <f>AE8-AC18</f>
        <v>-7418</v>
      </c>
      <c r="AH9" t="s">
        <v>536</v>
      </c>
      <c r="AI9">
        <v>485000</v>
      </c>
    </row>
    <row r="10" spans="1:35" x14ac:dyDescent="0.3">
      <c r="A10" s="43" t="s">
        <v>174</v>
      </c>
      <c r="B10" s="186">
        <v>5000</v>
      </c>
      <c r="C10" s="191">
        <v>5000</v>
      </c>
      <c r="D10" s="43"/>
      <c r="E10" s="43" t="s">
        <v>442</v>
      </c>
      <c r="F10" s="73">
        <v>234.82</v>
      </c>
      <c r="I10" s="110" t="s">
        <v>387</v>
      </c>
      <c r="J10" s="159">
        <v>5</v>
      </c>
      <c r="K10" s="159">
        <v>936.51</v>
      </c>
      <c r="L10" s="211">
        <f t="shared" si="1"/>
        <v>4682.55</v>
      </c>
      <c r="M10" s="192">
        <v>45108</v>
      </c>
      <c r="N10" s="43"/>
      <c r="O10" s="43" t="s">
        <v>339</v>
      </c>
      <c r="P10" s="134">
        <v>500000</v>
      </c>
      <c r="S10" s="30"/>
      <c r="W10" s="226" t="s">
        <v>535</v>
      </c>
      <c r="X10" s="243">
        <f>SUM(X4:X8)</f>
        <v>713579.8</v>
      </c>
      <c r="Y10" s="243">
        <f>SUM(Y4:Y8)</f>
        <v>713579.8</v>
      </c>
      <c r="AC10">
        <v>50000</v>
      </c>
      <c r="AH10" t="s">
        <v>537</v>
      </c>
      <c r="AI10">
        <f>2*108675</f>
        <v>217350</v>
      </c>
    </row>
    <row r="11" spans="1:35" x14ac:dyDescent="0.3">
      <c r="A11" s="43" t="s">
        <v>414</v>
      </c>
      <c r="B11" s="186">
        <v>41452</v>
      </c>
      <c r="C11" s="191">
        <v>41452</v>
      </c>
      <c r="D11" s="43" t="s">
        <v>451</v>
      </c>
      <c r="E11" s="43" t="s">
        <v>441</v>
      </c>
      <c r="F11" s="73">
        <v>1419.04</v>
      </c>
      <c r="I11" s="110" t="s">
        <v>380</v>
      </c>
      <c r="J11" s="159">
        <v>5</v>
      </c>
      <c r="K11" s="159">
        <v>959.34</v>
      </c>
      <c r="L11" s="211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  <c r="AC11">
        <v>5000</v>
      </c>
    </row>
    <row r="12" spans="1:35" x14ac:dyDescent="0.3">
      <c r="A12" s="43" t="s">
        <v>285</v>
      </c>
      <c r="B12" s="186">
        <v>4003</v>
      </c>
      <c r="C12" s="191">
        <v>4003</v>
      </c>
      <c r="D12" s="85"/>
      <c r="E12" s="43" t="s">
        <v>443</v>
      </c>
      <c r="F12" s="73">
        <v>3500</v>
      </c>
      <c r="I12" s="110" t="s">
        <v>385</v>
      </c>
      <c r="J12" s="159">
        <v>50</v>
      </c>
      <c r="K12" s="159">
        <v>43.35</v>
      </c>
      <c r="L12" s="211">
        <f t="shared" si="1"/>
        <v>2167.5</v>
      </c>
      <c r="N12" s="43"/>
      <c r="O12" s="43" t="s">
        <v>6</v>
      </c>
      <c r="P12" s="134">
        <v>50000</v>
      </c>
      <c r="AC12">
        <v>10000</v>
      </c>
    </row>
    <row r="13" spans="1:35" x14ac:dyDescent="0.3">
      <c r="A13" s="43"/>
      <c r="B13" s="186"/>
      <c r="C13" s="186"/>
      <c r="D13" s="221"/>
      <c r="E13" s="43" t="s">
        <v>455</v>
      </c>
      <c r="F13" s="73">
        <v>8000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  <c r="V13" s="293" t="s">
        <v>562</v>
      </c>
      <c r="W13" s="293"/>
      <c r="AC13">
        <v>5000</v>
      </c>
      <c r="AI13">
        <f>SUM(AI9:AI10)</f>
        <v>702350</v>
      </c>
    </row>
    <row r="14" spans="1:35" ht="15" thickBot="1" x14ac:dyDescent="0.35">
      <c r="A14" s="87"/>
      <c r="B14" s="186"/>
      <c r="C14" s="186"/>
      <c r="D14" s="205"/>
      <c r="E14" s="43" t="s">
        <v>456</v>
      </c>
      <c r="F14" s="73">
        <v>1000</v>
      </c>
      <c r="I14" s="169" t="s">
        <v>447</v>
      </c>
      <c r="J14" s="209">
        <v>4</v>
      </c>
      <c r="K14" s="209">
        <v>507.02</v>
      </c>
      <c r="L14" s="210">
        <f t="shared" si="1"/>
        <v>2028.08</v>
      </c>
      <c r="N14" s="43"/>
      <c r="O14" s="43" t="s">
        <v>408</v>
      </c>
      <c r="P14" s="134">
        <v>10000</v>
      </c>
      <c r="V14" s="239"/>
      <c r="W14" s="43" t="s">
        <v>557</v>
      </c>
      <c r="X14" s="231">
        <v>323461</v>
      </c>
      <c r="Y14" s="231">
        <v>323461</v>
      </c>
      <c r="Z14" s="198">
        <v>45500</v>
      </c>
      <c r="AC14">
        <v>2000</v>
      </c>
      <c r="AH14" t="s">
        <v>538</v>
      </c>
      <c r="AI14">
        <v>639000</v>
      </c>
    </row>
    <row r="15" spans="1:35" x14ac:dyDescent="0.3">
      <c r="A15" s="43"/>
      <c r="B15" s="186"/>
      <c r="C15" s="186"/>
      <c r="D15" s="43"/>
      <c r="E15" s="43" t="s">
        <v>457</v>
      </c>
      <c r="F15" s="73">
        <v>5074</v>
      </c>
      <c r="L15" s="193">
        <f>SUM(L4:L14)</f>
        <v>72210.990000000005</v>
      </c>
      <c r="N15" s="43"/>
      <c r="O15" s="43"/>
      <c r="P15" s="134">
        <f>SUM(P10:P14)</f>
        <v>815000</v>
      </c>
      <c r="V15" s="43"/>
      <c r="W15" s="43" t="s">
        <v>561</v>
      </c>
      <c r="X15" s="231">
        <v>8500</v>
      </c>
      <c r="Y15" s="231">
        <v>8500</v>
      </c>
      <c r="Z15" s="198">
        <v>45500</v>
      </c>
      <c r="AC15">
        <v>4000</v>
      </c>
      <c r="AI15">
        <f>AI13-AI14</f>
        <v>63350</v>
      </c>
    </row>
    <row r="16" spans="1:35" x14ac:dyDescent="0.3">
      <c r="A16" s="43"/>
      <c r="B16" s="186"/>
      <c r="C16" s="186"/>
      <c r="D16" s="186"/>
      <c r="E16" s="43" t="s">
        <v>458</v>
      </c>
      <c r="F16" s="73">
        <v>113280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  <c r="V16" s="43"/>
      <c r="W16" s="226" t="s">
        <v>535</v>
      </c>
      <c r="X16" s="243">
        <f>SUM(X14:X15)</f>
        <v>331961</v>
      </c>
      <c r="Y16" s="243">
        <f>SUM(Y14:Y15)</f>
        <v>331961</v>
      </c>
      <c r="AC16">
        <v>3000</v>
      </c>
    </row>
    <row r="17" spans="1:32" x14ac:dyDescent="0.3">
      <c r="A17" s="73"/>
      <c r="B17" s="73"/>
      <c r="C17" s="73"/>
      <c r="D17" s="202"/>
      <c r="E17" s="43" t="s">
        <v>459</v>
      </c>
      <c r="F17" s="73">
        <v>750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32" ht="15" thickBot="1" x14ac:dyDescent="0.35">
      <c r="A18" s="123" t="s">
        <v>352</v>
      </c>
      <c r="B18" s="123">
        <v>10000</v>
      </c>
      <c r="C18" s="73"/>
      <c r="D18" s="202"/>
      <c r="E18" s="43" t="s">
        <v>463</v>
      </c>
      <c r="F18" s="73">
        <v>1000</v>
      </c>
      <c r="G18" s="167" t="s">
        <v>109</v>
      </c>
      <c r="H18" s="116">
        <v>18195</v>
      </c>
      <c r="I18" s="113" t="s">
        <v>522</v>
      </c>
      <c r="N18" s="43"/>
      <c r="O18" s="43"/>
      <c r="R18" t="s">
        <v>412</v>
      </c>
      <c r="S18" s="73">
        <v>93000</v>
      </c>
      <c r="AC18">
        <f>SUM(AC5:AC16)</f>
        <v>220418</v>
      </c>
    </row>
    <row r="19" spans="1:32" ht="15" thickBot="1" x14ac:dyDescent="0.35">
      <c r="A19" s="123" t="s">
        <v>81</v>
      </c>
      <c r="B19" s="123">
        <v>50000</v>
      </c>
      <c r="C19" s="186"/>
      <c r="D19" s="72"/>
      <c r="E19" s="43" t="s">
        <v>464</v>
      </c>
      <c r="F19" s="73">
        <v>700</v>
      </c>
      <c r="G19" s="181" t="s">
        <v>268</v>
      </c>
      <c r="H19" s="112">
        <v>10526</v>
      </c>
      <c r="I19" s="113" t="s">
        <v>522</v>
      </c>
      <c r="N19" s="43"/>
      <c r="O19" s="104" t="s">
        <v>410</v>
      </c>
      <c r="P19" s="177">
        <f>(P17-P16)</f>
        <v>-151000</v>
      </c>
      <c r="S19" s="73">
        <f>SUM(S17:S18)</f>
        <v>147000</v>
      </c>
      <c r="V19" s="295" t="s">
        <v>526</v>
      </c>
      <c r="W19" s="293"/>
    </row>
    <row r="20" spans="1:32" x14ac:dyDescent="0.3">
      <c r="A20" s="123"/>
      <c r="B20" s="123"/>
      <c r="C20" s="186"/>
      <c r="D20" s="72"/>
      <c r="E20" s="43"/>
      <c r="F20" s="73"/>
      <c r="G20" s="181"/>
      <c r="H20" s="112"/>
      <c r="I20" s="113"/>
      <c r="N20" s="43"/>
      <c r="O20" s="104"/>
      <c r="P20" s="30"/>
      <c r="S20" s="73"/>
      <c r="V20" s="43"/>
      <c r="W20" s="43" t="s">
        <v>539</v>
      </c>
      <c r="X20" s="223">
        <f>AB1-X4</f>
        <v>8200000</v>
      </c>
      <c r="Y20" s="233"/>
      <c r="AC20">
        <v>8300000</v>
      </c>
      <c r="AE20" t="s">
        <v>542</v>
      </c>
      <c r="AF20">
        <v>750000</v>
      </c>
    </row>
    <row r="21" spans="1:32" x14ac:dyDescent="0.3">
      <c r="A21" s="123" t="s">
        <v>123</v>
      </c>
      <c r="B21" s="123">
        <v>33000</v>
      </c>
      <c r="C21" s="186"/>
      <c r="D21" s="43"/>
      <c r="E21" s="43" t="s">
        <v>465</v>
      </c>
      <c r="F21" s="73">
        <v>2000</v>
      </c>
      <c r="G21" s="80" t="s">
        <v>298</v>
      </c>
      <c r="H21" s="80">
        <v>5000</v>
      </c>
      <c r="I21" s="113">
        <v>44896</v>
      </c>
      <c r="N21" s="43"/>
      <c r="O21" s="43"/>
      <c r="P21" s="89"/>
      <c r="R21" t="s">
        <v>411</v>
      </c>
      <c r="S21" s="73">
        <v>90000</v>
      </c>
      <c r="V21" s="43"/>
      <c r="W21" s="43" t="s">
        <v>531</v>
      </c>
      <c r="X21" s="245">
        <v>1000000</v>
      </c>
      <c r="Y21" s="235"/>
      <c r="AB21" t="s">
        <v>540</v>
      </c>
      <c r="AC21">
        <v>100000</v>
      </c>
      <c r="AE21" t="s">
        <v>545</v>
      </c>
      <c r="AF21">
        <v>200000</v>
      </c>
    </row>
    <row r="22" spans="1:32" x14ac:dyDescent="0.3">
      <c r="A22" s="123" t="s">
        <v>475</v>
      </c>
      <c r="B22" s="123">
        <v>10000</v>
      </c>
      <c r="C22" s="73"/>
      <c r="D22" s="43" t="s">
        <v>511</v>
      </c>
      <c r="E22" s="43" t="s">
        <v>462</v>
      </c>
      <c r="F22" s="73">
        <v>5000</v>
      </c>
      <c r="G22" s="80" t="s">
        <v>256</v>
      </c>
      <c r="H22" s="80">
        <v>7600</v>
      </c>
      <c r="I22" s="113" t="s">
        <v>523</v>
      </c>
      <c r="K22" s="43" t="s">
        <v>479</v>
      </c>
      <c r="L22" s="43" t="s">
        <v>480</v>
      </c>
      <c r="S22" s="73">
        <f>(S19-S21)</f>
        <v>57000</v>
      </c>
      <c r="V22" s="43"/>
      <c r="W22" s="244" t="s">
        <v>560</v>
      </c>
      <c r="X22" s="231">
        <v>200000</v>
      </c>
      <c r="Y22" s="231">
        <v>200000</v>
      </c>
      <c r="Z22" s="198">
        <v>45502</v>
      </c>
      <c r="AC22">
        <f>AC20-AC21</f>
        <v>8200000</v>
      </c>
      <c r="AE22" t="s">
        <v>544</v>
      </c>
      <c r="AF22">
        <v>300000</v>
      </c>
    </row>
    <row r="23" spans="1:32" x14ac:dyDescent="0.3">
      <c r="A23" s="116" t="s">
        <v>203</v>
      </c>
      <c r="B23" s="190">
        <v>13000</v>
      </c>
      <c r="C23" s="186"/>
      <c r="D23" s="145"/>
      <c r="E23" s="43" t="s">
        <v>467</v>
      </c>
      <c r="F23" s="73">
        <v>6700</v>
      </c>
      <c r="G23" s="115" t="s">
        <v>431</v>
      </c>
      <c r="H23" s="116">
        <v>20481</v>
      </c>
      <c r="I23" s="113" t="s">
        <v>521</v>
      </c>
      <c r="K23" s="43"/>
      <c r="L23" s="43" t="s">
        <v>481</v>
      </c>
      <c r="R23" s="65"/>
      <c r="S23" s="73"/>
      <c r="V23" s="43"/>
      <c r="W23" s="104" t="s">
        <v>558</v>
      </c>
      <c r="X23" s="242">
        <v>400000</v>
      </c>
      <c r="Y23" s="242">
        <v>100000</v>
      </c>
      <c r="Z23" s="198">
        <v>45502</v>
      </c>
      <c r="AB23" t="s">
        <v>541</v>
      </c>
      <c r="AC23">
        <v>500000</v>
      </c>
      <c r="AD23" t="s">
        <v>543</v>
      </c>
      <c r="AF23">
        <f>SUM(AF21:AF22)</f>
        <v>500000</v>
      </c>
    </row>
    <row r="24" spans="1:32" x14ac:dyDescent="0.3">
      <c r="A24" s="115" t="s">
        <v>381</v>
      </c>
      <c r="B24" s="190">
        <v>60000</v>
      </c>
      <c r="C24" s="186"/>
      <c r="D24" s="43"/>
      <c r="E24" s="43" t="s">
        <v>468</v>
      </c>
      <c r="F24" s="73">
        <f>'September 23'!AO30</f>
        <v>0</v>
      </c>
      <c r="G24" s="115"/>
      <c r="H24" s="116"/>
      <c r="I24" s="113"/>
      <c r="K24" s="43"/>
      <c r="L24" s="43" t="s">
        <v>482</v>
      </c>
      <c r="R24" t="s">
        <v>142</v>
      </c>
      <c r="S24" s="73">
        <v>200000</v>
      </c>
      <c r="AC24">
        <f>AC22-AC23</f>
        <v>7700000</v>
      </c>
      <c r="AF24">
        <f>AF23-AF20</f>
        <v>-250000</v>
      </c>
    </row>
    <row r="25" spans="1:32" x14ac:dyDescent="0.3">
      <c r="A25" s="64" t="s">
        <v>5</v>
      </c>
      <c r="B25" s="186">
        <f>SUM(B1:B16)</f>
        <v>287846</v>
      </c>
      <c r="C25" s="186">
        <f>SUM(C1:C17)</f>
        <v>190446</v>
      </c>
      <c r="D25" s="72"/>
      <c r="E25" s="43" t="s">
        <v>469</v>
      </c>
      <c r="F25" s="73">
        <v>51800</v>
      </c>
      <c r="G25" s="124"/>
      <c r="H25" s="118"/>
      <c r="I25" s="113"/>
      <c r="K25" s="43"/>
      <c r="L25" s="43" t="s">
        <v>483</v>
      </c>
      <c r="R25" t="s">
        <v>206</v>
      </c>
      <c r="S25" s="73">
        <f>(S22+S24)</f>
        <v>257000</v>
      </c>
      <c r="AB25" t="s">
        <v>546</v>
      </c>
      <c r="AC25">
        <v>8000000</v>
      </c>
    </row>
    <row r="26" spans="1:32" x14ac:dyDescent="0.3">
      <c r="A26" s="43"/>
      <c r="B26" s="43"/>
      <c r="C26" s="43"/>
      <c r="D26" s="72"/>
      <c r="E26" s="178" t="s">
        <v>470</v>
      </c>
      <c r="F26" s="179">
        <v>22000</v>
      </c>
      <c r="G26" s="43"/>
      <c r="H26" s="106"/>
      <c r="I26" s="114"/>
      <c r="K26" s="199"/>
      <c r="L26" s="43">
        <v>1270</v>
      </c>
      <c r="O26">
        <v>176000</v>
      </c>
      <c r="S26" s="73"/>
      <c r="V26" s="43"/>
      <c r="W26" s="226" t="s">
        <v>535</v>
      </c>
      <c r="X26" s="225">
        <f>SUM(X22:X23)</f>
        <v>600000</v>
      </c>
      <c r="Y26" s="225">
        <f>SUM(Y22:Y23)</f>
        <v>300000</v>
      </c>
    </row>
    <row r="27" spans="1:32" x14ac:dyDescent="0.3">
      <c r="A27" s="64" t="s">
        <v>228</v>
      </c>
      <c r="B27" s="43"/>
      <c r="C27" s="62">
        <f>(C25-B25)</f>
        <v>-97400</v>
      </c>
      <c r="D27" s="43" t="s">
        <v>227</v>
      </c>
      <c r="E27" s="43" t="s">
        <v>471</v>
      </c>
      <c r="F27" s="73">
        <v>11500</v>
      </c>
      <c r="K27" s="73" t="s">
        <v>485</v>
      </c>
      <c r="L27" s="43" t="s">
        <v>484</v>
      </c>
      <c r="O27">
        <v>152000</v>
      </c>
      <c r="R27" t="s">
        <v>413</v>
      </c>
      <c r="S27" s="73">
        <v>260000</v>
      </c>
      <c r="V27" s="43"/>
      <c r="W27" s="43" t="s">
        <v>5</v>
      </c>
      <c r="X27" s="224">
        <f>SUM(X10,X16,X26)</f>
        <v>1645540.8</v>
      </c>
      <c r="Y27" s="236"/>
    </row>
    <row r="28" spans="1:32" x14ac:dyDescent="0.3">
      <c r="A28" s="64"/>
      <c r="B28" s="43"/>
      <c r="C28" s="43"/>
      <c r="D28" s="43"/>
      <c r="E28" s="43" t="s">
        <v>472</v>
      </c>
      <c r="F28" s="73">
        <v>26000</v>
      </c>
      <c r="H28">
        <f>55000-110000</f>
        <v>-55000</v>
      </c>
      <c r="K28" s="43" t="s">
        <v>486</v>
      </c>
      <c r="L28" s="43">
        <v>1250</v>
      </c>
      <c r="O28">
        <f>O26-O27</f>
        <v>24000</v>
      </c>
      <c r="S28" s="30">
        <f>(S27-S25)</f>
        <v>3000</v>
      </c>
    </row>
    <row r="29" spans="1:32" x14ac:dyDescent="0.3">
      <c r="A29" s="64" t="s">
        <v>225</v>
      </c>
      <c r="B29" s="43"/>
      <c r="C29" s="62">
        <f>(F6+C27)</f>
        <v>-86364</v>
      </c>
      <c r="D29" s="43"/>
      <c r="E29" s="43" t="s">
        <v>476</v>
      </c>
      <c r="F29" s="186">
        <v>41600</v>
      </c>
      <c r="K29" s="43" t="s">
        <v>487</v>
      </c>
      <c r="L29" s="43">
        <v>91</v>
      </c>
    </row>
    <row r="30" spans="1:32" x14ac:dyDescent="0.3">
      <c r="F30" s="73">
        <f>SUM(F10:F29)</f>
        <v>301557.86</v>
      </c>
      <c r="K30" s="43"/>
      <c r="L30" s="43">
        <f>L28*L29</f>
        <v>113750</v>
      </c>
      <c r="V30" s="293" t="s">
        <v>532</v>
      </c>
      <c r="W30" s="293"/>
    </row>
    <row r="31" spans="1:32" x14ac:dyDescent="0.3">
      <c r="K31" s="43" t="s">
        <v>488</v>
      </c>
      <c r="L31" s="73">
        <v>99130</v>
      </c>
      <c r="V31" s="43"/>
      <c r="W31" s="43" t="s">
        <v>89</v>
      </c>
      <c r="X31" s="222">
        <v>8000000</v>
      </c>
      <c r="Y31" s="235"/>
    </row>
    <row r="32" spans="1:32" x14ac:dyDescent="0.3">
      <c r="K32" s="43"/>
      <c r="L32" s="106">
        <f>L30+L31</f>
        <v>212880</v>
      </c>
      <c r="O32">
        <f>5000/40</f>
        <v>125</v>
      </c>
      <c r="V32" s="43"/>
      <c r="W32" s="43" t="s">
        <v>533</v>
      </c>
      <c r="X32" s="222">
        <v>578957</v>
      </c>
      <c r="Y32" s="235"/>
    </row>
    <row r="33" spans="11:27" x14ac:dyDescent="0.3">
      <c r="K33" s="178" t="s">
        <v>490</v>
      </c>
      <c r="L33" s="91">
        <v>-109464</v>
      </c>
      <c r="O33">
        <v>23</v>
      </c>
      <c r="P33">
        <f>O32*O33</f>
        <v>2875</v>
      </c>
      <c r="V33" s="43"/>
      <c r="W33" s="43" t="s">
        <v>556</v>
      </c>
      <c r="X33" s="222">
        <v>300000</v>
      </c>
      <c r="Y33" s="235"/>
    </row>
    <row r="34" spans="11:27" x14ac:dyDescent="0.3">
      <c r="K34" s="43" t="s">
        <v>488</v>
      </c>
      <c r="L34" s="200">
        <v>-25000</v>
      </c>
      <c r="P34">
        <v>2875</v>
      </c>
      <c r="V34" s="43"/>
      <c r="W34" s="43" t="s">
        <v>551</v>
      </c>
      <c r="X34" s="43"/>
    </row>
    <row r="35" spans="11:27" x14ac:dyDescent="0.3">
      <c r="K35" s="43" t="s">
        <v>143</v>
      </c>
      <c r="L35" s="73">
        <f>L32+L33+L34</f>
        <v>78416</v>
      </c>
      <c r="P35">
        <v>6000</v>
      </c>
      <c r="V35" s="43"/>
      <c r="W35" s="226" t="s">
        <v>535</v>
      </c>
      <c r="X35" s="227">
        <f>SUM(X31:X33)</f>
        <v>8878957</v>
      </c>
      <c r="Y35" s="237"/>
    </row>
    <row r="36" spans="11:27" x14ac:dyDescent="0.3">
      <c r="V36" s="43"/>
      <c r="W36" s="43" t="s">
        <v>534</v>
      </c>
      <c r="X36" s="228">
        <f>X35-X27</f>
        <v>7233416.2000000002</v>
      </c>
      <c r="Y36" s="238"/>
    </row>
    <row r="37" spans="11:27" x14ac:dyDescent="0.3">
      <c r="X37" s="233"/>
      <c r="Y37" s="233"/>
    </row>
    <row r="39" spans="11:27" x14ac:dyDescent="0.3">
      <c r="V39" s="229" t="s">
        <v>551</v>
      </c>
      <c r="W39" s="229"/>
      <c r="X39" s="229"/>
      <c r="Y39" s="229"/>
      <c r="Z39" s="232" t="s">
        <v>26</v>
      </c>
      <c r="AA39" s="232" t="s">
        <v>214</v>
      </c>
    </row>
    <row r="40" spans="11:27" x14ac:dyDescent="0.3">
      <c r="V40" s="43"/>
      <c r="W40" s="43" t="s">
        <v>494</v>
      </c>
      <c r="X40" s="222">
        <v>165000</v>
      </c>
      <c r="Y40" s="222"/>
      <c r="Z40" s="222"/>
      <c r="AA40" s="223">
        <f t="shared" ref="AA40:AA45" si="2">X40-Z40</f>
        <v>165000</v>
      </c>
    </row>
    <row r="41" spans="11:27" x14ac:dyDescent="0.3">
      <c r="V41" s="43"/>
      <c r="W41" s="43" t="s">
        <v>545</v>
      </c>
      <c r="X41" s="222">
        <v>250000</v>
      </c>
      <c r="Y41" s="222"/>
      <c r="Z41" s="222"/>
      <c r="AA41" s="223">
        <f t="shared" si="2"/>
        <v>250000</v>
      </c>
    </row>
    <row r="42" spans="11:27" x14ac:dyDescent="0.3">
      <c r="V42" s="43"/>
      <c r="W42" s="43" t="s">
        <v>552</v>
      </c>
      <c r="X42" s="222">
        <v>100000</v>
      </c>
      <c r="Y42" s="222"/>
      <c r="Z42" s="222">
        <v>100000</v>
      </c>
      <c r="AA42" s="223">
        <f t="shared" si="2"/>
        <v>0</v>
      </c>
    </row>
    <row r="43" spans="11:27" x14ac:dyDescent="0.3">
      <c r="V43" s="43"/>
      <c r="W43" s="43" t="s">
        <v>553</v>
      </c>
      <c r="X43" s="222">
        <v>50000</v>
      </c>
      <c r="Y43" s="222"/>
      <c r="Z43" s="222">
        <v>50000</v>
      </c>
      <c r="AA43" s="223">
        <f t="shared" si="2"/>
        <v>0</v>
      </c>
    </row>
    <row r="44" spans="11:27" x14ac:dyDescent="0.3">
      <c r="V44" s="43"/>
      <c r="W44" s="43" t="s">
        <v>554</v>
      </c>
      <c r="X44" s="222">
        <v>120000</v>
      </c>
      <c r="Y44" s="222"/>
      <c r="Z44" s="222">
        <v>120000</v>
      </c>
      <c r="AA44" s="223">
        <f t="shared" si="2"/>
        <v>0</v>
      </c>
    </row>
    <row r="45" spans="11:27" x14ac:dyDescent="0.3">
      <c r="V45" s="43"/>
      <c r="W45" s="43" t="s">
        <v>553</v>
      </c>
      <c r="X45" s="234">
        <v>240000</v>
      </c>
      <c r="Y45" s="234"/>
      <c r="Z45" s="222">
        <v>100000</v>
      </c>
      <c r="AA45" s="223">
        <f t="shared" si="2"/>
        <v>140000</v>
      </c>
    </row>
    <row r="46" spans="11:27" x14ac:dyDescent="0.3">
      <c r="V46" s="43"/>
      <c r="W46" s="43" t="s">
        <v>555</v>
      </c>
      <c r="X46" s="222">
        <v>600000</v>
      </c>
      <c r="Y46" s="222"/>
      <c r="Z46" s="222">
        <v>300000</v>
      </c>
      <c r="AA46" s="223">
        <f>X46-Z46</f>
        <v>300000</v>
      </c>
    </row>
    <row r="48" spans="11:27" x14ac:dyDescent="0.3">
      <c r="X48" s="223">
        <f>SUM(X40:X45)</f>
        <v>925000</v>
      </c>
      <c r="Y48" s="223"/>
      <c r="Z48" s="223">
        <f>SUM(Z40:Z46)</f>
        <v>670000</v>
      </c>
      <c r="AA48" s="223">
        <f>SUM(AA40:AA46)</f>
        <v>855000</v>
      </c>
    </row>
  </sheetData>
  <mergeCells count="8">
    <mergeCell ref="E1:F1"/>
    <mergeCell ref="I1:L1"/>
    <mergeCell ref="J4:L4"/>
    <mergeCell ref="V30:W30"/>
    <mergeCell ref="V3:W3"/>
    <mergeCell ref="V5:V7"/>
    <mergeCell ref="V19:W19"/>
    <mergeCell ref="V13:W13"/>
  </mergeCells>
  <pageMargins left="0.7" right="0.7" top="0.75" bottom="0.75" header="0.3" footer="0.3"/>
  <pageSetup paperSize="9"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25C7-175F-4917-AAFB-0CA53C1D34D3}">
  <dimension ref="A1:AI48"/>
  <sheetViews>
    <sheetView workbookViewId="0">
      <selection activeCell="V39" sqref="V39:AA48"/>
    </sheetView>
  </sheetViews>
  <sheetFormatPr defaultRowHeight="14.4" x14ac:dyDescent="0.3"/>
  <cols>
    <col min="1" max="1" width="20.33203125" bestFit="1" customWidth="1"/>
    <col min="2" max="2" width="9.44140625" bestFit="1" customWidth="1"/>
    <col min="3" max="3" width="13.44140625" bestFit="1" customWidth="1"/>
    <col min="4" max="4" width="13.33203125" bestFit="1" customWidth="1"/>
    <col min="5" max="5" width="15.88671875" bestFit="1" customWidth="1"/>
    <col min="6" max="6" width="10.44140625" bestFit="1" customWidth="1"/>
    <col min="7" max="7" width="16.6640625" bestFit="1" customWidth="1"/>
    <col min="9" max="9" width="14" bestFit="1" customWidth="1"/>
    <col min="11" max="11" width="14" bestFit="1" customWidth="1"/>
    <col min="12" max="12" width="11.33203125" bestFit="1" customWidth="1"/>
    <col min="16" max="16" width="17.5546875" bestFit="1" customWidth="1"/>
    <col min="17" max="17" width="9.6640625" bestFit="1" customWidth="1"/>
    <col min="18" max="18" width="11.109375" bestFit="1" customWidth="1"/>
    <col min="19" max="19" width="13.33203125" bestFit="1" customWidth="1"/>
    <col min="22" max="22" width="14.44140625" bestFit="1" customWidth="1"/>
    <col min="23" max="23" width="33.33203125" bestFit="1" customWidth="1"/>
    <col min="24" max="24" width="14.5546875" bestFit="1" customWidth="1"/>
    <col min="25" max="25" width="14.5546875" customWidth="1"/>
    <col min="26" max="26" width="11.33203125" bestFit="1" customWidth="1"/>
    <col min="27" max="27" width="12.6640625" bestFit="1" customWidth="1"/>
    <col min="28" max="28" width="12.33203125" bestFit="1" customWidth="1"/>
  </cols>
  <sheetData>
    <row r="1" spans="1:35" ht="15" thickBot="1" x14ac:dyDescent="0.35">
      <c r="A1" s="43" t="s">
        <v>6</v>
      </c>
      <c r="B1" s="186">
        <v>18000</v>
      </c>
      <c r="C1" s="186"/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  <c r="AA1" s="241" t="s">
        <v>563</v>
      </c>
      <c r="AB1" s="240">
        <v>8300000</v>
      </c>
    </row>
    <row r="2" spans="1:35" x14ac:dyDescent="0.3">
      <c r="A2" s="43" t="s">
        <v>0</v>
      </c>
      <c r="B2" s="186">
        <v>160000</v>
      </c>
      <c r="C2" s="191">
        <v>85000</v>
      </c>
      <c r="D2" s="186" t="s">
        <v>451</v>
      </c>
      <c r="E2" s="43"/>
      <c r="F2" s="73"/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35" x14ac:dyDescent="0.3">
      <c r="A3" s="43" t="s">
        <v>1</v>
      </c>
      <c r="B3" s="186">
        <v>5000</v>
      </c>
      <c r="C3" s="191">
        <v>5000</v>
      </c>
      <c r="D3" s="43"/>
      <c r="E3" s="43" t="s">
        <v>265</v>
      </c>
      <c r="F3" s="73">
        <v>513</v>
      </c>
      <c r="G3" s="73"/>
      <c r="H3" s="30"/>
      <c r="I3" s="110" t="s">
        <v>382</v>
      </c>
      <c r="J3" s="159">
        <v>10</v>
      </c>
      <c r="K3" s="159">
        <v>999</v>
      </c>
      <c r="L3" s="211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  <c r="V3" s="293" t="s">
        <v>525</v>
      </c>
      <c r="W3" s="293"/>
    </row>
    <row r="4" spans="1:35" x14ac:dyDescent="0.3">
      <c r="A4" s="43" t="s">
        <v>2</v>
      </c>
      <c r="B4" s="186">
        <v>2000</v>
      </c>
      <c r="C4" s="191">
        <v>2000</v>
      </c>
      <c r="D4" s="43"/>
      <c r="E4" s="43" t="s">
        <v>204</v>
      </c>
      <c r="F4" s="73">
        <v>11000</v>
      </c>
      <c r="G4" s="73"/>
      <c r="I4" s="110" t="s">
        <v>379</v>
      </c>
      <c r="J4" s="290" t="s">
        <v>473</v>
      </c>
      <c r="K4" s="291"/>
      <c r="L4" s="292"/>
      <c r="M4" s="192">
        <v>44682</v>
      </c>
      <c r="N4" s="43"/>
      <c r="O4" s="43"/>
      <c r="P4" s="73"/>
      <c r="R4" s="43"/>
      <c r="S4" s="73"/>
      <c r="V4" s="157"/>
      <c r="W4" s="157" t="s">
        <v>559</v>
      </c>
      <c r="X4" s="230">
        <v>100000</v>
      </c>
      <c r="Y4" s="230">
        <v>100000</v>
      </c>
      <c r="Z4" s="198">
        <v>45485</v>
      </c>
    </row>
    <row r="5" spans="1:35" ht="14.4" customHeight="1" x14ac:dyDescent="0.3">
      <c r="A5" s="43" t="s">
        <v>89</v>
      </c>
      <c r="B5" s="186">
        <v>33953</v>
      </c>
      <c r="C5" s="191">
        <v>33953</v>
      </c>
      <c r="D5" s="43" t="s">
        <v>450</v>
      </c>
      <c r="E5" s="43" t="s">
        <v>205</v>
      </c>
      <c r="F5" s="73">
        <v>36</v>
      </c>
      <c r="I5" s="110" t="s">
        <v>19</v>
      </c>
      <c r="J5" s="159">
        <v>22</v>
      </c>
      <c r="K5" s="159">
        <v>1321.63</v>
      </c>
      <c r="L5" s="211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  <c r="V5" s="294" t="s">
        <v>529</v>
      </c>
      <c r="W5" s="43" t="s">
        <v>550</v>
      </c>
      <c r="X5" s="231">
        <v>18000</v>
      </c>
      <c r="Y5" s="231">
        <v>18000</v>
      </c>
      <c r="Z5" s="198">
        <v>45492</v>
      </c>
      <c r="AC5">
        <v>34000</v>
      </c>
    </row>
    <row r="6" spans="1:35" x14ac:dyDescent="0.3">
      <c r="A6" s="43" t="s">
        <v>3</v>
      </c>
      <c r="B6" s="186">
        <v>2000</v>
      </c>
      <c r="C6" s="191">
        <v>2000</v>
      </c>
      <c r="D6" s="43"/>
      <c r="E6" s="43" t="s">
        <v>6</v>
      </c>
      <c r="F6" s="73">
        <f>SUM(F4:F5)</f>
        <v>11036</v>
      </c>
      <c r="I6" s="110" t="s">
        <v>362</v>
      </c>
      <c r="J6" s="159">
        <v>6</v>
      </c>
      <c r="K6" s="159">
        <v>1918.68</v>
      </c>
      <c r="L6" s="211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  <c r="V6" s="294"/>
      <c r="W6" s="43" t="s">
        <v>528</v>
      </c>
      <c r="X6" s="231">
        <v>41000</v>
      </c>
      <c r="Y6" s="231">
        <v>41000</v>
      </c>
      <c r="Z6" s="198">
        <v>45498</v>
      </c>
      <c r="AC6">
        <v>65000</v>
      </c>
    </row>
    <row r="7" spans="1:35" x14ac:dyDescent="0.3">
      <c r="A7" s="43" t="s">
        <v>9</v>
      </c>
      <c r="B7" s="186">
        <v>4400</v>
      </c>
      <c r="C7" s="186"/>
      <c r="D7" s="43"/>
      <c r="E7" s="43" t="s">
        <v>404</v>
      </c>
      <c r="F7" s="44">
        <f>B25</f>
        <v>405846</v>
      </c>
      <c r="I7" s="110" t="s">
        <v>363</v>
      </c>
      <c r="J7" s="159">
        <v>5</v>
      </c>
      <c r="K7" s="159">
        <v>1049.19</v>
      </c>
      <c r="L7" s="211">
        <f t="shared" si="1"/>
        <v>5245.9500000000007</v>
      </c>
      <c r="M7" s="192">
        <v>45108</v>
      </c>
      <c r="N7" s="43"/>
      <c r="O7" s="43"/>
      <c r="P7" s="73"/>
      <c r="R7" s="43"/>
      <c r="S7" s="73"/>
      <c r="V7" s="294"/>
      <c r="W7" s="43" t="s">
        <v>530</v>
      </c>
      <c r="X7" s="231">
        <v>7000</v>
      </c>
      <c r="Y7" s="231">
        <v>7000</v>
      </c>
      <c r="Z7" s="198">
        <v>45498</v>
      </c>
      <c r="AC7">
        <v>11418</v>
      </c>
    </row>
    <row r="8" spans="1:35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9">
        <v>11</v>
      </c>
      <c r="K8" s="159">
        <v>470.99</v>
      </c>
      <c r="L8" s="211">
        <f t="shared" si="1"/>
        <v>5180.8900000000003</v>
      </c>
      <c r="M8" s="192">
        <v>45108</v>
      </c>
      <c r="N8" s="43"/>
      <c r="O8" s="43"/>
      <c r="P8" s="108">
        <f>SUM(P3:P6)</f>
        <v>2240000</v>
      </c>
      <c r="R8" s="43"/>
      <c r="S8" s="73">
        <f>SUM(S3:S6)</f>
        <v>1290975</v>
      </c>
      <c r="V8" s="43"/>
      <c r="W8" s="43" t="s">
        <v>527</v>
      </c>
      <c r="X8" s="231">
        <v>547579.80000000005</v>
      </c>
      <c r="Y8" s="231">
        <v>547579.80000000005</v>
      </c>
      <c r="Z8" s="198">
        <v>45498</v>
      </c>
      <c r="AC8">
        <v>25000</v>
      </c>
      <c r="AE8">
        <f>133000+80000</f>
        <v>213000</v>
      </c>
    </row>
    <row r="9" spans="1:35" x14ac:dyDescent="0.3">
      <c r="A9" s="43" t="s">
        <v>107</v>
      </c>
      <c r="B9" s="186">
        <v>619</v>
      </c>
      <c r="C9" s="191">
        <v>619</v>
      </c>
      <c r="D9" s="43"/>
      <c r="E9" s="43"/>
      <c r="F9" s="43"/>
      <c r="I9" s="110" t="s">
        <v>377</v>
      </c>
      <c r="J9" s="159">
        <v>4</v>
      </c>
      <c r="K9" s="159">
        <v>1376.72</v>
      </c>
      <c r="L9" s="211">
        <f t="shared" si="1"/>
        <v>5506.88</v>
      </c>
      <c r="N9" s="43"/>
      <c r="O9" s="43"/>
      <c r="P9" s="73"/>
      <c r="R9" s="43"/>
      <c r="S9" s="73"/>
      <c r="AC9">
        <v>6000</v>
      </c>
      <c r="AE9">
        <f>AE8-AC18</f>
        <v>-7418</v>
      </c>
      <c r="AH9" t="s">
        <v>536</v>
      </c>
      <c r="AI9">
        <v>485000</v>
      </c>
    </row>
    <row r="10" spans="1:35" x14ac:dyDescent="0.3">
      <c r="A10" s="43" t="s">
        <v>174</v>
      </c>
      <c r="B10" s="186">
        <v>5000</v>
      </c>
      <c r="C10" s="191">
        <v>5000</v>
      </c>
      <c r="D10" s="43"/>
      <c r="E10" s="43" t="s">
        <v>442</v>
      </c>
      <c r="F10" s="73">
        <v>234.82</v>
      </c>
      <c r="I10" s="110" t="s">
        <v>387</v>
      </c>
      <c r="J10" s="159">
        <v>5</v>
      </c>
      <c r="K10" s="159">
        <v>936.51</v>
      </c>
      <c r="L10" s="211">
        <f t="shared" si="1"/>
        <v>4682.55</v>
      </c>
      <c r="M10" s="192">
        <v>45108</v>
      </c>
      <c r="N10" s="43"/>
      <c r="O10" s="43" t="s">
        <v>339</v>
      </c>
      <c r="P10" s="134">
        <v>500000</v>
      </c>
      <c r="S10" s="30"/>
      <c r="W10" s="226" t="s">
        <v>535</v>
      </c>
      <c r="X10" s="243">
        <f>SUM(X4:X8)</f>
        <v>713579.8</v>
      </c>
      <c r="Y10" s="243">
        <f>SUM(Y4:Y8)</f>
        <v>713579.8</v>
      </c>
      <c r="AC10">
        <v>50000</v>
      </c>
      <c r="AH10" t="s">
        <v>537</v>
      </c>
      <c r="AI10">
        <f>2*108675</f>
        <v>217350</v>
      </c>
    </row>
    <row r="11" spans="1:35" x14ac:dyDescent="0.3">
      <c r="A11" s="43" t="s">
        <v>414</v>
      </c>
      <c r="B11" s="186">
        <v>41452</v>
      </c>
      <c r="C11" s="191">
        <v>41452</v>
      </c>
      <c r="D11" s="43" t="s">
        <v>451</v>
      </c>
      <c r="E11" s="43" t="s">
        <v>441</v>
      </c>
      <c r="F11" s="73">
        <v>1419.04</v>
      </c>
      <c r="I11" s="110" t="s">
        <v>380</v>
      </c>
      <c r="J11" s="159">
        <v>5</v>
      </c>
      <c r="K11" s="159">
        <v>959.34</v>
      </c>
      <c r="L11" s="211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  <c r="AC11">
        <v>5000</v>
      </c>
    </row>
    <row r="12" spans="1:35" x14ac:dyDescent="0.3">
      <c r="A12" s="43" t="s">
        <v>285</v>
      </c>
      <c r="B12" s="186">
        <v>4003</v>
      </c>
      <c r="C12" s="191">
        <v>4003</v>
      </c>
      <c r="D12" s="85"/>
      <c r="E12" s="43" t="s">
        <v>443</v>
      </c>
      <c r="F12" s="73">
        <v>3500</v>
      </c>
      <c r="I12" s="110" t="s">
        <v>385</v>
      </c>
      <c r="J12" s="159">
        <v>50</v>
      </c>
      <c r="K12" s="159">
        <v>43.35</v>
      </c>
      <c r="L12" s="211">
        <f t="shared" si="1"/>
        <v>2167.5</v>
      </c>
      <c r="N12" s="43"/>
      <c r="O12" s="43" t="s">
        <v>6</v>
      </c>
      <c r="P12" s="134">
        <v>50000</v>
      </c>
      <c r="AC12">
        <v>10000</v>
      </c>
    </row>
    <row r="13" spans="1:35" x14ac:dyDescent="0.3">
      <c r="A13" s="43" t="s">
        <v>524</v>
      </c>
      <c r="B13" s="186">
        <v>100000</v>
      </c>
      <c r="C13" s="191">
        <v>100000</v>
      </c>
      <c r="D13" s="221">
        <v>45485</v>
      </c>
      <c r="E13" s="43" t="s">
        <v>455</v>
      </c>
      <c r="F13" s="73">
        <v>8000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  <c r="V13" s="293" t="s">
        <v>562</v>
      </c>
      <c r="W13" s="293"/>
      <c r="AC13">
        <v>5000</v>
      </c>
      <c r="AI13">
        <f>SUM(AI9:AI10)</f>
        <v>702350</v>
      </c>
    </row>
    <row r="14" spans="1:35" ht="15" thickBot="1" x14ac:dyDescent="0.35">
      <c r="A14" s="87" t="s">
        <v>547</v>
      </c>
      <c r="B14" s="186">
        <v>10000</v>
      </c>
      <c r="C14" s="191">
        <v>10000</v>
      </c>
      <c r="D14" s="205"/>
      <c r="E14" s="43" t="s">
        <v>456</v>
      </c>
      <c r="F14" s="73">
        <v>1000</v>
      </c>
      <c r="I14" s="169" t="s">
        <v>447</v>
      </c>
      <c r="J14" s="209">
        <v>4</v>
      </c>
      <c r="K14" s="209">
        <v>507.02</v>
      </c>
      <c r="L14" s="210">
        <f t="shared" si="1"/>
        <v>2028.08</v>
      </c>
      <c r="N14" s="43"/>
      <c r="O14" s="43" t="s">
        <v>408</v>
      </c>
      <c r="P14" s="134">
        <v>10000</v>
      </c>
      <c r="V14" s="239"/>
      <c r="W14" s="43" t="s">
        <v>557</v>
      </c>
      <c r="X14" s="231">
        <v>323461</v>
      </c>
      <c r="Y14" s="231">
        <v>323461</v>
      </c>
      <c r="Z14" s="198">
        <v>45500</v>
      </c>
      <c r="AC14">
        <v>2000</v>
      </c>
      <c r="AH14" t="s">
        <v>538</v>
      </c>
      <c r="AI14">
        <v>639000</v>
      </c>
    </row>
    <row r="15" spans="1:35" x14ac:dyDescent="0.3">
      <c r="A15" s="43" t="s">
        <v>548</v>
      </c>
      <c r="B15" s="186">
        <v>5000</v>
      </c>
      <c r="C15" s="191">
        <v>5000</v>
      </c>
      <c r="D15" s="43"/>
      <c r="E15" s="43" t="s">
        <v>457</v>
      </c>
      <c r="F15" s="73">
        <v>5074</v>
      </c>
      <c r="L15" s="193">
        <f>SUM(L4:L14)</f>
        <v>72210.990000000005</v>
      </c>
      <c r="N15" s="43"/>
      <c r="O15" s="43"/>
      <c r="P15" s="134">
        <f>SUM(P10:P14)</f>
        <v>815000</v>
      </c>
      <c r="V15" s="43"/>
      <c r="W15" s="43" t="s">
        <v>561</v>
      </c>
      <c r="X15" s="231">
        <v>8500</v>
      </c>
      <c r="Y15" s="231">
        <v>8500</v>
      </c>
      <c r="Z15" s="198">
        <v>45500</v>
      </c>
      <c r="AC15">
        <v>4000</v>
      </c>
      <c r="AI15">
        <f>AI13-AI14</f>
        <v>63350</v>
      </c>
    </row>
    <row r="16" spans="1:35" x14ac:dyDescent="0.3">
      <c r="A16" s="43" t="s">
        <v>549</v>
      </c>
      <c r="B16" s="186">
        <v>3000</v>
      </c>
      <c r="C16" s="191">
        <v>3000</v>
      </c>
      <c r="D16" s="186">
        <f>SUM(C14:C16)</f>
        <v>18000</v>
      </c>
      <c r="E16" s="43" t="s">
        <v>458</v>
      </c>
      <c r="F16" s="73">
        <v>113280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  <c r="V16" s="43"/>
      <c r="W16" s="226" t="s">
        <v>535</v>
      </c>
      <c r="X16" s="243">
        <f>SUM(X14:X15)</f>
        <v>331961</v>
      </c>
      <c r="Y16" s="243">
        <f>SUM(Y14:Y15)</f>
        <v>331961</v>
      </c>
      <c r="AC16">
        <v>3000</v>
      </c>
    </row>
    <row r="17" spans="1:32" x14ac:dyDescent="0.3">
      <c r="A17" s="73"/>
      <c r="B17" s="73"/>
      <c r="C17" s="73"/>
      <c r="D17" s="202"/>
      <c r="E17" s="43" t="s">
        <v>459</v>
      </c>
      <c r="F17" s="73">
        <v>750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32" ht="15" thickBot="1" x14ac:dyDescent="0.35">
      <c r="A18" s="123" t="s">
        <v>352</v>
      </c>
      <c r="B18" s="123">
        <v>140000</v>
      </c>
      <c r="C18" s="73"/>
      <c r="D18" s="202"/>
      <c r="E18" s="43" t="s">
        <v>463</v>
      </c>
      <c r="F18" s="73">
        <v>1000</v>
      </c>
      <c r="G18" s="167" t="s">
        <v>109</v>
      </c>
      <c r="H18" s="116">
        <v>18195</v>
      </c>
      <c r="I18" s="113" t="s">
        <v>522</v>
      </c>
      <c r="N18" s="43"/>
      <c r="O18" s="43"/>
      <c r="R18" t="s">
        <v>412</v>
      </c>
      <c r="S18" s="73">
        <v>93000</v>
      </c>
      <c r="AC18">
        <f>SUM(AC5:AC16)</f>
        <v>220418</v>
      </c>
    </row>
    <row r="19" spans="1:32" ht="15" thickBot="1" x14ac:dyDescent="0.35">
      <c r="A19" s="123" t="s">
        <v>81</v>
      </c>
      <c r="B19" s="123">
        <v>50000</v>
      </c>
      <c r="C19" s="186"/>
      <c r="D19" s="72"/>
      <c r="E19" s="43" t="s">
        <v>464</v>
      </c>
      <c r="F19" s="73">
        <v>700</v>
      </c>
      <c r="G19" s="181" t="s">
        <v>268</v>
      </c>
      <c r="H19" s="112">
        <v>10526</v>
      </c>
      <c r="I19" s="113" t="s">
        <v>522</v>
      </c>
      <c r="N19" s="43"/>
      <c r="O19" s="104" t="s">
        <v>410</v>
      </c>
      <c r="P19" s="177">
        <f>(P17-P16)</f>
        <v>-151000</v>
      </c>
      <c r="S19" s="73">
        <f>SUM(S17:S18)</f>
        <v>147000</v>
      </c>
      <c r="V19" s="295" t="s">
        <v>526</v>
      </c>
      <c r="W19" s="293"/>
    </row>
    <row r="20" spans="1:32" x14ac:dyDescent="0.3">
      <c r="A20" s="123" t="s">
        <v>565</v>
      </c>
      <c r="B20" s="123">
        <v>250000</v>
      </c>
      <c r="C20" s="186"/>
      <c r="D20" s="72"/>
      <c r="E20" s="43"/>
      <c r="F20" s="73"/>
      <c r="G20" s="181"/>
      <c r="H20" s="112"/>
      <c r="I20" s="113"/>
      <c r="N20" s="43"/>
      <c r="O20" s="104"/>
      <c r="P20" s="30"/>
      <c r="S20" s="73"/>
      <c r="V20" s="43"/>
      <c r="W20" s="43" t="s">
        <v>539</v>
      </c>
      <c r="X20" s="223">
        <f>AB1-X4</f>
        <v>8200000</v>
      </c>
      <c r="Y20" s="233"/>
      <c r="AC20">
        <v>8300000</v>
      </c>
      <c r="AE20" t="s">
        <v>542</v>
      </c>
      <c r="AF20">
        <v>750000</v>
      </c>
    </row>
    <row r="21" spans="1:32" x14ac:dyDescent="0.3">
      <c r="A21" s="123" t="s">
        <v>123</v>
      </c>
      <c r="B21" s="123">
        <v>33000</v>
      </c>
      <c r="C21" s="186"/>
      <c r="D21" s="43"/>
      <c r="E21" s="43" t="s">
        <v>465</v>
      </c>
      <c r="F21" s="73">
        <v>2000</v>
      </c>
      <c r="G21" s="80" t="s">
        <v>298</v>
      </c>
      <c r="H21" s="80">
        <v>5000</v>
      </c>
      <c r="I21" s="113">
        <v>44896</v>
      </c>
      <c r="N21" s="43"/>
      <c r="O21" s="43"/>
      <c r="P21" s="89"/>
      <c r="R21" t="s">
        <v>411</v>
      </c>
      <c r="S21" s="73">
        <v>90000</v>
      </c>
      <c r="V21" s="43"/>
      <c r="W21" s="43" t="s">
        <v>531</v>
      </c>
      <c r="X21" s="245">
        <v>1000000</v>
      </c>
      <c r="Y21" s="235"/>
      <c r="AB21" t="s">
        <v>540</v>
      </c>
      <c r="AC21">
        <v>100000</v>
      </c>
      <c r="AE21" t="s">
        <v>545</v>
      </c>
      <c r="AF21">
        <v>200000</v>
      </c>
    </row>
    <row r="22" spans="1:32" x14ac:dyDescent="0.3">
      <c r="A22" s="123" t="s">
        <v>475</v>
      </c>
      <c r="B22" s="123">
        <v>10000</v>
      </c>
      <c r="C22" s="73"/>
      <c r="D22" s="43" t="s">
        <v>511</v>
      </c>
      <c r="E22" s="43" t="s">
        <v>462</v>
      </c>
      <c r="F22" s="73">
        <v>5000</v>
      </c>
      <c r="G22" s="80" t="s">
        <v>256</v>
      </c>
      <c r="H22" s="80">
        <v>7600</v>
      </c>
      <c r="I22" s="113" t="s">
        <v>523</v>
      </c>
      <c r="K22" s="43" t="s">
        <v>479</v>
      </c>
      <c r="L22" s="43" t="s">
        <v>480</v>
      </c>
      <c r="S22" s="73">
        <f>(S19-S21)</f>
        <v>57000</v>
      </c>
      <c r="V22" s="43"/>
      <c r="W22" s="244" t="s">
        <v>560</v>
      </c>
      <c r="X22" s="231">
        <v>200000</v>
      </c>
      <c r="Y22" s="231">
        <v>200000</v>
      </c>
      <c r="Z22" s="198">
        <v>45502</v>
      </c>
      <c r="AC22">
        <f>AC20-AC21</f>
        <v>8200000</v>
      </c>
      <c r="AE22" t="s">
        <v>544</v>
      </c>
      <c r="AF22">
        <v>300000</v>
      </c>
    </row>
    <row r="23" spans="1:32" x14ac:dyDescent="0.3">
      <c r="A23" s="116" t="s">
        <v>203</v>
      </c>
      <c r="B23" s="190">
        <v>13000</v>
      </c>
      <c r="C23" s="186"/>
      <c r="D23" s="145"/>
      <c r="E23" s="43" t="s">
        <v>467</v>
      </c>
      <c r="F23" s="73">
        <v>6700</v>
      </c>
      <c r="G23" s="115" t="s">
        <v>431</v>
      </c>
      <c r="H23" s="116">
        <v>20481</v>
      </c>
      <c r="I23" s="113" t="s">
        <v>521</v>
      </c>
      <c r="K23" s="43"/>
      <c r="L23" s="43" t="s">
        <v>481</v>
      </c>
      <c r="R23" s="65"/>
      <c r="S23" s="73"/>
      <c r="V23" s="43"/>
      <c r="W23" s="104" t="s">
        <v>558</v>
      </c>
      <c r="X23" s="242">
        <v>400000</v>
      </c>
      <c r="Y23" s="242">
        <v>100000</v>
      </c>
      <c r="Z23" s="198">
        <v>45502</v>
      </c>
      <c r="AB23" t="s">
        <v>541</v>
      </c>
      <c r="AC23">
        <v>500000</v>
      </c>
      <c r="AD23" t="s">
        <v>543</v>
      </c>
      <c r="AF23">
        <f>SUM(AF21:AF22)</f>
        <v>500000</v>
      </c>
    </row>
    <row r="24" spans="1:32" x14ac:dyDescent="0.3">
      <c r="A24" s="115" t="s">
        <v>381</v>
      </c>
      <c r="B24" s="190">
        <v>60000</v>
      </c>
      <c r="C24" s="186"/>
      <c r="D24" s="43"/>
      <c r="E24" s="43" t="s">
        <v>468</v>
      </c>
      <c r="F24" s="73">
        <f>'September 23'!AO30</f>
        <v>0</v>
      </c>
      <c r="G24" s="115"/>
      <c r="H24" s="116"/>
      <c r="I24" s="113"/>
      <c r="K24" s="43"/>
      <c r="L24" s="43" t="s">
        <v>482</v>
      </c>
      <c r="R24" t="s">
        <v>142</v>
      </c>
      <c r="S24" s="73">
        <v>200000</v>
      </c>
      <c r="AC24">
        <f>AC22-AC23</f>
        <v>7700000</v>
      </c>
      <c r="AF24">
        <f>AF23-AF20</f>
        <v>-250000</v>
      </c>
    </row>
    <row r="25" spans="1:32" x14ac:dyDescent="0.3">
      <c r="A25" s="64" t="s">
        <v>5</v>
      </c>
      <c r="B25" s="186">
        <f>SUM(B1:B16)</f>
        <v>405846</v>
      </c>
      <c r="C25" s="186">
        <f>SUM(C1:C17)</f>
        <v>308446</v>
      </c>
      <c r="D25" s="72"/>
      <c r="E25" s="43" t="s">
        <v>469</v>
      </c>
      <c r="F25" s="73">
        <v>51800</v>
      </c>
      <c r="G25" s="124"/>
      <c r="H25" s="118"/>
      <c r="I25" s="113"/>
      <c r="K25" s="43"/>
      <c r="L25" s="43" t="s">
        <v>483</v>
      </c>
      <c r="R25" t="s">
        <v>206</v>
      </c>
      <c r="S25" s="73">
        <f>(S22+S24)</f>
        <v>257000</v>
      </c>
      <c r="AB25" t="s">
        <v>546</v>
      </c>
      <c r="AC25">
        <v>8000000</v>
      </c>
    </row>
    <row r="26" spans="1:32" x14ac:dyDescent="0.3">
      <c r="A26" s="43"/>
      <c r="B26" s="43"/>
      <c r="C26" s="43"/>
      <c r="D26" s="72"/>
      <c r="E26" s="178" t="s">
        <v>470</v>
      </c>
      <c r="F26" s="179">
        <v>22000</v>
      </c>
      <c r="G26" s="43"/>
      <c r="H26" s="106"/>
      <c r="I26" s="114"/>
      <c r="K26" s="199"/>
      <c r="L26" s="43">
        <v>1270</v>
      </c>
      <c r="O26">
        <v>176000</v>
      </c>
      <c r="S26" s="73"/>
      <c r="V26" s="43"/>
      <c r="W26" s="226" t="s">
        <v>535</v>
      </c>
      <c r="X26" s="225">
        <f>SUM(X22:X23)</f>
        <v>600000</v>
      </c>
      <c r="Y26" s="225">
        <f>SUM(Y22:Y23)</f>
        <v>300000</v>
      </c>
    </row>
    <row r="27" spans="1:32" x14ac:dyDescent="0.3">
      <c r="A27" s="64" t="s">
        <v>228</v>
      </c>
      <c r="B27" s="43"/>
      <c r="C27" s="62">
        <f>(C25-B25)</f>
        <v>-97400</v>
      </c>
      <c r="D27" s="43" t="s">
        <v>227</v>
      </c>
      <c r="E27" s="43" t="s">
        <v>471</v>
      </c>
      <c r="F27" s="73">
        <v>11500</v>
      </c>
      <c r="K27" s="73" t="s">
        <v>485</v>
      </c>
      <c r="L27" s="43" t="s">
        <v>484</v>
      </c>
      <c r="O27">
        <v>152000</v>
      </c>
      <c r="R27" t="s">
        <v>413</v>
      </c>
      <c r="S27" s="73">
        <v>260000</v>
      </c>
      <c r="V27" s="43"/>
      <c r="W27" s="43" t="s">
        <v>5</v>
      </c>
      <c r="X27" s="224">
        <f>SUM(X10,X16,X26)</f>
        <v>1645540.8</v>
      </c>
      <c r="Y27" s="236"/>
    </row>
    <row r="28" spans="1:32" x14ac:dyDescent="0.3">
      <c r="A28" s="64"/>
      <c r="B28" s="43"/>
      <c r="C28" s="43"/>
      <c r="D28" s="43"/>
      <c r="E28" s="43" t="s">
        <v>472</v>
      </c>
      <c r="F28" s="73">
        <v>26000</v>
      </c>
      <c r="H28">
        <f>55000-110000</f>
        <v>-55000</v>
      </c>
      <c r="K28" s="43" t="s">
        <v>486</v>
      </c>
      <c r="L28" s="43">
        <v>1250</v>
      </c>
      <c r="O28">
        <f>O26-O27</f>
        <v>24000</v>
      </c>
      <c r="S28" s="30">
        <f>(S27-S25)</f>
        <v>3000</v>
      </c>
    </row>
    <row r="29" spans="1:32" x14ac:dyDescent="0.3">
      <c r="A29" s="64" t="s">
        <v>225</v>
      </c>
      <c r="B29" s="43"/>
      <c r="C29" s="62">
        <f>(F6+C27)</f>
        <v>-86364</v>
      </c>
      <c r="D29" s="43"/>
      <c r="E29" s="43" t="s">
        <v>476</v>
      </c>
      <c r="F29" s="186">
        <v>41600</v>
      </c>
      <c r="K29" s="43" t="s">
        <v>487</v>
      </c>
      <c r="L29" s="43">
        <v>91</v>
      </c>
    </row>
    <row r="30" spans="1:32" x14ac:dyDescent="0.3">
      <c r="F30" s="73">
        <f>SUM(F10:F29)</f>
        <v>301557.86</v>
      </c>
      <c r="K30" s="43"/>
      <c r="L30" s="43">
        <f>L28*L29</f>
        <v>113750</v>
      </c>
      <c r="V30" s="293" t="s">
        <v>532</v>
      </c>
      <c r="W30" s="293"/>
    </row>
    <row r="31" spans="1:32" x14ac:dyDescent="0.3">
      <c r="K31" s="43" t="s">
        <v>488</v>
      </c>
      <c r="L31" s="73">
        <v>99130</v>
      </c>
      <c r="V31" s="43"/>
      <c r="W31" s="43" t="s">
        <v>89</v>
      </c>
      <c r="X31" s="222">
        <v>8000000</v>
      </c>
      <c r="Y31" s="235"/>
    </row>
    <row r="32" spans="1:32" x14ac:dyDescent="0.3">
      <c r="K32" s="43"/>
      <c r="L32" s="106">
        <f>L30+L31</f>
        <v>212880</v>
      </c>
      <c r="O32">
        <f>5000/40</f>
        <v>125</v>
      </c>
      <c r="V32" s="43"/>
      <c r="W32" s="43" t="s">
        <v>533</v>
      </c>
      <c r="X32" s="222">
        <v>578957</v>
      </c>
      <c r="Y32" s="235"/>
    </row>
    <row r="33" spans="11:27" x14ac:dyDescent="0.3">
      <c r="K33" s="178" t="s">
        <v>490</v>
      </c>
      <c r="L33" s="91">
        <v>-109464</v>
      </c>
      <c r="O33">
        <v>23</v>
      </c>
      <c r="P33">
        <f>O32*O33</f>
        <v>2875</v>
      </c>
      <c r="V33" s="43"/>
      <c r="W33" s="43" t="s">
        <v>556</v>
      </c>
      <c r="X33" s="222">
        <v>300000</v>
      </c>
      <c r="Y33" s="235"/>
    </row>
    <row r="34" spans="11:27" x14ac:dyDescent="0.3">
      <c r="K34" s="43" t="s">
        <v>488</v>
      </c>
      <c r="L34" s="200">
        <v>-25000</v>
      </c>
      <c r="P34">
        <v>2875</v>
      </c>
      <c r="V34" s="43"/>
      <c r="W34" s="43" t="s">
        <v>551</v>
      </c>
      <c r="X34" s="43"/>
    </row>
    <row r="35" spans="11:27" x14ac:dyDescent="0.3">
      <c r="K35" s="43" t="s">
        <v>143</v>
      </c>
      <c r="L35" s="73">
        <f>L32+L33+L34</f>
        <v>78416</v>
      </c>
      <c r="P35">
        <v>6000</v>
      </c>
      <c r="V35" s="43"/>
      <c r="W35" s="226" t="s">
        <v>535</v>
      </c>
      <c r="X35" s="227">
        <f>SUM(X31:X33)</f>
        <v>8878957</v>
      </c>
      <c r="Y35" s="237"/>
    </row>
    <row r="36" spans="11:27" x14ac:dyDescent="0.3">
      <c r="V36" s="43"/>
      <c r="W36" s="43" t="s">
        <v>534</v>
      </c>
      <c r="X36" s="228">
        <f>X35-X27</f>
        <v>7233416.2000000002</v>
      </c>
      <c r="Y36" s="238"/>
    </row>
    <row r="37" spans="11:27" x14ac:dyDescent="0.3">
      <c r="X37" s="233"/>
      <c r="Y37" s="233"/>
    </row>
    <row r="39" spans="11:27" x14ac:dyDescent="0.3">
      <c r="V39" s="229" t="s">
        <v>551</v>
      </c>
      <c r="W39" s="229"/>
      <c r="X39" s="229"/>
      <c r="Y39" s="229"/>
      <c r="Z39" s="232" t="s">
        <v>26</v>
      </c>
      <c r="AA39" s="232" t="s">
        <v>214</v>
      </c>
    </row>
    <row r="40" spans="11:27" x14ac:dyDescent="0.3">
      <c r="V40" s="43"/>
      <c r="W40" s="43" t="s">
        <v>494</v>
      </c>
      <c r="X40" s="222">
        <v>165000</v>
      </c>
      <c r="Y40" s="222"/>
      <c r="Z40" s="222"/>
      <c r="AA40" s="223">
        <f t="shared" ref="AA40:AA45" si="2">X40-Z40</f>
        <v>165000</v>
      </c>
    </row>
    <row r="41" spans="11:27" x14ac:dyDescent="0.3">
      <c r="V41" s="221">
        <v>45497</v>
      </c>
      <c r="W41" s="43" t="s">
        <v>545</v>
      </c>
      <c r="X41" s="222">
        <v>250000</v>
      </c>
      <c r="Y41" s="222"/>
      <c r="Z41" s="222"/>
      <c r="AA41" s="223">
        <f t="shared" si="2"/>
        <v>250000</v>
      </c>
    </row>
    <row r="42" spans="11:27" x14ac:dyDescent="0.3">
      <c r="V42" s="221">
        <v>45497</v>
      </c>
      <c r="W42" s="43" t="s">
        <v>552</v>
      </c>
      <c r="X42" s="222">
        <v>100000</v>
      </c>
      <c r="Y42" s="222"/>
      <c r="Z42" s="222">
        <v>100000</v>
      </c>
      <c r="AA42" s="223">
        <f t="shared" si="2"/>
        <v>0</v>
      </c>
    </row>
    <row r="43" spans="11:27" x14ac:dyDescent="0.3">
      <c r="V43" s="221">
        <v>45498</v>
      </c>
      <c r="W43" s="43" t="s">
        <v>553</v>
      </c>
      <c r="X43" s="222">
        <v>50000</v>
      </c>
      <c r="Y43" s="222"/>
      <c r="Z43" s="222">
        <v>50000</v>
      </c>
      <c r="AA43" s="223">
        <f t="shared" si="2"/>
        <v>0</v>
      </c>
    </row>
    <row r="44" spans="11:27" x14ac:dyDescent="0.3">
      <c r="V44" s="221">
        <v>45500</v>
      </c>
      <c r="W44" s="43" t="s">
        <v>554</v>
      </c>
      <c r="X44" s="222">
        <v>120000</v>
      </c>
      <c r="Y44" s="222"/>
      <c r="Z44" s="222">
        <v>120000</v>
      </c>
      <c r="AA44" s="223">
        <f t="shared" si="2"/>
        <v>0</v>
      </c>
    </row>
    <row r="45" spans="11:27" x14ac:dyDescent="0.3">
      <c r="V45" s="221">
        <v>45500</v>
      </c>
      <c r="W45" s="43" t="s">
        <v>553</v>
      </c>
      <c r="X45" s="234">
        <v>240000</v>
      </c>
      <c r="Y45" s="234"/>
      <c r="Z45" s="222">
        <v>100000</v>
      </c>
      <c r="AA45" s="223">
        <f t="shared" si="2"/>
        <v>140000</v>
      </c>
    </row>
    <row r="46" spans="11:27" x14ac:dyDescent="0.3">
      <c r="V46" s="221">
        <v>45500</v>
      </c>
      <c r="W46" s="43" t="s">
        <v>555</v>
      </c>
      <c r="X46" s="222">
        <v>600000</v>
      </c>
      <c r="Y46" s="222"/>
      <c r="Z46" s="222">
        <v>300000</v>
      </c>
      <c r="AA46" s="223">
        <f>X46-Z46</f>
        <v>300000</v>
      </c>
    </row>
    <row r="48" spans="11:27" x14ac:dyDescent="0.3">
      <c r="X48" s="223">
        <f>SUM(X40:X45)</f>
        <v>925000</v>
      </c>
      <c r="Y48" s="223"/>
      <c r="Z48" s="223">
        <f>SUM(Z40:Z46)</f>
        <v>670000</v>
      </c>
      <c r="AA48" s="223">
        <f>SUM(AA40:AA46)</f>
        <v>855000</v>
      </c>
    </row>
  </sheetData>
  <mergeCells count="8">
    <mergeCell ref="V19:W19"/>
    <mergeCell ref="V30:W30"/>
    <mergeCell ref="E1:F1"/>
    <mergeCell ref="I1:L1"/>
    <mergeCell ref="V3:W3"/>
    <mergeCell ref="J4:L4"/>
    <mergeCell ref="V5:V7"/>
    <mergeCell ref="V13:W13"/>
  </mergeCells>
  <pageMargins left="0.7" right="0.7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A47F-30F6-4FAD-918C-227664CDD2CD}">
  <dimension ref="A1:AI52"/>
  <sheetViews>
    <sheetView workbookViewId="0">
      <selection activeCell="A19" sqref="A19"/>
    </sheetView>
  </sheetViews>
  <sheetFormatPr defaultRowHeight="14.4" x14ac:dyDescent="0.3"/>
  <cols>
    <col min="1" max="1" width="20.33203125" bestFit="1" customWidth="1"/>
    <col min="2" max="2" width="9.44140625" bestFit="1" customWidth="1"/>
    <col min="3" max="3" width="13.44140625" bestFit="1" customWidth="1"/>
    <col min="4" max="4" width="13.33203125" bestFit="1" customWidth="1"/>
    <col min="5" max="5" width="15.88671875" bestFit="1" customWidth="1"/>
    <col min="6" max="6" width="10.44140625" bestFit="1" customWidth="1"/>
    <col min="7" max="7" width="16.6640625" bestFit="1" customWidth="1"/>
    <col min="9" max="9" width="14" bestFit="1" customWidth="1"/>
    <col min="11" max="11" width="14" bestFit="1" customWidth="1"/>
    <col min="12" max="12" width="11.33203125" bestFit="1" customWidth="1"/>
    <col min="16" max="16" width="17.5546875" bestFit="1" customWidth="1"/>
    <col min="17" max="17" width="9.6640625" bestFit="1" customWidth="1"/>
    <col min="18" max="18" width="11.109375" bestFit="1" customWidth="1"/>
    <col min="19" max="19" width="13.33203125" bestFit="1" customWidth="1"/>
    <col min="22" max="22" width="14.44140625" bestFit="1" customWidth="1"/>
    <col min="23" max="23" width="33.33203125" bestFit="1" customWidth="1"/>
    <col min="24" max="24" width="14.5546875" bestFit="1" customWidth="1"/>
    <col min="25" max="25" width="14.5546875" customWidth="1"/>
    <col min="26" max="26" width="12.33203125" bestFit="1" customWidth="1"/>
    <col min="27" max="27" width="12.6640625" bestFit="1" customWidth="1"/>
    <col min="28" max="28" width="12.33203125" bestFit="1" customWidth="1"/>
    <col min="33" max="33" width="8" bestFit="1" customWidth="1"/>
    <col min="34" max="34" width="12.33203125" bestFit="1" customWidth="1"/>
  </cols>
  <sheetData>
    <row r="1" spans="1:35" ht="15" thickBot="1" x14ac:dyDescent="0.35">
      <c r="A1" s="43" t="s">
        <v>6</v>
      </c>
      <c r="B1" s="186">
        <v>18000</v>
      </c>
      <c r="C1" s="186"/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  <c r="AA1" s="241" t="s">
        <v>563</v>
      </c>
      <c r="AB1" s="240">
        <v>8300000</v>
      </c>
    </row>
    <row r="2" spans="1:35" x14ac:dyDescent="0.3">
      <c r="A2" s="43" t="s">
        <v>0</v>
      </c>
      <c r="B2" s="186">
        <v>79684.899999999994</v>
      </c>
      <c r="C2" s="191">
        <v>25000</v>
      </c>
      <c r="D2" s="186" t="s">
        <v>451</v>
      </c>
      <c r="E2" s="43"/>
      <c r="F2" s="73"/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35" x14ac:dyDescent="0.3">
      <c r="A3" s="43" t="s">
        <v>1</v>
      </c>
      <c r="B3" s="186">
        <v>5000</v>
      </c>
      <c r="C3" s="191">
        <v>5000</v>
      </c>
      <c r="D3" s="43"/>
      <c r="E3" s="43" t="s">
        <v>265</v>
      </c>
      <c r="F3" s="73">
        <v>513</v>
      </c>
      <c r="G3" s="73"/>
      <c r="H3" s="30"/>
      <c r="I3" s="110" t="s">
        <v>382</v>
      </c>
      <c r="J3" s="159">
        <v>10</v>
      </c>
      <c r="K3" s="159">
        <v>999</v>
      </c>
      <c r="L3" s="211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  <c r="V3" s="293" t="s">
        <v>525</v>
      </c>
      <c r="W3" s="293"/>
    </row>
    <row r="4" spans="1:35" x14ac:dyDescent="0.3">
      <c r="A4" s="43" t="s">
        <v>2</v>
      </c>
      <c r="B4" s="186">
        <v>2000</v>
      </c>
      <c r="C4" s="191">
        <v>2000</v>
      </c>
      <c r="D4" s="43"/>
      <c r="E4" s="43" t="s">
        <v>204</v>
      </c>
      <c r="F4" s="73">
        <v>11000</v>
      </c>
      <c r="G4" s="73"/>
      <c r="I4" s="110" t="s">
        <v>379</v>
      </c>
      <c r="J4" s="290" t="s">
        <v>473</v>
      </c>
      <c r="K4" s="291"/>
      <c r="L4" s="292"/>
      <c r="M4" s="192">
        <v>44682</v>
      </c>
      <c r="N4" s="43"/>
      <c r="O4" s="43"/>
      <c r="P4" s="73"/>
      <c r="R4" s="43"/>
      <c r="S4" s="73"/>
      <c r="V4" s="157"/>
      <c r="W4" s="157" t="s">
        <v>559</v>
      </c>
      <c r="X4" s="230">
        <v>100000</v>
      </c>
      <c r="Y4" s="230">
        <v>100000</v>
      </c>
      <c r="Z4" s="198">
        <v>45485</v>
      </c>
    </row>
    <row r="5" spans="1:35" ht="14.4" customHeight="1" x14ac:dyDescent="0.3">
      <c r="A5" s="43" t="s">
        <v>89</v>
      </c>
      <c r="B5" s="186">
        <v>33953</v>
      </c>
      <c r="C5" s="191">
        <v>33953</v>
      </c>
      <c r="D5" s="43" t="s">
        <v>450</v>
      </c>
      <c r="E5" s="43" t="s">
        <v>205</v>
      </c>
      <c r="F5" s="73">
        <v>36</v>
      </c>
      <c r="I5" s="110" t="s">
        <v>19</v>
      </c>
      <c r="J5" s="159">
        <v>22</v>
      </c>
      <c r="K5" s="159">
        <v>1321.63</v>
      </c>
      <c r="L5" s="211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  <c r="V5" s="294" t="s">
        <v>529</v>
      </c>
      <c r="W5" s="43" t="s">
        <v>550</v>
      </c>
      <c r="X5" s="231">
        <v>18000</v>
      </c>
      <c r="Y5" s="231">
        <v>18000</v>
      </c>
      <c r="Z5" s="198">
        <v>45492</v>
      </c>
      <c r="AC5">
        <v>34000</v>
      </c>
    </row>
    <row r="6" spans="1:35" x14ac:dyDescent="0.3">
      <c r="A6" s="43" t="s">
        <v>3</v>
      </c>
      <c r="B6" s="186">
        <v>2000</v>
      </c>
      <c r="C6" s="191">
        <v>2000</v>
      </c>
      <c r="D6" s="43"/>
      <c r="E6" s="43" t="s">
        <v>6</v>
      </c>
      <c r="F6" s="73">
        <f>SUM(F4:F5)</f>
        <v>11036</v>
      </c>
      <c r="I6" s="110" t="s">
        <v>362</v>
      </c>
      <c r="J6" s="159">
        <v>6</v>
      </c>
      <c r="K6" s="159">
        <v>1918.68</v>
      </c>
      <c r="L6" s="211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  <c r="V6" s="294"/>
      <c r="W6" s="43" t="s">
        <v>528</v>
      </c>
      <c r="X6" s="231">
        <v>41000</v>
      </c>
      <c r="Y6" s="231">
        <v>41000</v>
      </c>
      <c r="Z6" s="198">
        <v>45498</v>
      </c>
      <c r="AC6">
        <v>65000</v>
      </c>
    </row>
    <row r="7" spans="1:35" x14ac:dyDescent="0.3">
      <c r="A7" s="43" t="s">
        <v>9</v>
      </c>
      <c r="B7" s="186">
        <v>2300</v>
      </c>
      <c r="C7" s="191">
        <v>2300</v>
      </c>
      <c r="D7" s="43"/>
      <c r="E7" s="43" t="s">
        <v>403</v>
      </c>
      <c r="F7" s="44">
        <f>B25</f>
        <v>426175.9</v>
      </c>
      <c r="I7" s="110" t="s">
        <v>363</v>
      </c>
      <c r="J7" s="159">
        <v>5</v>
      </c>
      <c r="K7" s="159">
        <v>1049.19</v>
      </c>
      <c r="L7" s="211">
        <f t="shared" si="1"/>
        <v>5245.9500000000007</v>
      </c>
      <c r="M7" s="192">
        <v>45108</v>
      </c>
      <c r="N7" s="43"/>
      <c r="O7" s="43"/>
      <c r="P7" s="73"/>
      <c r="R7" s="43"/>
      <c r="S7" s="73"/>
      <c r="V7" s="294"/>
      <c r="W7" s="43" t="s">
        <v>530</v>
      </c>
      <c r="X7" s="231">
        <v>7000</v>
      </c>
      <c r="Y7" s="231">
        <v>7000</v>
      </c>
      <c r="Z7" s="198">
        <v>45498</v>
      </c>
      <c r="AC7">
        <v>11418</v>
      </c>
    </row>
    <row r="8" spans="1:35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9">
        <v>11</v>
      </c>
      <c r="K8" s="159">
        <v>470.99</v>
      </c>
      <c r="L8" s="211">
        <f t="shared" si="1"/>
        <v>5180.8900000000003</v>
      </c>
      <c r="M8" s="192">
        <v>45108</v>
      </c>
      <c r="N8" s="43"/>
      <c r="O8" s="43"/>
      <c r="P8" s="108">
        <f>SUM(P3:P6)</f>
        <v>2240000</v>
      </c>
      <c r="R8" s="43"/>
      <c r="S8" s="73">
        <f>SUM(S3:S6)</f>
        <v>1290975</v>
      </c>
      <c r="V8" s="43"/>
      <c r="W8" s="43" t="s">
        <v>527</v>
      </c>
      <c r="X8" s="231">
        <v>547579.80000000005</v>
      </c>
      <c r="Y8" s="231">
        <v>547579.80000000005</v>
      </c>
      <c r="Z8" s="198">
        <v>45498</v>
      </c>
      <c r="AC8">
        <v>25000</v>
      </c>
      <c r="AE8">
        <f>133000+80000</f>
        <v>213000</v>
      </c>
    </row>
    <row r="9" spans="1:35" x14ac:dyDescent="0.3">
      <c r="A9" s="43" t="s">
        <v>107</v>
      </c>
      <c r="B9" s="186">
        <v>619</v>
      </c>
      <c r="C9" s="191">
        <v>619</v>
      </c>
      <c r="D9" s="43"/>
      <c r="E9" s="43"/>
      <c r="F9" s="43"/>
      <c r="I9" s="110" t="s">
        <v>377</v>
      </c>
      <c r="J9" s="159">
        <v>4</v>
      </c>
      <c r="K9" s="159">
        <v>1376.72</v>
      </c>
      <c r="L9" s="211">
        <f t="shared" si="1"/>
        <v>5506.88</v>
      </c>
      <c r="N9" s="43"/>
      <c r="O9" s="43"/>
      <c r="P9" s="73"/>
      <c r="R9" s="43"/>
      <c r="S9" s="73"/>
      <c r="AC9">
        <v>6000</v>
      </c>
      <c r="AE9">
        <f>AE8-AC18</f>
        <v>-7418</v>
      </c>
      <c r="AH9" t="s">
        <v>536</v>
      </c>
      <c r="AI9">
        <v>485000</v>
      </c>
    </row>
    <row r="10" spans="1:35" x14ac:dyDescent="0.3">
      <c r="A10" s="43" t="s">
        <v>174</v>
      </c>
      <c r="B10" s="186">
        <v>5000</v>
      </c>
      <c r="C10" s="191">
        <v>1500</v>
      </c>
      <c r="D10" s="43"/>
      <c r="E10" s="43" t="s">
        <v>442</v>
      </c>
      <c r="F10" s="73">
        <v>234.82</v>
      </c>
      <c r="I10" s="110" t="s">
        <v>387</v>
      </c>
      <c r="J10" s="159">
        <v>5</v>
      </c>
      <c r="K10" s="159">
        <v>936.51</v>
      </c>
      <c r="L10" s="211">
        <f t="shared" si="1"/>
        <v>4682.55</v>
      </c>
      <c r="M10" s="192">
        <v>45108</v>
      </c>
      <c r="N10" s="43"/>
      <c r="O10" s="43" t="s">
        <v>339</v>
      </c>
      <c r="P10" s="134">
        <v>500000</v>
      </c>
      <c r="S10" s="30"/>
      <c r="W10" s="226" t="s">
        <v>535</v>
      </c>
      <c r="X10" s="243">
        <f>SUM(X4:X8)</f>
        <v>713579.8</v>
      </c>
      <c r="Y10" s="243">
        <f>SUM(Y4:Y8)</f>
        <v>713579.8</v>
      </c>
      <c r="AC10">
        <v>50000</v>
      </c>
      <c r="AH10" t="s">
        <v>537</v>
      </c>
      <c r="AI10">
        <f>2*108675</f>
        <v>217350</v>
      </c>
    </row>
    <row r="11" spans="1:35" x14ac:dyDescent="0.3">
      <c r="A11" s="43" t="s">
        <v>564</v>
      </c>
      <c r="B11" s="186">
        <v>66800</v>
      </c>
      <c r="C11" s="191">
        <v>66800</v>
      </c>
      <c r="D11" s="43" t="s">
        <v>567</v>
      </c>
      <c r="E11" s="43" t="s">
        <v>441</v>
      </c>
      <c r="F11" s="73">
        <v>1419.04</v>
      </c>
      <c r="I11" s="110" t="s">
        <v>380</v>
      </c>
      <c r="J11" s="159">
        <v>5</v>
      </c>
      <c r="K11" s="159">
        <v>959.34</v>
      </c>
      <c r="L11" s="211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  <c r="AC11">
        <v>5000</v>
      </c>
    </row>
    <row r="12" spans="1:35" x14ac:dyDescent="0.3">
      <c r="A12" s="43" t="s">
        <v>285</v>
      </c>
      <c r="B12" s="186">
        <v>4400</v>
      </c>
      <c r="C12" s="191">
        <v>4400</v>
      </c>
      <c r="D12" s="85"/>
      <c r="E12" s="43" t="s">
        <v>443</v>
      </c>
      <c r="F12" s="73">
        <v>3500</v>
      </c>
      <c r="I12" s="110" t="s">
        <v>385</v>
      </c>
      <c r="J12" s="159">
        <v>50</v>
      </c>
      <c r="K12" s="159">
        <v>43.35</v>
      </c>
      <c r="L12" s="211">
        <f t="shared" si="1"/>
        <v>2167.5</v>
      </c>
      <c r="N12" s="43"/>
      <c r="O12" s="43" t="s">
        <v>6</v>
      </c>
      <c r="P12" s="134">
        <v>50000</v>
      </c>
      <c r="AC12">
        <v>10000</v>
      </c>
    </row>
    <row r="13" spans="1:35" x14ac:dyDescent="0.3">
      <c r="A13" s="43" t="s">
        <v>123</v>
      </c>
      <c r="B13" s="186">
        <v>120000</v>
      </c>
      <c r="C13" s="191">
        <v>120000</v>
      </c>
      <c r="D13" s="221"/>
      <c r="E13" s="43" t="s">
        <v>455</v>
      </c>
      <c r="F13" s="73">
        <v>8000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  <c r="V13" s="293" t="s">
        <v>562</v>
      </c>
      <c r="W13" s="293"/>
      <c r="AC13">
        <v>5000</v>
      </c>
      <c r="AI13">
        <f>SUM(AI9:AI10)</f>
        <v>702350</v>
      </c>
    </row>
    <row r="14" spans="1:35" ht="15" thickBot="1" x14ac:dyDescent="0.35">
      <c r="A14" s="87" t="s">
        <v>570</v>
      </c>
      <c r="B14" s="186">
        <v>75000</v>
      </c>
      <c r="C14" s="191">
        <v>75000</v>
      </c>
      <c r="D14" s="248">
        <v>45522</v>
      </c>
      <c r="E14" s="43" t="s">
        <v>456</v>
      </c>
      <c r="F14" s="73">
        <v>1000</v>
      </c>
      <c r="I14" s="169" t="s">
        <v>447</v>
      </c>
      <c r="J14" s="209">
        <v>4</v>
      </c>
      <c r="K14" s="209">
        <v>507.02</v>
      </c>
      <c r="L14" s="210">
        <f t="shared" si="1"/>
        <v>2028.08</v>
      </c>
      <c r="N14" s="43"/>
      <c r="O14" s="43" t="s">
        <v>408</v>
      </c>
      <c r="P14" s="134">
        <v>10000</v>
      </c>
      <c r="V14" s="239"/>
      <c r="W14" s="43" t="s">
        <v>557</v>
      </c>
      <c r="X14" s="231">
        <v>323461</v>
      </c>
      <c r="Y14" s="231">
        <v>323461</v>
      </c>
      <c r="Z14" s="198">
        <v>45500</v>
      </c>
      <c r="AC14">
        <v>2000</v>
      </c>
      <c r="AH14" t="s">
        <v>538</v>
      </c>
      <c r="AI14">
        <v>639000</v>
      </c>
    </row>
    <row r="15" spans="1:35" x14ac:dyDescent="0.3">
      <c r="A15" s="43"/>
      <c r="B15" s="186"/>
      <c r="C15" s="186"/>
      <c r="D15" s="43"/>
      <c r="E15" s="43" t="s">
        <v>457</v>
      </c>
      <c r="F15" s="73">
        <v>5074</v>
      </c>
      <c r="L15" s="193">
        <f>SUM(L4:L14)</f>
        <v>72210.990000000005</v>
      </c>
      <c r="N15" s="43"/>
      <c r="O15" s="43"/>
      <c r="P15" s="134">
        <f>SUM(P10:P14)</f>
        <v>815000</v>
      </c>
      <c r="V15" s="43"/>
      <c r="W15" s="43" t="s">
        <v>561</v>
      </c>
      <c r="X15" s="231">
        <v>8500</v>
      </c>
      <c r="Y15" s="231">
        <v>8500</v>
      </c>
      <c r="Z15" s="198">
        <v>45500</v>
      </c>
      <c r="AC15">
        <v>4000</v>
      </c>
      <c r="AI15">
        <f>AI13-AI14</f>
        <v>63350</v>
      </c>
    </row>
    <row r="16" spans="1:35" x14ac:dyDescent="0.3">
      <c r="A16" s="43"/>
      <c r="B16" s="186"/>
      <c r="C16" s="186"/>
      <c r="D16" s="186">
        <f>SUM(C14:C16)</f>
        <v>75000</v>
      </c>
      <c r="E16" s="43" t="s">
        <v>458</v>
      </c>
      <c r="F16" s="73">
        <v>113280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  <c r="V16" s="43"/>
      <c r="W16" s="226" t="s">
        <v>535</v>
      </c>
      <c r="X16" s="243">
        <f>SUM(X14:X15)</f>
        <v>331961</v>
      </c>
      <c r="Y16" s="243">
        <f>SUM(Y14:Y15)</f>
        <v>331961</v>
      </c>
      <c r="AC16">
        <v>3000</v>
      </c>
    </row>
    <row r="17" spans="1:34" x14ac:dyDescent="0.3">
      <c r="A17" s="73"/>
      <c r="B17" s="73"/>
      <c r="C17" s="73"/>
      <c r="D17" s="202"/>
      <c r="E17" s="43" t="s">
        <v>459</v>
      </c>
      <c r="F17" s="73">
        <v>750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34" ht="15" thickBot="1" x14ac:dyDescent="0.35">
      <c r="A18" s="123" t="s">
        <v>123</v>
      </c>
      <c r="B18" s="123">
        <v>140000</v>
      </c>
      <c r="C18" s="73">
        <v>125000</v>
      </c>
      <c r="D18" s="202">
        <v>15000</v>
      </c>
      <c r="E18" s="43" t="s">
        <v>463</v>
      </c>
      <c r="F18" s="73">
        <v>1000</v>
      </c>
      <c r="G18" s="167" t="s">
        <v>109</v>
      </c>
      <c r="H18" s="116">
        <v>18195</v>
      </c>
      <c r="I18" s="113" t="s">
        <v>522</v>
      </c>
      <c r="N18" s="43"/>
      <c r="O18" s="43"/>
      <c r="R18" t="s">
        <v>412</v>
      </c>
      <c r="S18" s="73">
        <v>93000</v>
      </c>
      <c r="AC18">
        <f>SUM(AC5:AC16)</f>
        <v>220418</v>
      </c>
    </row>
    <row r="19" spans="1:34" ht="15" thickBot="1" x14ac:dyDescent="0.35">
      <c r="A19" s="123" t="s">
        <v>81</v>
      </c>
      <c r="B19" s="123">
        <v>50000</v>
      </c>
      <c r="C19" s="186"/>
      <c r="D19" s="72"/>
      <c r="E19" s="43" t="s">
        <v>464</v>
      </c>
      <c r="F19" s="73">
        <v>700</v>
      </c>
      <c r="G19" s="181" t="s">
        <v>268</v>
      </c>
      <c r="H19" s="112">
        <v>10526</v>
      </c>
      <c r="I19" s="113" t="s">
        <v>522</v>
      </c>
      <c r="N19" s="43"/>
      <c r="O19" s="104" t="s">
        <v>410</v>
      </c>
      <c r="P19" s="177">
        <f>(P17-P16)</f>
        <v>-151000</v>
      </c>
      <c r="S19" s="73">
        <f>SUM(S17:S18)</f>
        <v>147000</v>
      </c>
      <c r="V19" s="295" t="s">
        <v>526</v>
      </c>
      <c r="W19" s="293"/>
    </row>
    <row r="20" spans="1:34" x14ac:dyDescent="0.3">
      <c r="A20" s="123"/>
      <c r="B20" s="123"/>
      <c r="C20" s="186"/>
      <c r="D20" s="72"/>
      <c r="E20" s="43"/>
      <c r="F20" s="73"/>
      <c r="G20" s="181"/>
      <c r="H20" s="112"/>
      <c r="I20" s="113"/>
      <c r="N20" s="43"/>
      <c r="O20" s="104"/>
      <c r="P20" s="30"/>
      <c r="S20" s="73"/>
      <c r="V20" s="43"/>
      <c r="W20" s="43" t="s">
        <v>539</v>
      </c>
      <c r="X20" s="223">
        <f>AB1-X4</f>
        <v>8200000</v>
      </c>
      <c r="Y20" s="233"/>
      <c r="AC20">
        <v>8300000</v>
      </c>
      <c r="AE20" t="s">
        <v>542</v>
      </c>
      <c r="AF20">
        <v>750000</v>
      </c>
    </row>
    <row r="21" spans="1:34" x14ac:dyDescent="0.3">
      <c r="A21" s="123" t="s">
        <v>123</v>
      </c>
      <c r="B21" s="123">
        <v>33000</v>
      </c>
      <c r="C21" s="186"/>
      <c r="D21" s="43"/>
      <c r="E21" s="43" t="s">
        <v>465</v>
      </c>
      <c r="F21" s="73">
        <v>2000</v>
      </c>
      <c r="G21" s="80" t="s">
        <v>298</v>
      </c>
      <c r="H21" s="80">
        <v>5000</v>
      </c>
      <c r="I21" s="113">
        <v>44896</v>
      </c>
      <c r="N21" s="43"/>
      <c r="O21" s="43"/>
      <c r="P21" s="89"/>
      <c r="R21" t="s">
        <v>411</v>
      </c>
      <c r="S21" s="73">
        <v>90000</v>
      </c>
      <c r="V21" s="43"/>
      <c r="W21" s="43" t="s">
        <v>531</v>
      </c>
      <c r="X21" s="245">
        <v>1000000</v>
      </c>
      <c r="Y21" s="235"/>
      <c r="AB21" t="s">
        <v>540</v>
      </c>
      <c r="AC21">
        <v>100000</v>
      </c>
      <c r="AE21" t="s">
        <v>545</v>
      </c>
      <c r="AF21">
        <v>200000</v>
      </c>
    </row>
    <row r="22" spans="1:34" x14ac:dyDescent="0.3">
      <c r="A22" s="123" t="s">
        <v>475</v>
      </c>
      <c r="B22" s="123">
        <v>10000</v>
      </c>
      <c r="C22" s="73"/>
      <c r="D22" s="43" t="s">
        <v>511</v>
      </c>
      <c r="E22" s="43" t="s">
        <v>462</v>
      </c>
      <c r="F22" s="73">
        <v>5000</v>
      </c>
      <c r="G22" s="80" t="s">
        <v>256</v>
      </c>
      <c r="H22" s="80">
        <v>7600</v>
      </c>
      <c r="I22" s="113" t="s">
        <v>523</v>
      </c>
      <c r="K22" s="43" t="s">
        <v>479</v>
      </c>
      <c r="L22" s="43" t="s">
        <v>480</v>
      </c>
      <c r="S22" s="73">
        <f>(S19-S21)</f>
        <v>57000</v>
      </c>
      <c r="V22" s="43"/>
      <c r="W22" s="244" t="s">
        <v>560</v>
      </c>
      <c r="X22" s="231">
        <v>200000</v>
      </c>
      <c r="Y22" s="231">
        <v>200000</v>
      </c>
      <c r="Z22" s="198">
        <v>45502</v>
      </c>
      <c r="AC22">
        <f>AC20-AC21</f>
        <v>8200000</v>
      </c>
      <c r="AE22" t="s">
        <v>544</v>
      </c>
      <c r="AF22">
        <v>300000</v>
      </c>
    </row>
    <row r="23" spans="1:34" x14ac:dyDescent="0.3">
      <c r="A23" s="116" t="s">
        <v>203</v>
      </c>
      <c r="B23" s="190">
        <v>13000</v>
      </c>
      <c r="C23" s="186"/>
      <c r="D23" s="145"/>
      <c r="E23" s="43" t="s">
        <v>467</v>
      </c>
      <c r="F23" s="73">
        <v>6700</v>
      </c>
      <c r="G23" s="115" t="s">
        <v>431</v>
      </c>
      <c r="H23" s="116">
        <v>20481</v>
      </c>
      <c r="I23" s="113" t="s">
        <v>521</v>
      </c>
      <c r="K23" s="43"/>
      <c r="L23" s="43" t="s">
        <v>481</v>
      </c>
      <c r="R23" s="65"/>
      <c r="S23" s="73"/>
      <c r="V23" s="43"/>
      <c r="W23" s="104" t="s">
        <v>558</v>
      </c>
      <c r="X23" s="242">
        <v>400000</v>
      </c>
      <c r="Y23" s="242">
        <v>100000</v>
      </c>
      <c r="Z23" s="198">
        <v>45502</v>
      </c>
      <c r="AB23" t="s">
        <v>541</v>
      </c>
      <c r="AC23">
        <v>500000</v>
      </c>
      <c r="AD23" t="s">
        <v>543</v>
      </c>
      <c r="AF23">
        <f>SUM(AF21:AF22)</f>
        <v>500000</v>
      </c>
    </row>
    <row r="24" spans="1:34" x14ac:dyDescent="0.3">
      <c r="A24" s="115" t="s">
        <v>381</v>
      </c>
      <c r="B24" s="190">
        <v>60000</v>
      </c>
      <c r="C24" s="186">
        <v>40000</v>
      </c>
      <c r="D24" s="43">
        <v>20000</v>
      </c>
      <c r="E24" s="43" t="s">
        <v>468</v>
      </c>
      <c r="F24" s="73">
        <f>'September 23'!AO30</f>
        <v>0</v>
      </c>
      <c r="G24" s="115"/>
      <c r="H24" s="116"/>
      <c r="I24" s="113"/>
      <c r="K24" s="43"/>
      <c r="L24" s="43" t="s">
        <v>482</v>
      </c>
      <c r="R24" t="s">
        <v>142</v>
      </c>
      <c r="S24" s="73">
        <v>200000</v>
      </c>
      <c r="V24" s="43"/>
      <c r="W24" s="43" t="s">
        <v>571</v>
      </c>
      <c r="X24" s="231">
        <v>7500</v>
      </c>
      <c r="Y24" s="231">
        <v>7500</v>
      </c>
      <c r="AC24">
        <f>AC22-AC23</f>
        <v>7700000</v>
      </c>
      <c r="AF24">
        <f>AF23-AF20</f>
        <v>-250000</v>
      </c>
    </row>
    <row r="25" spans="1:34" x14ac:dyDescent="0.3">
      <c r="A25" s="64" t="s">
        <v>5</v>
      </c>
      <c r="B25" s="186">
        <f>SUM(B1:B16)</f>
        <v>426175.9</v>
      </c>
      <c r="C25" s="186">
        <f>SUM(C1:C17)</f>
        <v>349991</v>
      </c>
      <c r="D25" s="72"/>
      <c r="E25" s="43" t="s">
        <v>469</v>
      </c>
      <c r="F25" s="73">
        <v>51800</v>
      </c>
      <c r="G25" s="124"/>
      <c r="H25" s="118"/>
      <c r="I25" s="113"/>
      <c r="K25" s="43"/>
      <c r="L25" s="43" t="s">
        <v>483</v>
      </c>
      <c r="R25" t="s">
        <v>206</v>
      </c>
      <c r="S25" s="73">
        <f>(S22+S24)</f>
        <v>257000</v>
      </c>
      <c r="AB25" t="s">
        <v>546</v>
      </c>
      <c r="AC25">
        <v>8000000</v>
      </c>
    </row>
    <row r="26" spans="1:34" x14ac:dyDescent="0.3">
      <c r="A26" s="43"/>
      <c r="B26" s="43"/>
      <c r="C26" s="43"/>
      <c r="D26" s="72"/>
      <c r="E26" s="178" t="s">
        <v>470</v>
      </c>
      <c r="F26" s="179">
        <v>22000</v>
      </c>
      <c r="G26" s="43"/>
      <c r="H26" s="106"/>
      <c r="I26" s="114"/>
      <c r="K26" s="199"/>
      <c r="L26" s="43">
        <v>1270</v>
      </c>
      <c r="O26">
        <v>176000</v>
      </c>
      <c r="S26" s="73"/>
      <c r="V26" s="43"/>
      <c r="W26" s="226" t="s">
        <v>535</v>
      </c>
      <c r="X26" s="225">
        <f>SUM(X22:X24)</f>
        <v>607500</v>
      </c>
      <c r="Y26" s="225">
        <f>SUM(Y22:Y24)</f>
        <v>307500</v>
      </c>
    </row>
    <row r="27" spans="1:34" x14ac:dyDescent="0.3">
      <c r="A27" s="64" t="s">
        <v>228</v>
      </c>
      <c r="B27" s="43"/>
      <c r="C27" s="62">
        <f>(C25-B25)</f>
        <v>-76184.900000000023</v>
      </c>
      <c r="D27" s="43" t="s">
        <v>227</v>
      </c>
      <c r="E27" s="43" t="s">
        <v>471</v>
      </c>
      <c r="F27" s="73">
        <v>11500</v>
      </c>
      <c r="K27" s="73" t="s">
        <v>485</v>
      </c>
      <c r="L27" s="43" t="s">
        <v>484</v>
      </c>
      <c r="O27">
        <v>152000</v>
      </c>
      <c r="R27" t="s">
        <v>413</v>
      </c>
      <c r="S27" s="73">
        <v>260000</v>
      </c>
      <c r="V27" s="43"/>
      <c r="W27" s="43" t="s">
        <v>5</v>
      </c>
      <c r="X27" s="224">
        <f>SUM(X10,X16,X26)</f>
        <v>1653040.8</v>
      </c>
      <c r="Y27" s="236"/>
    </row>
    <row r="28" spans="1:34" x14ac:dyDescent="0.3">
      <c r="A28" s="64"/>
      <c r="B28" s="43"/>
      <c r="C28" s="43"/>
      <c r="D28" s="43"/>
      <c r="E28" s="43" t="s">
        <v>472</v>
      </c>
      <c r="F28" s="73">
        <v>26000</v>
      </c>
      <c r="H28">
        <f>55000-110000</f>
        <v>-55000</v>
      </c>
      <c r="K28" s="43" t="s">
        <v>486</v>
      </c>
      <c r="L28" s="43">
        <v>1250</v>
      </c>
      <c r="O28">
        <f>O26-O27</f>
        <v>24000</v>
      </c>
      <c r="S28" s="30">
        <f>(S27-S25)</f>
        <v>3000</v>
      </c>
      <c r="AG28" t="s">
        <v>569</v>
      </c>
      <c r="AH28" t="s">
        <v>568</v>
      </c>
    </row>
    <row r="29" spans="1:34" x14ac:dyDescent="0.3">
      <c r="A29" s="64" t="s">
        <v>225</v>
      </c>
      <c r="B29" s="43"/>
      <c r="C29" s="62">
        <f>(F6+C27)</f>
        <v>-65148.900000000023</v>
      </c>
      <c r="D29" s="43"/>
      <c r="E29" s="43" t="s">
        <v>476</v>
      </c>
      <c r="F29" s="186">
        <v>41600</v>
      </c>
      <c r="K29" s="43" t="s">
        <v>487</v>
      </c>
      <c r="L29" s="43">
        <v>91</v>
      </c>
      <c r="AE29">
        <v>619000</v>
      </c>
      <c r="AF29" s="247">
        <f>AG29/AE29</f>
        <v>2.4232633279483036E-3</v>
      </c>
      <c r="AG29">
        <f>AH29/12</f>
        <v>1500</v>
      </c>
      <c r="AH29">
        <v>18000</v>
      </c>
    </row>
    <row r="30" spans="1:34" x14ac:dyDescent="0.3">
      <c r="F30" s="73">
        <f>SUM(F10:F29)</f>
        <v>301557.86</v>
      </c>
      <c r="K30" s="43"/>
      <c r="L30" s="43">
        <f>L28*L29</f>
        <v>113750</v>
      </c>
      <c r="V30" s="293" t="s">
        <v>532</v>
      </c>
      <c r="W30" s="293"/>
      <c r="AE30">
        <v>100000</v>
      </c>
      <c r="AF30">
        <v>0.02</v>
      </c>
      <c r="AG30">
        <f>AE30*AF30</f>
        <v>2000</v>
      </c>
      <c r="AH30">
        <f>AG30*12</f>
        <v>24000</v>
      </c>
    </row>
    <row r="31" spans="1:34" x14ac:dyDescent="0.3">
      <c r="K31" s="43" t="s">
        <v>488</v>
      </c>
      <c r="L31" s="73">
        <v>99130</v>
      </c>
      <c r="V31" s="43"/>
      <c r="W31" s="43" t="s">
        <v>89</v>
      </c>
      <c r="X31" s="222">
        <v>8000000</v>
      </c>
      <c r="Y31" s="235"/>
      <c r="Z31" s="198">
        <v>45509</v>
      </c>
      <c r="AA31" t="s">
        <v>566</v>
      </c>
      <c r="AE31">
        <v>619000</v>
      </c>
      <c r="AF31">
        <v>2.4299999999999999E-3</v>
      </c>
      <c r="AG31">
        <f>AE31*AF31</f>
        <v>1504.1699999999998</v>
      </c>
      <c r="AH31">
        <f>AG31*12</f>
        <v>18050.039999999997</v>
      </c>
    </row>
    <row r="32" spans="1:34" x14ac:dyDescent="0.3">
      <c r="K32" s="43"/>
      <c r="L32" s="106">
        <f>L30+L31</f>
        <v>212880</v>
      </c>
      <c r="O32">
        <f>5000/40</f>
        <v>125</v>
      </c>
      <c r="V32" s="43"/>
      <c r="W32" s="43" t="s">
        <v>533</v>
      </c>
      <c r="X32" s="222">
        <v>578957</v>
      </c>
      <c r="Y32" s="235">
        <v>18500</v>
      </c>
      <c r="Z32" s="198">
        <v>45540</v>
      </c>
      <c r="AA32" t="s">
        <v>566</v>
      </c>
      <c r="AE32">
        <v>3500000</v>
      </c>
      <c r="AF32">
        <v>0.09</v>
      </c>
      <c r="AG32">
        <f>AE32*AF32</f>
        <v>315000</v>
      </c>
      <c r="AH32" s="246">
        <f>AG32*12</f>
        <v>3780000</v>
      </c>
    </row>
    <row r="33" spans="11:34" x14ac:dyDescent="0.3">
      <c r="K33" s="178" t="s">
        <v>490</v>
      </c>
      <c r="L33" s="91">
        <v>-109464</v>
      </c>
      <c r="O33">
        <v>23</v>
      </c>
      <c r="P33">
        <f>O32*O33</f>
        <v>2875</v>
      </c>
      <c r="V33" s="43"/>
      <c r="W33" s="43" t="s">
        <v>556</v>
      </c>
      <c r="X33" s="222">
        <v>300000</v>
      </c>
      <c r="Y33" s="235"/>
      <c r="AE33">
        <v>8000000</v>
      </c>
      <c r="AF33">
        <v>0.09</v>
      </c>
      <c r="AG33">
        <f>AE33*AF33</f>
        <v>720000</v>
      </c>
      <c r="AH33" s="246">
        <f>AG33*12</f>
        <v>8640000</v>
      </c>
    </row>
    <row r="34" spans="11:34" x14ac:dyDescent="0.3">
      <c r="K34" s="43" t="s">
        <v>488</v>
      </c>
      <c r="L34" s="200">
        <v>-25000</v>
      </c>
      <c r="P34">
        <v>2875</v>
      </c>
      <c r="V34" s="43"/>
      <c r="W34" s="43" t="s">
        <v>551</v>
      </c>
      <c r="X34" s="43"/>
    </row>
    <row r="35" spans="11:34" x14ac:dyDescent="0.3">
      <c r="K35" s="43" t="s">
        <v>143</v>
      </c>
      <c r="L35" s="73">
        <f>L32+L33+L34</f>
        <v>78416</v>
      </c>
      <c r="P35">
        <v>6000</v>
      </c>
      <c r="V35" s="43"/>
      <c r="W35" s="226" t="s">
        <v>535</v>
      </c>
      <c r="X35" s="227">
        <f>SUM(X31:X33)</f>
        <v>8878957</v>
      </c>
      <c r="Y35" s="237"/>
    </row>
    <row r="36" spans="11:34" x14ac:dyDescent="0.3">
      <c r="V36" s="43"/>
      <c r="W36" s="43" t="s">
        <v>534</v>
      </c>
      <c r="X36" s="228">
        <f>X27+X35</f>
        <v>10531997.800000001</v>
      </c>
      <c r="Y36" s="238"/>
    </row>
    <row r="37" spans="11:34" x14ac:dyDescent="0.3">
      <c r="X37" s="233"/>
      <c r="Y37" s="233"/>
    </row>
    <row r="39" spans="11:34" x14ac:dyDescent="0.3">
      <c r="V39" s="229" t="s">
        <v>551</v>
      </c>
      <c r="W39" s="229"/>
      <c r="X39" s="229"/>
      <c r="Y39" s="229"/>
      <c r="Z39" s="232" t="s">
        <v>26</v>
      </c>
      <c r="AA39" s="232" t="s">
        <v>214</v>
      </c>
    </row>
    <row r="40" spans="11:34" x14ac:dyDescent="0.3">
      <c r="V40" s="43"/>
      <c r="W40" s="43" t="s">
        <v>494</v>
      </c>
      <c r="X40" s="222">
        <v>165000</v>
      </c>
      <c r="Y40" s="222"/>
      <c r="Z40" s="222"/>
      <c r="AA40" s="223">
        <f t="shared" ref="AA40:AA47" si="2">X40-Z40</f>
        <v>165000</v>
      </c>
    </row>
    <row r="41" spans="11:34" x14ac:dyDescent="0.3">
      <c r="V41" s="221">
        <v>45497</v>
      </c>
      <c r="W41" s="43" t="s">
        <v>545</v>
      </c>
      <c r="X41" s="222">
        <v>250000</v>
      </c>
      <c r="Y41" s="222"/>
      <c r="Z41" s="222"/>
      <c r="AA41" s="223">
        <f t="shared" si="2"/>
        <v>250000</v>
      </c>
    </row>
    <row r="42" spans="11:34" x14ac:dyDescent="0.3">
      <c r="V42" s="221">
        <v>45497</v>
      </c>
      <c r="W42" s="43" t="s">
        <v>552</v>
      </c>
      <c r="X42" s="222">
        <v>100000</v>
      </c>
      <c r="Y42" s="222"/>
      <c r="Z42" s="222">
        <v>100000</v>
      </c>
      <c r="AA42" s="223">
        <f t="shared" si="2"/>
        <v>0</v>
      </c>
    </row>
    <row r="43" spans="11:34" x14ac:dyDescent="0.3">
      <c r="V43" s="221">
        <v>45498</v>
      </c>
      <c r="W43" s="43" t="s">
        <v>553</v>
      </c>
      <c r="X43" s="222">
        <v>50000</v>
      </c>
      <c r="Y43" s="222"/>
      <c r="Z43" s="222">
        <v>50000</v>
      </c>
      <c r="AA43" s="223">
        <f t="shared" si="2"/>
        <v>0</v>
      </c>
    </row>
    <row r="44" spans="11:34" x14ac:dyDescent="0.3">
      <c r="V44" s="221">
        <v>45500</v>
      </c>
      <c r="W44" s="43" t="s">
        <v>554</v>
      </c>
      <c r="X44" s="222">
        <v>120000</v>
      </c>
      <c r="Y44" s="222"/>
      <c r="Z44" s="222">
        <v>120000</v>
      </c>
      <c r="AA44" s="223">
        <f t="shared" si="2"/>
        <v>0</v>
      </c>
    </row>
    <row r="45" spans="11:34" x14ac:dyDescent="0.3">
      <c r="V45" s="221">
        <v>45500</v>
      </c>
      <c r="W45" s="43" t="s">
        <v>553</v>
      </c>
      <c r="X45" s="234">
        <v>240000</v>
      </c>
      <c r="Y45" s="234"/>
      <c r="Z45" s="222">
        <v>220000</v>
      </c>
      <c r="AA45" s="223">
        <f t="shared" si="2"/>
        <v>20000</v>
      </c>
    </row>
    <row r="46" spans="11:34" x14ac:dyDescent="0.3">
      <c r="V46" s="221">
        <v>45500</v>
      </c>
      <c r="W46" s="43" t="s">
        <v>555</v>
      </c>
      <c r="X46" s="222">
        <v>600000</v>
      </c>
      <c r="Y46" s="222"/>
      <c r="Z46" s="222">
        <v>400000</v>
      </c>
      <c r="AA46" s="223">
        <f>X46-Z46</f>
        <v>200000</v>
      </c>
    </row>
    <row r="47" spans="11:34" x14ac:dyDescent="0.3">
      <c r="V47" s="221">
        <v>45517</v>
      </c>
      <c r="W47" s="178" t="s">
        <v>554</v>
      </c>
      <c r="X47" s="249">
        <v>100000</v>
      </c>
      <c r="Y47" s="43"/>
      <c r="Z47" s="43"/>
      <c r="AA47" s="223">
        <f t="shared" si="2"/>
        <v>100000</v>
      </c>
    </row>
    <row r="48" spans="11:34" x14ac:dyDescent="0.3">
      <c r="V48" s="221">
        <v>45517</v>
      </c>
      <c r="W48" s="43" t="s">
        <v>555</v>
      </c>
      <c r="X48" s="234">
        <v>200000</v>
      </c>
      <c r="Y48" s="43"/>
      <c r="Z48" s="234">
        <v>100000</v>
      </c>
      <c r="AA48" s="223">
        <f>X48-Z48</f>
        <v>100000</v>
      </c>
    </row>
    <row r="49" spans="22:27" x14ac:dyDescent="0.3">
      <c r="V49" s="221">
        <v>45528</v>
      </c>
      <c r="W49" s="43" t="s">
        <v>545</v>
      </c>
      <c r="X49" s="234">
        <v>250000</v>
      </c>
      <c r="Y49" s="43"/>
      <c r="Z49" s="234">
        <v>17999</v>
      </c>
      <c r="AA49" s="223">
        <f>X49-Z49</f>
        <v>232001</v>
      </c>
    </row>
    <row r="50" spans="22:27" x14ac:dyDescent="0.3">
      <c r="V50" s="221">
        <v>45531</v>
      </c>
      <c r="W50" s="43" t="s">
        <v>545</v>
      </c>
      <c r="X50" s="222">
        <v>232001</v>
      </c>
      <c r="Y50" s="43"/>
      <c r="Z50" s="234">
        <v>30000</v>
      </c>
      <c r="AA50" s="223">
        <f>X50-Z50</f>
        <v>202001</v>
      </c>
    </row>
    <row r="52" spans="22:27" x14ac:dyDescent="0.3">
      <c r="X52" s="223">
        <f>SUM(X40:X45)</f>
        <v>925000</v>
      </c>
      <c r="Y52" s="223"/>
      <c r="Z52" s="223">
        <f>SUM(Z40:Z50)</f>
        <v>1037999</v>
      </c>
      <c r="AA52" s="223">
        <f>SUM(AA41,AA45,AA47,AA50)</f>
        <v>572001</v>
      </c>
    </row>
  </sheetData>
  <mergeCells count="8">
    <mergeCell ref="V19:W19"/>
    <mergeCell ref="V30:W30"/>
    <mergeCell ref="E1:F1"/>
    <mergeCell ref="I1:L1"/>
    <mergeCell ref="V3:W3"/>
    <mergeCell ref="J4:L4"/>
    <mergeCell ref="V5:V7"/>
    <mergeCell ref="V13:W13"/>
  </mergeCells>
  <pageMargins left="0.7" right="0.7" top="0.75" bottom="0.75" header="0.3" footer="0.3"/>
  <pageSetup paperSize="9"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FB83-27E3-43C6-83BC-B9D94C071BD6}">
  <dimension ref="A1:AI52"/>
  <sheetViews>
    <sheetView workbookViewId="0">
      <selection activeCell="C18" sqref="C18"/>
    </sheetView>
  </sheetViews>
  <sheetFormatPr defaultRowHeight="14.4" x14ac:dyDescent="0.3"/>
  <cols>
    <col min="1" max="1" width="26.44140625" bestFit="1" customWidth="1"/>
    <col min="2" max="2" width="9.44140625" bestFit="1" customWidth="1"/>
    <col min="3" max="3" width="13.44140625" bestFit="1" customWidth="1"/>
    <col min="4" max="4" width="13.33203125" bestFit="1" customWidth="1"/>
    <col min="5" max="5" width="15.88671875" bestFit="1" customWidth="1"/>
    <col min="6" max="6" width="10.44140625" bestFit="1" customWidth="1"/>
    <col min="7" max="7" width="16.6640625" bestFit="1" customWidth="1"/>
    <col min="9" max="9" width="14" bestFit="1" customWidth="1"/>
    <col min="11" max="11" width="14" bestFit="1" customWidth="1"/>
    <col min="12" max="12" width="11.33203125" bestFit="1" customWidth="1"/>
    <col min="16" max="16" width="17.5546875" bestFit="1" customWidth="1"/>
    <col min="17" max="17" width="9.6640625" bestFit="1" customWidth="1"/>
    <col min="18" max="18" width="11.109375" bestFit="1" customWidth="1"/>
    <col min="19" max="19" width="13.33203125" bestFit="1" customWidth="1"/>
    <col min="22" max="22" width="14.44140625" bestFit="1" customWidth="1"/>
    <col min="23" max="23" width="33.33203125" bestFit="1" customWidth="1"/>
    <col min="24" max="24" width="14.5546875" bestFit="1" customWidth="1"/>
    <col min="25" max="25" width="14.5546875" customWidth="1"/>
    <col min="26" max="26" width="12.33203125" bestFit="1" customWidth="1"/>
    <col min="27" max="27" width="12.6640625" bestFit="1" customWidth="1"/>
    <col min="28" max="28" width="12.33203125" bestFit="1" customWidth="1"/>
    <col min="33" max="33" width="8" bestFit="1" customWidth="1"/>
    <col min="34" max="34" width="12.33203125" bestFit="1" customWidth="1"/>
  </cols>
  <sheetData>
    <row r="1" spans="1:35" ht="15" thickBot="1" x14ac:dyDescent="0.35">
      <c r="A1" s="43" t="s">
        <v>6</v>
      </c>
      <c r="B1" s="186">
        <v>24000</v>
      </c>
      <c r="C1" s="191">
        <v>24000</v>
      </c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  <c r="AA1" s="241" t="s">
        <v>563</v>
      </c>
      <c r="AB1" s="240">
        <v>8300000</v>
      </c>
    </row>
    <row r="2" spans="1:35" x14ac:dyDescent="0.3">
      <c r="A2" s="43" t="s">
        <v>0</v>
      </c>
      <c r="B2" s="186">
        <v>30000</v>
      </c>
      <c r="C2" s="191">
        <v>30000</v>
      </c>
      <c r="D2" s="186" t="s">
        <v>451</v>
      </c>
      <c r="E2" s="43"/>
      <c r="F2" s="73"/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35" x14ac:dyDescent="0.3">
      <c r="A3" s="43" t="s">
        <v>1</v>
      </c>
      <c r="B3" s="186">
        <v>5000</v>
      </c>
      <c r="C3" s="191">
        <v>5000</v>
      </c>
      <c r="D3" s="43"/>
      <c r="E3" s="43" t="s">
        <v>265</v>
      </c>
      <c r="F3" s="73">
        <v>9</v>
      </c>
      <c r="G3" s="73"/>
      <c r="H3" s="30"/>
      <c r="I3" s="110" t="s">
        <v>382</v>
      </c>
      <c r="J3" s="159">
        <v>10</v>
      </c>
      <c r="K3" s="159">
        <v>999</v>
      </c>
      <c r="L3" s="211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  <c r="V3" s="293" t="s">
        <v>525</v>
      </c>
      <c r="W3" s="293"/>
    </row>
    <row r="4" spans="1:35" x14ac:dyDescent="0.3">
      <c r="A4" s="43" t="s">
        <v>2</v>
      </c>
      <c r="B4" s="186">
        <v>2000</v>
      </c>
      <c r="C4" s="191">
        <v>2000</v>
      </c>
      <c r="D4" s="43"/>
      <c r="E4" s="43" t="s">
        <v>204</v>
      </c>
      <c r="F4" s="73">
        <v>18</v>
      </c>
      <c r="G4" s="73"/>
      <c r="I4" s="110" t="s">
        <v>379</v>
      </c>
      <c r="J4" s="290" t="s">
        <v>473</v>
      </c>
      <c r="K4" s="291"/>
      <c r="L4" s="292"/>
      <c r="M4" s="192">
        <v>44682</v>
      </c>
      <c r="N4" s="43"/>
      <c r="O4" s="43"/>
      <c r="P4" s="73"/>
      <c r="R4" s="43"/>
      <c r="S4" s="73"/>
      <c r="V4" s="157"/>
      <c r="W4" s="157" t="s">
        <v>559</v>
      </c>
      <c r="X4" s="230">
        <v>100000</v>
      </c>
      <c r="Y4" s="230">
        <v>100000</v>
      </c>
      <c r="Z4" s="198">
        <v>45485</v>
      </c>
    </row>
    <row r="5" spans="1:35" ht="14.4" customHeight="1" x14ac:dyDescent="0.3">
      <c r="A5" s="43" t="s">
        <v>89</v>
      </c>
      <c r="B5" s="186">
        <v>33953</v>
      </c>
      <c r="C5" s="191">
        <v>33953</v>
      </c>
      <c r="D5" s="43" t="s">
        <v>450</v>
      </c>
      <c r="E5" s="43" t="s">
        <v>205</v>
      </c>
      <c r="F5" s="73">
        <v>36</v>
      </c>
      <c r="I5" s="110" t="s">
        <v>19</v>
      </c>
      <c r="J5" s="159">
        <v>22</v>
      </c>
      <c r="K5" s="159">
        <v>1321.63</v>
      </c>
      <c r="L5" s="211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  <c r="V5" s="294" t="s">
        <v>529</v>
      </c>
      <c r="W5" s="43" t="s">
        <v>550</v>
      </c>
      <c r="X5" s="231">
        <v>18000</v>
      </c>
      <c r="Y5" s="231">
        <v>18000</v>
      </c>
      <c r="Z5" s="198">
        <v>45492</v>
      </c>
      <c r="AC5">
        <v>34000</v>
      </c>
    </row>
    <row r="6" spans="1:35" x14ac:dyDescent="0.3">
      <c r="A6" s="43" t="s">
        <v>3</v>
      </c>
      <c r="B6" s="186">
        <v>2000</v>
      </c>
      <c r="C6" s="191">
        <v>2000</v>
      </c>
      <c r="D6" s="43"/>
      <c r="E6" s="43" t="s">
        <v>6</v>
      </c>
      <c r="F6" s="73">
        <f>SUM(F4:F5)</f>
        <v>54</v>
      </c>
      <c r="I6" s="110" t="s">
        <v>362</v>
      </c>
      <c r="J6" s="159">
        <v>6</v>
      </c>
      <c r="K6" s="159">
        <v>1918.68</v>
      </c>
      <c r="L6" s="211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  <c r="V6" s="294"/>
      <c r="W6" s="43" t="s">
        <v>528</v>
      </c>
      <c r="X6" s="231">
        <v>41000</v>
      </c>
      <c r="Y6" s="231">
        <v>41000</v>
      </c>
      <c r="Z6" s="198">
        <v>45498</v>
      </c>
      <c r="AC6">
        <v>65000</v>
      </c>
    </row>
    <row r="7" spans="1:35" x14ac:dyDescent="0.3">
      <c r="A7" s="43" t="s">
        <v>9</v>
      </c>
      <c r="B7" s="186">
        <v>2226</v>
      </c>
      <c r="C7" s="191">
        <v>2226</v>
      </c>
      <c r="D7" s="43"/>
      <c r="E7" s="43" t="s">
        <v>402</v>
      </c>
      <c r="F7" s="44">
        <f>B25</f>
        <v>287722</v>
      </c>
      <c r="I7" s="110" t="s">
        <v>363</v>
      </c>
      <c r="J7" s="159">
        <v>5</v>
      </c>
      <c r="K7" s="159">
        <v>1049.19</v>
      </c>
      <c r="L7" s="211">
        <f t="shared" si="1"/>
        <v>5245.9500000000007</v>
      </c>
      <c r="M7" s="192">
        <v>45108</v>
      </c>
      <c r="N7" s="43"/>
      <c r="O7" s="43"/>
      <c r="P7" s="73"/>
      <c r="R7" s="43"/>
      <c r="S7" s="73"/>
      <c r="V7" s="294"/>
      <c r="W7" s="43" t="s">
        <v>530</v>
      </c>
      <c r="X7" s="231">
        <v>7000</v>
      </c>
      <c r="Y7" s="231">
        <v>7000</v>
      </c>
      <c r="Z7" s="198">
        <v>45498</v>
      </c>
      <c r="AC7">
        <v>11418</v>
      </c>
    </row>
    <row r="8" spans="1:35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9">
        <v>11</v>
      </c>
      <c r="K8" s="159">
        <v>470.99</v>
      </c>
      <c r="L8" s="211">
        <f t="shared" si="1"/>
        <v>5180.8900000000003</v>
      </c>
      <c r="M8" s="192">
        <v>45108</v>
      </c>
      <c r="N8" s="43"/>
      <c r="O8" s="43"/>
      <c r="P8" s="108">
        <f>SUM(P3:P6)</f>
        <v>2240000</v>
      </c>
      <c r="R8" s="43"/>
      <c r="S8" s="73">
        <f>SUM(S3:S6)</f>
        <v>1290975</v>
      </c>
      <c r="V8" s="43"/>
      <c r="W8" s="43" t="s">
        <v>527</v>
      </c>
      <c r="X8" s="231">
        <v>547579.80000000005</v>
      </c>
      <c r="Y8" s="231">
        <v>547579.80000000005</v>
      </c>
      <c r="Z8" s="198">
        <v>45498</v>
      </c>
      <c r="AC8">
        <v>25000</v>
      </c>
      <c r="AE8">
        <f>133000+80000</f>
        <v>213000</v>
      </c>
    </row>
    <row r="9" spans="1:35" x14ac:dyDescent="0.3">
      <c r="A9" s="43" t="s">
        <v>107</v>
      </c>
      <c r="B9" s="186">
        <v>619</v>
      </c>
      <c r="C9" s="191">
        <v>619</v>
      </c>
      <c r="D9" s="43"/>
      <c r="E9" s="43"/>
      <c r="F9" s="43"/>
      <c r="I9" s="110" t="s">
        <v>377</v>
      </c>
      <c r="J9" s="159">
        <v>4</v>
      </c>
      <c r="K9" s="159">
        <v>1376.72</v>
      </c>
      <c r="L9" s="211">
        <f t="shared" si="1"/>
        <v>5506.88</v>
      </c>
      <c r="N9" s="43"/>
      <c r="O9" s="43"/>
      <c r="P9" s="73"/>
      <c r="R9" s="43"/>
      <c r="S9" s="73"/>
      <c r="AC9">
        <v>6000</v>
      </c>
      <c r="AE9">
        <f>AE8-AC18</f>
        <v>-7418</v>
      </c>
      <c r="AH9" t="s">
        <v>536</v>
      </c>
      <c r="AI9">
        <v>485000</v>
      </c>
    </row>
    <row r="10" spans="1:35" x14ac:dyDescent="0.3">
      <c r="A10" s="43" t="s">
        <v>174</v>
      </c>
      <c r="B10" s="186">
        <v>5000</v>
      </c>
      <c r="C10" s="191">
        <v>5000</v>
      </c>
      <c r="D10" s="43"/>
      <c r="E10" s="43" t="s">
        <v>442</v>
      </c>
      <c r="F10" s="73">
        <v>234.82</v>
      </c>
      <c r="I10" s="110" t="s">
        <v>387</v>
      </c>
      <c r="J10" s="159">
        <v>5</v>
      </c>
      <c r="K10" s="159">
        <v>936.51</v>
      </c>
      <c r="L10" s="211">
        <f t="shared" si="1"/>
        <v>4682.55</v>
      </c>
      <c r="M10" s="192">
        <v>45108</v>
      </c>
      <c r="N10" s="43"/>
      <c r="O10" s="43" t="s">
        <v>339</v>
      </c>
      <c r="P10" s="134">
        <v>500000</v>
      </c>
      <c r="S10" s="30"/>
      <c r="W10" s="226" t="s">
        <v>535</v>
      </c>
      <c r="X10" s="243">
        <f>SUM(X4:X8)</f>
        <v>713579.8</v>
      </c>
      <c r="Y10" s="243">
        <f>SUM(Y4:Y8)</f>
        <v>713579.8</v>
      </c>
      <c r="AC10">
        <v>50000</v>
      </c>
      <c r="AH10" t="s">
        <v>537</v>
      </c>
      <c r="AI10">
        <f>2*108675</f>
        <v>217350</v>
      </c>
    </row>
    <row r="11" spans="1:35" x14ac:dyDescent="0.3">
      <c r="A11" s="43" t="s">
        <v>564</v>
      </c>
      <c r="B11" s="186">
        <v>66800</v>
      </c>
      <c r="C11" s="191">
        <v>66800</v>
      </c>
      <c r="D11" s="43" t="s">
        <v>449</v>
      </c>
      <c r="E11" s="43" t="s">
        <v>441</v>
      </c>
      <c r="F11" s="73">
        <v>1419.04</v>
      </c>
      <c r="I11" s="110" t="s">
        <v>380</v>
      </c>
      <c r="J11" s="159">
        <v>5</v>
      </c>
      <c r="K11" s="159">
        <v>959.34</v>
      </c>
      <c r="L11" s="211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  <c r="AC11">
        <v>5000</v>
      </c>
    </row>
    <row r="12" spans="1:35" x14ac:dyDescent="0.3">
      <c r="A12" s="43" t="s">
        <v>285</v>
      </c>
      <c r="B12" s="186">
        <v>4005</v>
      </c>
      <c r="C12" s="191">
        <v>4005</v>
      </c>
      <c r="D12" s="85"/>
      <c r="E12" s="43" t="s">
        <v>443</v>
      </c>
      <c r="F12" s="73">
        <v>3500</v>
      </c>
      <c r="I12" s="110" t="s">
        <v>385</v>
      </c>
      <c r="J12" s="159">
        <v>50</v>
      </c>
      <c r="K12" s="159">
        <v>43.35</v>
      </c>
      <c r="L12" s="211">
        <f t="shared" si="1"/>
        <v>2167.5</v>
      </c>
      <c r="N12" s="43"/>
      <c r="O12" s="43" t="s">
        <v>6</v>
      </c>
      <c r="P12" s="134">
        <v>50000</v>
      </c>
      <c r="AC12">
        <v>10000</v>
      </c>
    </row>
    <row r="13" spans="1:35" x14ac:dyDescent="0.3">
      <c r="A13" s="43" t="s">
        <v>414</v>
      </c>
      <c r="B13" s="186">
        <v>18054</v>
      </c>
      <c r="C13" s="191">
        <v>18054</v>
      </c>
      <c r="D13" s="221" t="s">
        <v>567</v>
      </c>
      <c r="E13" s="43" t="s">
        <v>455</v>
      </c>
      <c r="F13" s="73">
        <v>8000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  <c r="V13" s="293" t="s">
        <v>562</v>
      </c>
      <c r="W13" s="293"/>
      <c r="AC13">
        <v>5000</v>
      </c>
      <c r="AI13">
        <f>SUM(AI9:AI10)</f>
        <v>702350</v>
      </c>
    </row>
    <row r="14" spans="1:35" ht="15" thickBot="1" x14ac:dyDescent="0.35">
      <c r="A14" s="87" t="s">
        <v>268</v>
      </c>
      <c r="B14" s="186">
        <v>10256</v>
      </c>
      <c r="C14" s="191">
        <v>10526</v>
      </c>
      <c r="D14" s="248"/>
      <c r="E14" s="43" t="s">
        <v>456</v>
      </c>
      <c r="F14" s="73">
        <v>1000</v>
      </c>
      <c r="I14" s="169" t="s">
        <v>447</v>
      </c>
      <c r="J14" s="209">
        <v>4</v>
      </c>
      <c r="K14" s="209">
        <v>507.02</v>
      </c>
      <c r="L14" s="210">
        <f t="shared" si="1"/>
        <v>2028.08</v>
      </c>
      <c r="N14" s="43"/>
      <c r="O14" s="43" t="s">
        <v>408</v>
      </c>
      <c r="P14" s="134">
        <v>10000</v>
      </c>
      <c r="V14" s="239"/>
      <c r="W14" s="43" t="s">
        <v>557</v>
      </c>
      <c r="X14" s="231">
        <v>323461</v>
      </c>
      <c r="Y14" s="231">
        <v>323461</v>
      </c>
      <c r="Z14" s="198">
        <v>45500</v>
      </c>
      <c r="AC14">
        <v>2000</v>
      </c>
      <c r="AH14" t="s">
        <v>538</v>
      </c>
      <c r="AI14">
        <v>639000</v>
      </c>
    </row>
    <row r="15" spans="1:35" x14ac:dyDescent="0.3">
      <c r="A15" s="43" t="s">
        <v>109</v>
      </c>
      <c r="B15" s="186">
        <f>18195*2</f>
        <v>36390</v>
      </c>
      <c r="C15" s="186"/>
      <c r="D15" s="43"/>
      <c r="E15" s="43" t="s">
        <v>457</v>
      </c>
      <c r="F15" s="73">
        <v>5074</v>
      </c>
      <c r="L15" s="193">
        <f>SUM(L4:L14)</f>
        <v>72210.990000000005</v>
      </c>
      <c r="N15" s="43"/>
      <c r="O15" s="43"/>
      <c r="P15" s="134">
        <f>SUM(P10:P14)</f>
        <v>815000</v>
      </c>
      <c r="V15" s="43"/>
      <c r="W15" s="43" t="s">
        <v>561</v>
      </c>
      <c r="X15" s="231">
        <v>8500</v>
      </c>
      <c r="Y15" s="231">
        <v>8500</v>
      </c>
      <c r="Z15" s="198">
        <v>45500</v>
      </c>
      <c r="AC15">
        <v>4000</v>
      </c>
      <c r="AI15">
        <f>AI13-AI14</f>
        <v>63350</v>
      </c>
    </row>
    <row r="16" spans="1:35" x14ac:dyDescent="0.3">
      <c r="A16" s="43" t="s">
        <v>572</v>
      </c>
      <c r="B16" s="186">
        <v>36000</v>
      </c>
      <c r="C16" s="191">
        <v>36000</v>
      </c>
      <c r="D16" s="186">
        <f>SUM(C14:C16)</f>
        <v>46526</v>
      </c>
      <c r="E16" s="43" t="s">
        <v>458</v>
      </c>
      <c r="F16" s="73">
        <v>113280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  <c r="V16" s="43"/>
      <c r="W16" s="226" t="s">
        <v>535</v>
      </c>
      <c r="X16" s="243">
        <f>SUM(X14:X15)</f>
        <v>331961</v>
      </c>
      <c r="Y16" s="243">
        <f>SUM(Y14:Y15)</f>
        <v>331961</v>
      </c>
      <c r="AC16">
        <v>3000</v>
      </c>
    </row>
    <row r="17" spans="1:34" x14ac:dyDescent="0.3">
      <c r="A17" s="73" t="s">
        <v>573</v>
      </c>
      <c r="B17" s="73">
        <v>5000</v>
      </c>
      <c r="C17" s="108">
        <v>5000</v>
      </c>
      <c r="D17" s="202"/>
      <c r="E17" s="43" t="s">
        <v>459</v>
      </c>
      <c r="F17" s="73">
        <v>750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34" ht="15" thickBot="1" x14ac:dyDescent="0.35">
      <c r="A18" s="123" t="s">
        <v>123</v>
      </c>
      <c r="B18" s="123">
        <v>15000</v>
      </c>
      <c r="C18" s="73">
        <v>10000</v>
      </c>
      <c r="D18" s="202">
        <v>5000</v>
      </c>
      <c r="E18" s="43" t="s">
        <v>463</v>
      </c>
      <c r="F18" s="73">
        <v>1000</v>
      </c>
      <c r="G18" s="167" t="s">
        <v>109</v>
      </c>
      <c r="H18" s="116">
        <v>18195</v>
      </c>
      <c r="I18" s="113" t="s">
        <v>522</v>
      </c>
      <c r="N18" s="43"/>
      <c r="O18" s="43"/>
      <c r="R18" t="s">
        <v>412</v>
      </c>
      <c r="S18" s="73">
        <v>93000</v>
      </c>
      <c r="AC18">
        <f>SUM(AC5:AC16)</f>
        <v>220418</v>
      </c>
    </row>
    <row r="19" spans="1:34" ht="15" thickBot="1" x14ac:dyDescent="0.35">
      <c r="A19" s="123" t="s">
        <v>81</v>
      </c>
      <c r="B19" s="123">
        <v>50000</v>
      </c>
      <c r="C19" s="186"/>
      <c r="D19" s="72"/>
      <c r="E19" s="43" t="s">
        <v>464</v>
      </c>
      <c r="F19" s="73">
        <v>700</v>
      </c>
      <c r="G19" s="181" t="s">
        <v>268</v>
      </c>
      <c r="H19" s="112">
        <v>10526</v>
      </c>
      <c r="I19" s="113" t="s">
        <v>522</v>
      </c>
      <c r="N19" s="43"/>
      <c r="O19" s="104" t="s">
        <v>410</v>
      </c>
      <c r="P19" s="177">
        <f>(P17-P16)</f>
        <v>-151000</v>
      </c>
      <c r="S19" s="73">
        <f>SUM(S17:S18)</f>
        <v>147000</v>
      </c>
      <c r="V19" s="295" t="s">
        <v>526</v>
      </c>
      <c r="W19" s="293"/>
    </row>
    <row r="20" spans="1:34" x14ac:dyDescent="0.3">
      <c r="A20" s="123" t="s">
        <v>213</v>
      </c>
      <c r="B20" s="123">
        <f>AA50</f>
        <v>202001</v>
      </c>
      <c r="C20" s="186"/>
      <c r="D20" s="72"/>
      <c r="E20" s="43"/>
      <c r="F20" s="73"/>
      <c r="G20" s="181"/>
      <c r="H20" s="112"/>
      <c r="I20" s="113"/>
      <c r="N20" s="43"/>
      <c r="O20" s="104"/>
      <c r="P20" s="30"/>
      <c r="S20" s="73"/>
      <c r="V20" s="43"/>
      <c r="W20" s="43" t="s">
        <v>539</v>
      </c>
      <c r="X20" s="223">
        <f>AB1-X4</f>
        <v>8200000</v>
      </c>
      <c r="Y20" s="233"/>
      <c r="AC20">
        <v>8300000</v>
      </c>
      <c r="AE20" t="s">
        <v>542</v>
      </c>
      <c r="AF20">
        <v>750000</v>
      </c>
    </row>
    <row r="21" spans="1:34" x14ac:dyDescent="0.3">
      <c r="A21" s="123" t="s">
        <v>123</v>
      </c>
      <c r="B21" s="123">
        <v>33000</v>
      </c>
      <c r="C21" s="186">
        <v>33000</v>
      </c>
      <c r="D21" s="43"/>
      <c r="E21" s="43" t="s">
        <v>465</v>
      </c>
      <c r="F21" s="73">
        <v>2000</v>
      </c>
      <c r="G21" s="80" t="s">
        <v>298</v>
      </c>
      <c r="H21" s="80">
        <v>5000</v>
      </c>
      <c r="I21" s="113">
        <v>44896</v>
      </c>
      <c r="N21" s="43"/>
      <c r="O21" s="43"/>
      <c r="P21" s="89"/>
      <c r="R21" t="s">
        <v>411</v>
      </c>
      <c r="S21" s="73">
        <v>90000</v>
      </c>
      <c r="V21" s="43"/>
      <c r="W21" s="43" t="s">
        <v>531</v>
      </c>
      <c r="X21" s="245">
        <v>1000000</v>
      </c>
      <c r="Y21" s="235"/>
      <c r="AB21" t="s">
        <v>540</v>
      </c>
      <c r="AC21">
        <v>100000</v>
      </c>
      <c r="AE21" t="s">
        <v>545</v>
      </c>
      <c r="AF21">
        <v>200000</v>
      </c>
    </row>
    <row r="22" spans="1:34" x14ac:dyDescent="0.3">
      <c r="A22" s="123" t="s">
        <v>475</v>
      </c>
      <c r="B22" s="123">
        <v>10000</v>
      </c>
      <c r="C22" s="73"/>
      <c r="D22" s="43" t="s">
        <v>511</v>
      </c>
      <c r="E22" s="43" t="s">
        <v>462</v>
      </c>
      <c r="F22" s="73">
        <v>5000</v>
      </c>
      <c r="G22" s="80" t="s">
        <v>256</v>
      </c>
      <c r="H22" s="80">
        <v>7600</v>
      </c>
      <c r="I22" s="113" t="s">
        <v>523</v>
      </c>
      <c r="K22" s="43" t="s">
        <v>479</v>
      </c>
      <c r="L22" s="43" t="s">
        <v>480</v>
      </c>
      <c r="S22" s="73">
        <f>(S19-S21)</f>
        <v>57000</v>
      </c>
      <c r="V22" s="43"/>
      <c r="W22" s="244" t="s">
        <v>560</v>
      </c>
      <c r="X22" s="231">
        <v>200000</v>
      </c>
      <c r="Y22" s="231">
        <v>200000</v>
      </c>
      <c r="Z22" s="198">
        <v>45502</v>
      </c>
      <c r="AC22">
        <f>AC20-AC21</f>
        <v>8200000</v>
      </c>
      <c r="AE22" t="s">
        <v>544</v>
      </c>
      <c r="AF22">
        <v>300000</v>
      </c>
    </row>
    <row r="23" spans="1:34" x14ac:dyDescent="0.3">
      <c r="A23" s="116" t="s">
        <v>203</v>
      </c>
      <c r="B23" s="190">
        <v>13000</v>
      </c>
      <c r="C23" s="186"/>
      <c r="D23" s="145"/>
      <c r="E23" s="43" t="s">
        <v>467</v>
      </c>
      <c r="F23" s="73">
        <v>6700</v>
      </c>
      <c r="G23" s="115" t="s">
        <v>431</v>
      </c>
      <c r="H23" s="116">
        <v>20481</v>
      </c>
      <c r="I23" s="113" t="s">
        <v>521</v>
      </c>
      <c r="K23" s="43"/>
      <c r="L23" s="43" t="s">
        <v>481</v>
      </c>
      <c r="R23" s="65"/>
      <c r="S23" s="73"/>
      <c r="V23" s="43"/>
      <c r="W23" s="104" t="s">
        <v>558</v>
      </c>
      <c r="X23" s="242">
        <v>400000</v>
      </c>
      <c r="Y23" s="242">
        <v>100000</v>
      </c>
      <c r="Z23" s="198">
        <v>45502</v>
      </c>
      <c r="AB23" t="s">
        <v>541</v>
      </c>
      <c r="AC23">
        <v>500000</v>
      </c>
      <c r="AD23" t="s">
        <v>543</v>
      </c>
      <c r="AF23">
        <f>SUM(AF21:AF22)</f>
        <v>500000</v>
      </c>
    </row>
    <row r="24" spans="1:34" x14ac:dyDescent="0.3">
      <c r="A24" s="115" t="s">
        <v>381</v>
      </c>
      <c r="B24" s="190">
        <v>20000</v>
      </c>
      <c r="C24" s="186"/>
      <c r="D24" s="43"/>
      <c r="E24" s="43" t="s">
        <v>468</v>
      </c>
      <c r="F24" s="73">
        <f>'September 23'!AO30</f>
        <v>0</v>
      </c>
      <c r="G24" s="115"/>
      <c r="H24" s="116"/>
      <c r="I24" s="113"/>
      <c r="K24" s="43"/>
      <c r="L24" s="43" t="s">
        <v>482</v>
      </c>
      <c r="R24" t="s">
        <v>142</v>
      </c>
      <c r="S24" s="73">
        <v>200000</v>
      </c>
      <c r="V24" s="43"/>
      <c r="W24" s="43" t="s">
        <v>571</v>
      </c>
      <c r="X24" s="231">
        <v>7500</v>
      </c>
      <c r="Y24" s="231">
        <v>7500</v>
      </c>
      <c r="AC24">
        <f>AC22-AC23</f>
        <v>7700000</v>
      </c>
      <c r="AF24">
        <f>AF23-AF20</f>
        <v>-250000</v>
      </c>
    </row>
    <row r="25" spans="1:34" x14ac:dyDescent="0.3">
      <c r="A25" s="64" t="s">
        <v>5</v>
      </c>
      <c r="B25" s="186">
        <f>SUM(B1:B16)</f>
        <v>287722</v>
      </c>
      <c r="C25" s="186">
        <f>SUM(C1:C17)</f>
        <v>256602</v>
      </c>
      <c r="D25" s="72"/>
      <c r="E25" s="43" t="s">
        <v>469</v>
      </c>
      <c r="F25" s="73">
        <v>51800</v>
      </c>
      <c r="G25" s="124"/>
      <c r="H25" s="118"/>
      <c r="I25" s="113"/>
      <c r="K25" s="43"/>
      <c r="L25" s="43" t="s">
        <v>483</v>
      </c>
      <c r="R25" t="s">
        <v>206</v>
      </c>
      <c r="S25" s="73">
        <f>(S22+S24)</f>
        <v>257000</v>
      </c>
      <c r="AB25" t="s">
        <v>546</v>
      </c>
      <c r="AC25">
        <v>8000000</v>
      </c>
    </row>
    <row r="26" spans="1:34" x14ac:dyDescent="0.3">
      <c r="A26" s="43"/>
      <c r="B26" s="43"/>
      <c r="C26" s="43"/>
      <c r="D26" s="72"/>
      <c r="E26" s="178" t="s">
        <v>470</v>
      </c>
      <c r="F26" s="179">
        <v>22000</v>
      </c>
      <c r="G26" s="43"/>
      <c r="H26" s="106"/>
      <c r="I26" s="114"/>
      <c r="K26" s="199"/>
      <c r="L26" s="43">
        <v>1270</v>
      </c>
      <c r="O26">
        <v>176000</v>
      </c>
      <c r="S26" s="73"/>
      <c r="V26" s="43"/>
      <c r="W26" s="226" t="s">
        <v>535</v>
      </c>
      <c r="X26" s="225">
        <f>SUM(X22:X24)</f>
        <v>607500</v>
      </c>
      <c r="Y26" s="225">
        <f>SUM(Y22:Y24)</f>
        <v>307500</v>
      </c>
    </row>
    <row r="27" spans="1:34" x14ac:dyDescent="0.3">
      <c r="A27" s="64" t="s">
        <v>228</v>
      </c>
      <c r="B27" s="43"/>
      <c r="C27" s="62">
        <f>(C25-B25)</f>
        <v>-31120</v>
      </c>
      <c r="D27" s="43" t="s">
        <v>227</v>
      </c>
      <c r="E27" s="43" t="s">
        <v>471</v>
      </c>
      <c r="F27" s="73">
        <v>11500</v>
      </c>
      <c r="K27" s="73" t="s">
        <v>485</v>
      </c>
      <c r="L27" s="43" t="s">
        <v>484</v>
      </c>
      <c r="O27">
        <v>152000</v>
      </c>
      <c r="R27" t="s">
        <v>413</v>
      </c>
      <c r="S27" s="73">
        <v>260000</v>
      </c>
      <c r="V27" s="43"/>
      <c r="W27" s="43" t="s">
        <v>5</v>
      </c>
      <c r="X27" s="224">
        <f>SUM(X10,X16,X26)</f>
        <v>1653040.8</v>
      </c>
      <c r="Y27" s="236"/>
    </row>
    <row r="28" spans="1:34" x14ac:dyDescent="0.3">
      <c r="A28" s="64"/>
      <c r="B28" s="43"/>
      <c r="C28" s="43"/>
      <c r="D28" s="43"/>
      <c r="E28" s="43" t="s">
        <v>472</v>
      </c>
      <c r="F28" s="73">
        <v>26000</v>
      </c>
      <c r="H28">
        <f>55000-110000</f>
        <v>-55000</v>
      </c>
      <c r="K28" s="43" t="s">
        <v>486</v>
      </c>
      <c r="L28" s="43">
        <v>1250</v>
      </c>
      <c r="O28">
        <f>O26-O27</f>
        <v>24000</v>
      </c>
      <c r="S28" s="30">
        <f>(S27-S25)</f>
        <v>3000</v>
      </c>
      <c r="AG28" t="s">
        <v>569</v>
      </c>
      <c r="AH28" t="s">
        <v>568</v>
      </c>
    </row>
    <row r="29" spans="1:34" x14ac:dyDescent="0.3">
      <c r="A29" s="64" t="s">
        <v>225</v>
      </c>
      <c r="B29" s="43"/>
      <c r="C29" s="62">
        <f>(F6+C27)</f>
        <v>-31066</v>
      </c>
      <c r="D29" s="43"/>
      <c r="E29" s="43" t="s">
        <v>476</v>
      </c>
      <c r="F29" s="186">
        <v>41600</v>
      </c>
      <c r="K29" s="43" t="s">
        <v>487</v>
      </c>
      <c r="L29" s="43">
        <v>91</v>
      </c>
      <c r="AE29">
        <v>619000</v>
      </c>
      <c r="AF29" s="247">
        <f>AG29/AE29</f>
        <v>2.4232633279483036E-3</v>
      </c>
      <c r="AG29">
        <f>AH29/12</f>
        <v>1500</v>
      </c>
      <c r="AH29">
        <v>18000</v>
      </c>
    </row>
    <row r="30" spans="1:34" x14ac:dyDescent="0.3">
      <c r="F30" s="73">
        <f>SUM(F10:F29)</f>
        <v>301557.86</v>
      </c>
      <c r="K30" s="43"/>
      <c r="L30" s="43">
        <f>L28*L29</f>
        <v>113750</v>
      </c>
      <c r="V30" s="293" t="s">
        <v>532</v>
      </c>
      <c r="W30" s="293"/>
      <c r="AE30">
        <v>100000</v>
      </c>
      <c r="AF30">
        <v>0.02</v>
      </c>
      <c r="AG30">
        <f>AE30*AF30</f>
        <v>2000</v>
      </c>
      <c r="AH30">
        <f>AG30*12</f>
        <v>24000</v>
      </c>
    </row>
    <row r="31" spans="1:34" x14ac:dyDescent="0.3">
      <c r="K31" s="43" t="s">
        <v>488</v>
      </c>
      <c r="L31" s="73">
        <v>99130</v>
      </c>
      <c r="V31" s="43"/>
      <c r="W31" s="43" t="s">
        <v>89</v>
      </c>
      <c r="X31" s="222">
        <v>8000000</v>
      </c>
      <c r="Y31" s="235"/>
      <c r="Z31" s="198">
        <v>45509</v>
      </c>
      <c r="AA31" t="s">
        <v>566</v>
      </c>
      <c r="AE31">
        <v>619000</v>
      </c>
      <c r="AF31">
        <v>2.4299999999999999E-3</v>
      </c>
      <c r="AG31">
        <f>AE31*AF31</f>
        <v>1504.1699999999998</v>
      </c>
      <c r="AH31">
        <f>AG31*12</f>
        <v>18050.039999999997</v>
      </c>
    </row>
    <row r="32" spans="1:34" x14ac:dyDescent="0.3">
      <c r="K32" s="43"/>
      <c r="L32" s="106">
        <f>L30+L31</f>
        <v>212880</v>
      </c>
      <c r="O32">
        <f>5000/40</f>
        <v>125</v>
      </c>
      <c r="V32" s="43"/>
      <c r="W32" s="43" t="s">
        <v>533</v>
      </c>
      <c r="X32" s="222">
        <v>578957</v>
      </c>
      <c r="Y32" s="235">
        <v>18500</v>
      </c>
      <c r="Z32" s="198">
        <v>45540</v>
      </c>
      <c r="AA32" t="s">
        <v>566</v>
      </c>
      <c r="AE32">
        <v>3500000</v>
      </c>
      <c r="AF32">
        <v>0.09</v>
      </c>
      <c r="AG32">
        <f>AE32*AF32</f>
        <v>315000</v>
      </c>
      <c r="AH32" s="246">
        <f>AG32*12</f>
        <v>3780000</v>
      </c>
    </row>
    <row r="33" spans="11:34" x14ac:dyDescent="0.3">
      <c r="K33" s="178" t="s">
        <v>490</v>
      </c>
      <c r="L33" s="91">
        <v>-109464</v>
      </c>
      <c r="O33">
        <v>23</v>
      </c>
      <c r="P33">
        <f>O32*O33</f>
        <v>2875</v>
      </c>
      <c r="V33" s="43"/>
      <c r="W33" s="43" t="s">
        <v>556</v>
      </c>
      <c r="X33" s="222">
        <v>300000</v>
      </c>
      <c r="Y33" s="235"/>
      <c r="AE33">
        <v>8000000</v>
      </c>
      <c r="AF33">
        <v>0.09</v>
      </c>
      <c r="AG33">
        <f>AE33*AF33</f>
        <v>720000</v>
      </c>
      <c r="AH33" s="246">
        <f>AG33*12</f>
        <v>8640000</v>
      </c>
    </row>
    <row r="34" spans="11:34" x14ac:dyDescent="0.3">
      <c r="K34" s="43" t="s">
        <v>488</v>
      </c>
      <c r="L34" s="200">
        <v>-25000</v>
      </c>
      <c r="P34">
        <v>2875</v>
      </c>
      <c r="V34" s="43"/>
      <c r="W34" s="43" t="s">
        <v>551</v>
      </c>
      <c r="X34" s="43"/>
    </row>
    <row r="35" spans="11:34" x14ac:dyDescent="0.3">
      <c r="K35" s="43" t="s">
        <v>143</v>
      </c>
      <c r="L35" s="73">
        <f>L32+L33+L34</f>
        <v>78416</v>
      </c>
      <c r="P35">
        <v>6000</v>
      </c>
      <c r="V35" s="43"/>
      <c r="W35" s="226" t="s">
        <v>535</v>
      </c>
      <c r="X35" s="227">
        <f>SUM(X31:X33)</f>
        <v>8878957</v>
      </c>
      <c r="Y35" s="237"/>
    </row>
    <row r="36" spans="11:34" x14ac:dyDescent="0.3">
      <c r="V36" s="43"/>
      <c r="W36" s="43" t="s">
        <v>534</v>
      </c>
      <c r="X36" s="228">
        <f>X27+X35</f>
        <v>10531997.800000001</v>
      </c>
      <c r="Y36" s="238"/>
    </row>
    <row r="37" spans="11:34" x14ac:dyDescent="0.3">
      <c r="X37" s="233"/>
      <c r="Y37" s="233"/>
    </row>
    <row r="39" spans="11:34" x14ac:dyDescent="0.3">
      <c r="V39" s="229" t="s">
        <v>551</v>
      </c>
      <c r="W39" s="229"/>
      <c r="X39" s="229"/>
      <c r="Y39" s="229"/>
      <c r="Z39" s="232" t="s">
        <v>26</v>
      </c>
      <c r="AA39" s="232" t="s">
        <v>214</v>
      </c>
    </row>
    <row r="40" spans="11:34" x14ac:dyDescent="0.3">
      <c r="V40" s="43"/>
      <c r="W40" s="43" t="s">
        <v>494</v>
      </c>
      <c r="X40" s="222">
        <v>165000</v>
      </c>
      <c r="Y40" s="222"/>
      <c r="Z40" s="222"/>
      <c r="AA40" s="223">
        <f t="shared" ref="AA40:AA47" si="2">X40-Z40</f>
        <v>165000</v>
      </c>
    </row>
    <row r="41" spans="11:34" x14ac:dyDescent="0.3">
      <c r="V41" s="221">
        <v>45497</v>
      </c>
      <c r="W41" s="43" t="s">
        <v>545</v>
      </c>
      <c r="X41" s="222">
        <v>250000</v>
      </c>
      <c r="Y41" s="222"/>
      <c r="Z41" s="222"/>
      <c r="AA41" s="223">
        <f t="shared" si="2"/>
        <v>250000</v>
      </c>
    </row>
    <row r="42" spans="11:34" x14ac:dyDescent="0.3">
      <c r="V42" s="221">
        <v>45497</v>
      </c>
      <c r="W42" s="43" t="s">
        <v>552</v>
      </c>
      <c r="X42" s="222">
        <v>100000</v>
      </c>
      <c r="Y42" s="222"/>
      <c r="Z42" s="222">
        <v>100000</v>
      </c>
      <c r="AA42" s="223">
        <f t="shared" si="2"/>
        <v>0</v>
      </c>
    </row>
    <row r="43" spans="11:34" x14ac:dyDescent="0.3">
      <c r="V43" s="221">
        <v>45498</v>
      </c>
      <c r="W43" s="43" t="s">
        <v>553</v>
      </c>
      <c r="X43" s="222">
        <v>50000</v>
      </c>
      <c r="Y43" s="222"/>
      <c r="Z43" s="222">
        <v>50000</v>
      </c>
      <c r="AA43" s="223">
        <f t="shared" si="2"/>
        <v>0</v>
      </c>
    </row>
    <row r="44" spans="11:34" x14ac:dyDescent="0.3">
      <c r="V44" s="221">
        <v>45500</v>
      </c>
      <c r="W44" s="43" t="s">
        <v>554</v>
      </c>
      <c r="X44" s="222">
        <v>120000</v>
      </c>
      <c r="Y44" s="222"/>
      <c r="Z44" s="222">
        <v>120000</v>
      </c>
      <c r="AA44" s="223">
        <f t="shared" si="2"/>
        <v>0</v>
      </c>
    </row>
    <row r="45" spans="11:34" x14ac:dyDescent="0.3">
      <c r="V45" s="221">
        <v>45500</v>
      </c>
      <c r="W45" s="43" t="s">
        <v>553</v>
      </c>
      <c r="X45" s="234">
        <v>240000</v>
      </c>
      <c r="Y45" s="234"/>
      <c r="Z45" s="222">
        <v>225000</v>
      </c>
      <c r="AA45" s="223">
        <f t="shared" si="2"/>
        <v>15000</v>
      </c>
    </row>
    <row r="46" spans="11:34" x14ac:dyDescent="0.3">
      <c r="V46" s="221">
        <v>45500</v>
      </c>
      <c r="W46" s="43" t="s">
        <v>555</v>
      </c>
      <c r="X46" s="222">
        <v>600000</v>
      </c>
      <c r="Y46" s="222"/>
      <c r="Z46" s="222">
        <v>400000</v>
      </c>
      <c r="AA46" s="223">
        <f>X46-Z46</f>
        <v>200000</v>
      </c>
    </row>
    <row r="47" spans="11:34" x14ac:dyDescent="0.3">
      <c r="V47" s="221">
        <v>45517</v>
      </c>
      <c r="W47" s="178" t="s">
        <v>554</v>
      </c>
      <c r="X47" s="249">
        <v>100000</v>
      </c>
      <c r="Y47" s="43"/>
      <c r="Z47" s="43"/>
      <c r="AA47" s="223">
        <f t="shared" si="2"/>
        <v>100000</v>
      </c>
    </row>
    <row r="48" spans="11:34" x14ac:dyDescent="0.3">
      <c r="V48" s="221">
        <v>45517</v>
      </c>
      <c r="W48" s="43" t="s">
        <v>555</v>
      </c>
      <c r="X48" s="234">
        <v>200000</v>
      </c>
      <c r="Y48" s="43"/>
      <c r="Z48" s="234">
        <v>100000</v>
      </c>
      <c r="AA48" s="223">
        <f>X48-Z48</f>
        <v>100000</v>
      </c>
    </row>
    <row r="49" spans="22:27" x14ac:dyDescent="0.3">
      <c r="V49" s="221">
        <v>45528</v>
      </c>
      <c r="W49" s="43" t="s">
        <v>545</v>
      </c>
      <c r="X49" s="234">
        <v>250000</v>
      </c>
      <c r="Y49" s="43"/>
      <c r="Z49" s="234">
        <v>17999</v>
      </c>
      <c r="AA49" s="223">
        <f>X49-Z49</f>
        <v>232001</v>
      </c>
    </row>
    <row r="50" spans="22:27" x14ac:dyDescent="0.3">
      <c r="V50" s="221">
        <v>45531</v>
      </c>
      <c r="W50" s="43" t="s">
        <v>545</v>
      </c>
      <c r="X50" s="222">
        <v>232001</v>
      </c>
      <c r="Y50" s="43"/>
      <c r="Z50" s="234">
        <v>30000</v>
      </c>
      <c r="AA50" s="223">
        <f>X50-Z50</f>
        <v>202001</v>
      </c>
    </row>
    <row r="52" spans="22:27" x14ac:dyDescent="0.3">
      <c r="X52" s="223">
        <f>SUM(X40:X45)</f>
        <v>925000</v>
      </c>
      <c r="Y52" s="223"/>
      <c r="Z52" s="223">
        <f>SUM(Z40:Z50)</f>
        <v>1042999</v>
      </c>
      <c r="AA52" s="223">
        <f>SUM(AA45,AA47,AA50)</f>
        <v>317001</v>
      </c>
    </row>
  </sheetData>
  <mergeCells count="8">
    <mergeCell ref="V19:W19"/>
    <mergeCell ref="V30:W30"/>
    <mergeCell ref="E1:F1"/>
    <mergeCell ref="I1:L1"/>
    <mergeCell ref="V3:W3"/>
    <mergeCell ref="J4:L4"/>
    <mergeCell ref="V5:V7"/>
    <mergeCell ref="V13:W13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C67A-3FED-473E-A882-BC3D121D5D0A}">
  <dimension ref="A1:AI52"/>
  <sheetViews>
    <sheetView workbookViewId="0">
      <selection activeCell="C7" sqref="C7"/>
    </sheetView>
  </sheetViews>
  <sheetFormatPr defaultRowHeight="14.4" x14ac:dyDescent="0.3"/>
  <cols>
    <col min="1" max="1" width="26.44140625" bestFit="1" customWidth="1"/>
    <col min="2" max="2" width="9.44140625" bestFit="1" customWidth="1"/>
    <col min="3" max="3" width="13.44140625" bestFit="1" customWidth="1"/>
    <col min="4" max="4" width="13.33203125" bestFit="1" customWidth="1"/>
    <col min="5" max="5" width="15.88671875" bestFit="1" customWidth="1"/>
    <col min="6" max="6" width="10.44140625" bestFit="1" customWidth="1"/>
    <col min="7" max="7" width="16.6640625" bestFit="1" customWidth="1"/>
    <col min="9" max="9" width="14" bestFit="1" customWidth="1"/>
    <col min="11" max="11" width="14" bestFit="1" customWidth="1"/>
    <col min="12" max="12" width="11.33203125" bestFit="1" customWidth="1"/>
    <col min="15" max="15" width="12.5546875" bestFit="1" customWidth="1"/>
    <col min="16" max="16" width="17.5546875" bestFit="1" customWidth="1"/>
    <col min="17" max="17" width="9.6640625" bestFit="1" customWidth="1"/>
    <col min="18" max="18" width="11.109375" bestFit="1" customWidth="1"/>
    <col min="19" max="19" width="13.33203125" bestFit="1" customWidth="1"/>
    <col min="22" max="22" width="14.44140625" bestFit="1" customWidth="1"/>
    <col min="23" max="23" width="33.33203125" bestFit="1" customWidth="1"/>
    <col min="24" max="24" width="14.5546875" bestFit="1" customWidth="1"/>
    <col min="25" max="25" width="14.5546875" customWidth="1"/>
    <col min="26" max="26" width="12.33203125" bestFit="1" customWidth="1"/>
    <col min="27" max="27" width="12.6640625" bestFit="1" customWidth="1"/>
    <col min="28" max="28" width="12.33203125" bestFit="1" customWidth="1"/>
    <col min="31" max="31" width="9.88671875" bestFit="1" customWidth="1"/>
    <col min="32" max="32" width="11.33203125" bestFit="1" customWidth="1"/>
    <col min="33" max="33" width="8" bestFit="1" customWidth="1"/>
    <col min="34" max="34" width="12.33203125" bestFit="1" customWidth="1"/>
  </cols>
  <sheetData>
    <row r="1" spans="1:35" ht="15" thickBot="1" x14ac:dyDescent="0.35">
      <c r="A1" s="43" t="s">
        <v>6</v>
      </c>
      <c r="B1" s="186">
        <v>6000</v>
      </c>
      <c r="C1" s="191">
        <v>6000</v>
      </c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  <c r="AA1" s="241" t="s">
        <v>563</v>
      </c>
      <c r="AB1" s="240">
        <v>8300000</v>
      </c>
    </row>
    <row r="2" spans="1:35" x14ac:dyDescent="0.3">
      <c r="A2" s="43" t="s">
        <v>0</v>
      </c>
      <c r="B2" s="186">
        <v>82078.91</v>
      </c>
      <c r="C2" s="191">
        <v>45000</v>
      </c>
      <c r="D2" s="186" t="s">
        <v>451</v>
      </c>
      <c r="E2" s="43"/>
      <c r="F2" s="73"/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35" x14ac:dyDescent="0.3">
      <c r="A3" s="43" t="s">
        <v>1</v>
      </c>
      <c r="B3" s="186">
        <v>5000</v>
      </c>
      <c r="C3" s="186"/>
      <c r="D3" s="43"/>
      <c r="E3" s="43" t="s">
        <v>265</v>
      </c>
      <c r="F3" s="73">
        <v>9</v>
      </c>
      <c r="G3" s="73"/>
      <c r="H3" s="30"/>
      <c r="I3" s="110" t="s">
        <v>382</v>
      </c>
      <c r="J3" s="159">
        <v>10</v>
      </c>
      <c r="K3" s="159">
        <v>999</v>
      </c>
      <c r="L3" s="211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  <c r="V3" s="293" t="s">
        <v>525</v>
      </c>
      <c r="W3" s="293"/>
    </row>
    <row r="4" spans="1:35" x14ac:dyDescent="0.3">
      <c r="A4" s="43" t="s">
        <v>2</v>
      </c>
      <c r="B4" s="186">
        <v>2000</v>
      </c>
      <c r="C4" s="191">
        <v>2000</v>
      </c>
      <c r="D4" s="43"/>
      <c r="E4" s="43" t="s">
        <v>204</v>
      </c>
      <c r="F4" s="73">
        <v>13050</v>
      </c>
      <c r="G4" s="73"/>
      <c r="I4" s="110" t="s">
        <v>379</v>
      </c>
      <c r="J4" s="290" t="s">
        <v>473</v>
      </c>
      <c r="K4" s="291"/>
      <c r="L4" s="292"/>
      <c r="M4" s="192">
        <v>44682</v>
      </c>
      <c r="N4" s="43"/>
      <c r="O4" s="43"/>
      <c r="P4" s="73"/>
      <c r="R4" s="43"/>
      <c r="S4" s="73"/>
      <c r="V4" s="157"/>
      <c r="W4" s="157" t="s">
        <v>559</v>
      </c>
      <c r="X4" s="230">
        <v>100000</v>
      </c>
      <c r="Y4" s="230">
        <v>100000</v>
      </c>
      <c r="Z4" s="198">
        <v>45485</v>
      </c>
    </row>
    <row r="5" spans="1:35" ht="14.4" customHeight="1" x14ac:dyDescent="0.3">
      <c r="A5" s="43" t="s">
        <v>89</v>
      </c>
      <c r="B5" s="186">
        <v>33953</v>
      </c>
      <c r="C5" s="191">
        <v>33953</v>
      </c>
      <c r="D5" s="43" t="s">
        <v>450</v>
      </c>
      <c r="E5" s="43" t="s">
        <v>205</v>
      </c>
      <c r="F5" s="73">
        <v>36</v>
      </c>
      <c r="I5" s="110" t="s">
        <v>19</v>
      </c>
      <c r="J5" s="159">
        <v>22</v>
      </c>
      <c r="K5" s="159">
        <v>1321.63</v>
      </c>
      <c r="L5" s="211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  <c r="V5" s="294" t="s">
        <v>529</v>
      </c>
      <c r="W5" s="43" t="s">
        <v>550</v>
      </c>
      <c r="X5" s="231">
        <v>18000</v>
      </c>
      <c r="Y5" s="231">
        <v>18000</v>
      </c>
      <c r="Z5" s="198">
        <v>45492</v>
      </c>
      <c r="AC5">
        <v>34000</v>
      </c>
    </row>
    <row r="6" spans="1:35" x14ac:dyDescent="0.3">
      <c r="A6" s="43" t="s">
        <v>3</v>
      </c>
      <c r="B6" s="186">
        <v>2000</v>
      </c>
      <c r="C6" s="191">
        <v>2000</v>
      </c>
      <c r="D6" s="43"/>
      <c r="E6" s="43" t="s">
        <v>6</v>
      </c>
      <c r="F6" s="73">
        <v>8100</v>
      </c>
      <c r="I6" s="110" t="s">
        <v>362</v>
      </c>
      <c r="J6" s="159">
        <v>6</v>
      </c>
      <c r="K6" s="159">
        <v>1918.68</v>
      </c>
      <c r="L6" s="211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  <c r="V6" s="294"/>
      <c r="W6" s="43" t="s">
        <v>528</v>
      </c>
      <c r="X6" s="231">
        <v>41000</v>
      </c>
      <c r="Y6" s="231">
        <v>41000</v>
      </c>
      <c r="Z6" s="198">
        <v>45498</v>
      </c>
      <c r="AC6">
        <v>65000</v>
      </c>
    </row>
    <row r="7" spans="1:35" x14ac:dyDescent="0.3">
      <c r="A7" s="43" t="s">
        <v>9</v>
      </c>
      <c r="B7" s="186">
        <v>2226</v>
      </c>
      <c r="C7" s="186"/>
      <c r="D7" s="43"/>
      <c r="E7" s="43" t="s">
        <v>430</v>
      </c>
      <c r="F7" s="44">
        <f>B25</f>
        <v>285364.91000000003</v>
      </c>
      <c r="I7" s="110" t="s">
        <v>363</v>
      </c>
      <c r="J7" s="159">
        <v>5</v>
      </c>
      <c r="K7" s="159">
        <v>1049.19</v>
      </c>
      <c r="L7" s="211">
        <f t="shared" si="1"/>
        <v>5245.9500000000007</v>
      </c>
      <c r="M7" s="192">
        <v>45108</v>
      </c>
      <c r="N7" s="43"/>
      <c r="O7" s="43"/>
      <c r="P7" s="73"/>
      <c r="R7" s="43"/>
      <c r="S7" s="73"/>
      <c r="V7" s="294"/>
      <c r="W7" s="43" t="s">
        <v>530</v>
      </c>
      <c r="X7" s="231">
        <v>7000</v>
      </c>
      <c r="Y7" s="231">
        <v>7000</v>
      </c>
      <c r="Z7" s="198">
        <v>45498</v>
      </c>
      <c r="AC7">
        <v>11418</v>
      </c>
    </row>
    <row r="8" spans="1:35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9">
        <v>11</v>
      </c>
      <c r="K8" s="159">
        <v>470.99</v>
      </c>
      <c r="L8" s="211">
        <f t="shared" si="1"/>
        <v>5180.8900000000003</v>
      </c>
      <c r="M8" s="192">
        <v>45108</v>
      </c>
      <c r="N8" s="43"/>
      <c r="O8" s="43"/>
      <c r="P8" s="108">
        <f>SUM(P3:P6)</f>
        <v>2240000</v>
      </c>
      <c r="R8" s="43"/>
      <c r="S8" s="73">
        <f>SUM(S3:S6)</f>
        <v>1290975</v>
      </c>
      <c r="V8" s="43"/>
      <c r="W8" s="43" t="s">
        <v>527</v>
      </c>
      <c r="X8" s="231">
        <v>547579.80000000005</v>
      </c>
      <c r="Y8" s="231">
        <v>547579.80000000005</v>
      </c>
      <c r="Z8" s="198">
        <v>45498</v>
      </c>
      <c r="AC8">
        <v>25000</v>
      </c>
      <c r="AE8">
        <f>133000+80000</f>
        <v>213000</v>
      </c>
    </row>
    <row r="9" spans="1:35" x14ac:dyDescent="0.3">
      <c r="A9" s="43" t="s">
        <v>107</v>
      </c>
      <c r="B9" s="186">
        <v>619</v>
      </c>
      <c r="C9" s="191">
        <v>619</v>
      </c>
      <c r="D9" s="43"/>
      <c r="E9" s="43"/>
      <c r="F9" s="43"/>
      <c r="I9" s="110" t="s">
        <v>377</v>
      </c>
      <c r="J9" s="159">
        <v>4</v>
      </c>
      <c r="K9" s="159">
        <v>1376.72</v>
      </c>
      <c r="L9" s="211">
        <f t="shared" si="1"/>
        <v>5506.88</v>
      </c>
      <c r="N9" s="43"/>
      <c r="O9" s="43"/>
      <c r="P9" s="73"/>
      <c r="R9" s="43"/>
      <c r="S9" s="73"/>
      <c r="AC9">
        <v>6000</v>
      </c>
      <c r="AE9">
        <f>AE8-AC18</f>
        <v>-7418</v>
      </c>
      <c r="AH9" t="s">
        <v>536</v>
      </c>
      <c r="AI9">
        <v>485000</v>
      </c>
    </row>
    <row r="10" spans="1:35" x14ac:dyDescent="0.3">
      <c r="A10" s="43" t="s">
        <v>174</v>
      </c>
      <c r="B10" s="186">
        <v>5000</v>
      </c>
      <c r="C10" s="191">
        <v>1000</v>
      </c>
      <c r="D10" s="43"/>
      <c r="E10" s="43" t="s">
        <v>442</v>
      </c>
      <c r="F10" s="73">
        <v>234.82</v>
      </c>
      <c r="I10" s="110" t="s">
        <v>387</v>
      </c>
      <c r="J10" s="159">
        <v>5</v>
      </c>
      <c r="K10" s="159">
        <v>936.51</v>
      </c>
      <c r="L10" s="211">
        <f t="shared" si="1"/>
        <v>4682.55</v>
      </c>
      <c r="M10" s="192">
        <v>45108</v>
      </c>
      <c r="N10" s="43"/>
      <c r="O10" s="43" t="s">
        <v>339</v>
      </c>
      <c r="P10" s="134">
        <v>500000</v>
      </c>
      <c r="S10" s="30"/>
      <c r="W10" s="226" t="s">
        <v>535</v>
      </c>
      <c r="X10" s="243">
        <f>SUM(X4:X8)</f>
        <v>713579.8</v>
      </c>
      <c r="Y10" s="243">
        <f>SUM(Y4:Y8)</f>
        <v>713579.8</v>
      </c>
      <c r="AC10">
        <v>50000</v>
      </c>
      <c r="AH10" t="s">
        <v>537</v>
      </c>
      <c r="AI10">
        <f>2*108675</f>
        <v>217350</v>
      </c>
    </row>
    <row r="11" spans="1:35" x14ac:dyDescent="0.3">
      <c r="A11" s="43" t="s">
        <v>564</v>
      </c>
      <c r="B11" s="186">
        <v>66800</v>
      </c>
      <c r="C11" s="191">
        <v>66800</v>
      </c>
      <c r="D11" s="43" t="s">
        <v>449</v>
      </c>
      <c r="E11" s="43" t="s">
        <v>441</v>
      </c>
      <c r="F11" s="73">
        <v>1419.04</v>
      </c>
      <c r="I11" s="110" t="s">
        <v>380</v>
      </c>
      <c r="J11" s="159">
        <v>5</v>
      </c>
      <c r="K11" s="159">
        <v>959.34</v>
      </c>
      <c r="L11" s="211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  <c r="AC11">
        <v>5000</v>
      </c>
    </row>
    <row r="12" spans="1:35" x14ac:dyDescent="0.3">
      <c r="A12" s="43" t="s">
        <v>285</v>
      </c>
      <c r="B12" s="186">
        <v>3825</v>
      </c>
      <c r="C12" s="191">
        <v>3825</v>
      </c>
      <c r="D12" s="85"/>
      <c r="E12" s="43" t="s">
        <v>443</v>
      </c>
      <c r="F12" s="73">
        <v>3500</v>
      </c>
      <c r="I12" s="110" t="s">
        <v>385</v>
      </c>
      <c r="J12" s="159">
        <v>50</v>
      </c>
      <c r="K12" s="159">
        <v>43.35</v>
      </c>
      <c r="L12" s="211">
        <f t="shared" si="1"/>
        <v>2167.5</v>
      </c>
      <c r="N12" s="43"/>
      <c r="O12" s="43" t="s">
        <v>6</v>
      </c>
      <c r="P12" s="134">
        <v>50000</v>
      </c>
      <c r="AC12">
        <v>10000</v>
      </c>
    </row>
    <row r="13" spans="1:35" x14ac:dyDescent="0.3">
      <c r="A13" s="43" t="s">
        <v>414</v>
      </c>
      <c r="B13" s="186">
        <v>18054</v>
      </c>
      <c r="C13" s="191">
        <v>18054</v>
      </c>
      <c r="D13" s="221" t="s">
        <v>449</v>
      </c>
      <c r="E13" s="43" t="s">
        <v>455</v>
      </c>
      <c r="F13" s="73">
        <v>8000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  <c r="V13" s="293" t="s">
        <v>562</v>
      </c>
      <c r="W13" s="293"/>
      <c r="AC13">
        <v>5000</v>
      </c>
      <c r="AI13">
        <f>SUM(AI9:AI10)</f>
        <v>702350</v>
      </c>
    </row>
    <row r="14" spans="1:35" ht="15" thickBot="1" x14ac:dyDescent="0.35">
      <c r="A14" s="43" t="s">
        <v>109</v>
      </c>
      <c r="B14" s="186">
        <f>18195*2</f>
        <v>36390</v>
      </c>
      <c r="C14" s="186"/>
      <c r="D14" s="248"/>
      <c r="E14" s="43" t="s">
        <v>456</v>
      </c>
      <c r="F14" s="73">
        <v>1000</v>
      </c>
      <c r="I14" s="169" t="s">
        <v>447</v>
      </c>
      <c r="J14" s="209">
        <v>4</v>
      </c>
      <c r="K14" s="209">
        <v>507.02</v>
      </c>
      <c r="L14" s="210">
        <f t="shared" si="1"/>
        <v>2028.08</v>
      </c>
      <c r="N14" s="43"/>
      <c r="O14" s="43" t="s">
        <v>408</v>
      </c>
      <c r="P14" s="134">
        <v>10000</v>
      </c>
      <c r="V14" s="239"/>
      <c r="W14" s="43" t="s">
        <v>557</v>
      </c>
      <c r="X14" s="231">
        <v>323461</v>
      </c>
      <c r="Y14" s="231">
        <v>323461</v>
      </c>
      <c r="Z14" s="198">
        <v>45500</v>
      </c>
      <c r="AC14">
        <v>2000</v>
      </c>
      <c r="AH14" t="s">
        <v>538</v>
      </c>
      <c r="AI14">
        <v>639000</v>
      </c>
    </row>
    <row r="15" spans="1:35" x14ac:dyDescent="0.3">
      <c r="A15" s="43" t="s">
        <v>574</v>
      </c>
      <c r="B15" s="186">
        <v>10000</v>
      </c>
      <c r="C15" s="191">
        <v>10000</v>
      </c>
      <c r="D15" s="43"/>
      <c r="E15" s="43" t="s">
        <v>457</v>
      </c>
      <c r="F15" s="73">
        <v>5074</v>
      </c>
      <c r="L15" s="193">
        <f>SUM(L4:L14)</f>
        <v>72210.990000000005</v>
      </c>
      <c r="N15" s="43"/>
      <c r="O15" s="43"/>
      <c r="P15" s="134">
        <f>SUM(P10:P14)</f>
        <v>815000</v>
      </c>
      <c r="V15" s="43"/>
      <c r="W15" s="43" t="s">
        <v>561</v>
      </c>
      <c r="X15" s="231">
        <v>8500</v>
      </c>
      <c r="Y15" s="231">
        <v>8500</v>
      </c>
      <c r="Z15" s="198">
        <v>45500</v>
      </c>
      <c r="AC15">
        <v>4000</v>
      </c>
      <c r="AI15">
        <f>AI13-AI14</f>
        <v>63350</v>
      </c>
    </row>
    <row r="16" spans="1:35" x14ac:dyDescent="0.3">
      <c r="A16" s="43"/>
      <c r="B16" s="186"/>
      <c r="C16" s="186"/>
      <c r="D16" s="186">
        <f>SUM(C14:C16)</f>
        <v>10000</v>
      </c>
      <c r="E16" s="43" t="s">
        <v>458</v>
      </c>
      <c r="F16" s="73">
        <v>113280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  <c r="V16" s="43"/>
      <c r="W16" s="226" t="s">
        <v>535</v>
      </c>
      <c r="X16" s="243">
        <f>SUM(X14:X15)</f>
        <v>331961</v>
      </c>
      <c r="Y16" s="243">
        <f>SUM(Y14:Y15)</f>
        <v>331961</v>
      </c>
      <c r="AC16">
        <v>3000</v>
      </c>
    </row>
    <row r="17" spans="1:34" x14ac:dyDescent="0.3">
      <c r="A17" s="73"/>
      <c r="B17" s="73"/>
      <c r="C17" s="73"/>
      <c r="D17" s="202"/>
      <c r="E17" s="43" t="s">
        <v>459</v>
      </c>
      <c r="F17" s="73">
        <v>750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34" ht="15" thickBot="1" x14ac:dyDescent="0.35">
      <c r="A18" s="123" t="s">
        <v>123</v>
      </c>
      <c r="B18" s="123">
        <v>5000</v>
      </c>
      <c r="C18" s="73"/>
      <c r="D18" s="202"/>
      <c r="E18" s="43" t="s">
        <v>463</v>
      </c>
      <c r="F18" s="73">
        <v>1000</v>
      </c>
      <c r="G18" s="167" t="s">
        <v>109</v>
      </c>
      <c r="H18" s="116">
        <v>18195</v>
      </c>
      <c r="I18" s="113" t="s">
        <v>522</v>
      </c>
      <c r="N18" s="43"/>
      <c r="O18" s="43"/>
      <c r="R18" t="s">
        <v>412</v>
      </c>
      <c r="S18" s="73">
        <v>93000</v>
      </c>
      <c r="AC18">
        <f>SUM(AC5:AC16)</f>
        <v>220418</v>
      </c>
    </row>
    <row r="19" spans="1:34" ht="15" thickBot="1" x14ac:dyDescent="0.35">
      <c r="A19" s="123" t="s">
        <v>81</v>
      </c>
      <c r="B19" s="123">
        <v>50000</v>
      </c>
      <c r="C19" s="186"/>
      <c r="D19" s="72"/>
      <c r="E19" s="43" t="s">
        <v>464</v>
      </c>
      <c r="F19" s="73">
        <v>700</v>
      </c>
      <c r="G19" s="181" t="s">
        <v>268</v>
      </c>
      <c r="H19" s="112">
        <v>10526</v>
      </c>
      <c r="I19" s="113" t="s">
        <v>522</v>
      </c>
      <c r="N19" s="43"/>
      <c r="O19" s="104" t="s">
        <v>410</v>
      </c>
      <c r="P19" s="177">
        <f>(P17-P16)</f>
        <v>-151000</v>
      </c>
      <c r="S19" s="73">
        <f>SUM(S17:S18)</f>
        <v>147000</v>
      </c>
      <c r="V19" s="295" t="s">
        <v>526</v>
      </c>
      <c r="W19" s="293"/>
    </row>
    <row r="20" spans="1:34" x14ac:dyDescent="0.3">
      <c r="A20" s="123" t="s">
        <v>213</v>
      </c>
      <c r="B20" s="123">
        <f>AA50</f>
        <v>202001</v>
      </c>
      <c r="C20" s="186"/>
      <c r="D20" s="72"/>
      <c r="E20" s="43"/>
      <c r="F20" s="73"/>
      <c r="G20" s="181"/>
      <c r="H20" s="112"/>
      <c r="I20" s="113"/>
      <c r="N20" s="43"/>
      <c r="O20" s="104"/>
      <c r="P20" s="30"/>
      <c r="S20" s="73"/>
      <c r="V20" s="43"/>
      <c r="W20" s="43" t="s">
        <v>539</v>
      </c>
      <c r="X20" s="223">
        <f>AB1-X4</f>
        <v>8200000</v>
      </c>
      <c r="Y20" s="233"/>
      <c r="AC20">
        <v>8300000</v>
      </c>
      <c r="AE20" t="s">
        <v>542</v>
      </c>
      <c r="AF20">
        <v>750000</v>
      </c>
    </row>
    <row r="21" spans="1:34" x14ac:dyDescent="0.3">
      <c r="A21" s="123"/>
      <c r="B21" s="123"/>
      <c r="C21" s="186"/>
      <c r="D21" s="43"/>
      <c r="E21" s="43" t="s">
        <v>465</v>
      </c>
      <c r="F21" s="73">
        <v>2000</v>
      </c>
      <c r="G21" s="80" t="s">
        <v>298</v>
      </c>
      <c r="H21" s="80">
        <v>5000</v>
      </c>
      <c r="I21" s="113">
        <v>44896</v>
      </c>
      <c r="N21" s="43"/>
      <c r="O21" s="43"/>
      <c r="P21" s="89"/>
      <c r="R21" t="s">
        <v>411</v>
      </c>
      <c r="S21" s="73">
        <v>90000</v>
      </c>
      <c r="V21" s="43"/>
      <c r="W21" s="43" t="s">
        <v>531</v>
      </c>
      <c r="X21" s="245">
        <v>1000000</v>
      </c>
      <c r="Y21" s="235"/>
      <c r="AB21" t="s">
        <v>540</v>
      </c>
      <c r="AC21">
        <v>100000</v>
      </c>
      <c r="AE21" t="s">
        <v>545</v>
      </c>
      <c r="AF21">
        <v>200000</v>
      </c>
    </row>
    <row r="22" spans="1:34" x14ac:dyDescent="0.3">
      <c r="A22" s="123" t="s">
        <v>475</v>
      </c>
      <c r="B22" s="123">
        <v>10000</v>
      </c>
      <c r="C22" s="73"/>
      <c r="D22" s="43" t="s">
        <v>511</v>
      </c>
      <c r="E22" s="43" t="s">
        <v>462</v>
      </c>
      <c r="F22" s="73">
        <v>5000</v>
      </c>
      <c r="G22" s="80" t="s">
        <v>256</v>
      </c>
      <c r="H22" s="80">
        <v>7600</v>
      </c>
      <c r="I22" s="113" t="s">
        <v>523</v>
      </c>
      <c r="K22" s="43" t="s">
        <v>479</v>
      </c>
      <c r="L22" s="43" t="s">
        <v>480</v>
      </c>
      <c r="S22" s="73">
        <f>(S19-S21)</f>
        <v>57000</v>
      </c>
      <c r="V22" s="43"/>
      <c r="W22" s="244" t="s">
        <v>560</v>
      </c>
      <c r="X22" s="231">
        <v>200000</v>
      </c>
      <c r="Y22" s="231">
        <v>200000</v>
      </c>
      <c r="Z22" s="198">
        <v>45502</v>
      </c>
      <c r="AC22">
        <f>AC20-AC21</f>
        <v>8200000</v>
      </c>
      <c r="AE22" t="s">
        <v>544</v>
      </c>
      <c r="AF22">
        <v>300000</v>
      </c>
    </row>
    <row r="23" spans="1:34" x14ac:dyDescent="0.3">
      <c r="A23" s="116" t="s">
        <v>203</v>
      </c>
      <c r="B23" s="190">
        <v>13000</v>
      </c>
      <c r="C23" s="186"/>
      <c r="D23" s="145"/>
      <c r="E23" s="43" t="s">
        <v>467</v>
      </c>
      <c r="F23" s="73">
        <v>6700</v>
      </c>
      <c r="G23" s="115" t="s">
        <v>431</v>
      </c>
      <c r="H23" s="116">
        <v>20481</v>
      </c>
      <c r="I23" s="113" t="s">
        <v>521</v>
      </c>
      <c r="K23" s="43"/>
      <c r="L23" s="43" t="s">
        <v>481</v>
      </c>
      <c r="R23" s="65"/>
      <c r="S23" s="73"/>
      <c r="V23" s="43"/>
      <c r="W23" s="104" t="s">
        <v>558</v>
      </c>
      <c r="X23" s="242">
        <v>400000</v>
      </c>
      <c r="Y23" s="242">
        <v>100000</v>
      </c>
      <c r="Z23" s="198">
        <v>45502</v>
      </c>
      <c r="AB23" t="s">
        <v>541</v>
      </c>
      <c r="AC23">
        <v>500000</v>
      </c>
      <c r="AD23" t="s">
        <v>543</v>
      </c>
      <c r="AF23">
        <f>SUM(AF21:AF22)</f>
        <v>500000</v>
      </c>
    </row>
    <row r="24" spans="1:34" x14ac:dyDescent="0.3">
      <c r="A24" s="115" t="s">
        <v>381</v>
      </c>
      <c r="B24" s="190">
        <v>23000</v>
      </c>
      <c r="C24" s="186"/>
      <c r="D24" s="43"/>
      <c r="E24" s="43" t="s">
        <v>468</v>
      </c>
      <c r="F24" s="73">
        <f>'September 23'!AO30</f>
        <v>0</v>
      </c>
      <c r="G24" s="115"/>
      <c r="H24" s="116"/>
      <c r="I24" s="113"/>
      <c r="K24" s="43"/>
      <c r="L24" s="43" t="s">
        <v>482</v>
      </c>
      <c r="R24" t="s">
        <v>142</v>
      </c>
      <c r="S24" s="73">
        <v>200000</v>
      </c>
      <c r="V24" s="43"/>
      <c r="W24" s="43" t="s">
        <v>571</v>
      </c>
      <c r="X24" s="231">
        <v>7500</v>
      </c>
      <c r="Y24" s="231">
        <v>7500</v>
      </c>
      <c r="AC24">
        <f>AC22-AC23</f>
        <v>7700000</v>
      </c>
      <c r="AF24">
        <f>AF23-AF20</f>
        <v>-250000</v>
      </c>
    </row>
    <row r="25" spans="1:34" x14ac:dyDescent="0.3">
      <c r="A25" s="64" t="s">
        <v>5</v>
      </c>
      <c r="B25" s="186">
        <f>SUM(B1:B16)</f>
        <v>285364.91000000003</v>
      </c>
      <c r="C25" s="186">
        <f>SUM(C1:C17)</f>
        <v>200670</v>
      </c>
      <c r="D25" s="72"/>
      <c r="E25" s="43" t="s">
        <v>469</v>
      </c>
      <c r="F25" s="73">
        <v>51800</v>
      </c>
      <c r="G25" s="124"/>
      <c r="H25" s="118"/>
      <c r="I25" s="113"/>
      <c r="K25" s="43"/>
      <c r="L25" s="43" t="s">
        <v>483</v>
      </c>
      <c r="R25" t="s">
        <v>206</v>
      </c>
      <c r="S25" s="73">
        <f>(S22+S24)</f>
        <v>257000</v>
      </c>
      <c r="AB25" t="s">
        <v>546</v>
      </c>
      <c r="AC25">
        <v>8000000</v>
      </c>
    </row>
    <row r="26" spans="1:34" x14ac:dyDescent="0.3">
      <c r="A26" s="43"/>
      <c r="B26" s="43"/>
      <c r="C26" s="43"/>
      <c r="D26" s="72"/>
      <c r="E26" s="178" t="s">
        <v>470</v>
      </c>
      <c r="F26" s="179">
        <v>22000</v>
      </c>
      <c r="G26" s="43"/>
      <c r="H26" s="106"/>
      <c r="I26" s="114"/>
      <c r="K26" s="199"/>
      <c r="L26" s="43">
        <v>1270</v>
      </c>
      <c r="O26">
        <v>176000</v>
      </c>
      <c r="S26" s="73"/>
      <c r="V26" s="43"/>
      <c r="W26" s="226" t="s">
        <v>535</v>
      </c>
      <c r="X26" s="225">
        <f>SUM(X22:X24)</f>
        <v>607500</v>
      </c>
      <c r="Y26" s="225">
        <f>SUM(Y22:Y24)</f>
        <v>307500</v>
      </c>
    </row>
    <row r="27" spans="1:34" x14ac:dyDescent="0.3">
      <c r="A27" s="64" t="s">
        <v>228</v>
      </c>
      <c r="B27" s="43"/>
      <c r="C27" s="62">
        <f>(C25-B25)</f>
        <v>-84694.910000000033</v>
      </c>
      <c r="D27" s="43" t="s">
        <v>227</v>
      </c>
      <c r="E27" s="43" t="s">
        <v>471</v>
      </c>
      <c r="F27" s="73">
        <v>11500</v>
      </c>
      <c r="K27" s="73" t="s">
        <v>485</v>
      </c>
      <c r="L27" s="43" t="s">
        <v>484</v>
      </c>
      <c r="O27">
        <v>152000</v>
      </c>
      <c r="R27" t="s">
        <v>413</v>
      </c>
      <c r="S27" s="73">
        <v>260000</v>
      </c>
      <c r="V27" s="43"/>
      <c r="W27" s="43" t="s">
        <v>5</v>
      </c>
      <c r="X27" s="224">
        <f>SUM(X10,X16,X26)</f>
        <v>1653040.8</v>
      </c>
      <c r="Y27" s="236"/>
    </row>
    <row r="28" spans="1:34" x14ac:dyDescent="0.3">
      <c r="A28" s="64"/>
      <c r="B28" s="43"/>
      <c r="C28" s="43"/>
      <c r="D28" s="43"/>
      <c r="E28" s="43" t="s">
        <v>472</v>
      </c>
      <c r="F28" s="73">
        <v>26000</v>
      </c>
      <c r="H28">
        <f>55000-110000</f>
        <v>-55000</v>
      </c>
      <c r="K28" s="43" t="s">
        <v>486</v>
      </c>
      <c r="L28" s="43">
        <v>1250</v>
      </c>
      <c r="O28">
        <f>O26-O27</f>
        <v>24000</v>
      </c>
      <c r="S28" s="30">
        <f>(S27-S25)</f>
        <v>3000</v>
      </c>
      <c r="AG28" t="s">
        <v>569</v>
      </c>
      <c r="AH28" t="s">
        <v>568</v>
      </c>
    </row>
    <row r="29" spans="1:34" x14ac:dyDescent="0.3">
      <c r="A29" s="64" t="s">
        <v>225</v>
      </c>
      <c r="B29" s="43"/>
      <c r="C29" s="62">
        <f>(F6+C27)</f>
        <v>-76594.910000000033</v>
      </c>
      <c r="D29" s="43"/>
      <c r="E29" s="43" t="s">
        <v>476</v>
      </c>
      <c r="F29" s="186">
        <v>41600</v>
      </c>
      <c r="K29" s="43" t="s">
        <v>487</v>
      </c>
      <c r="L29" s="43">
        <v>91</v>
      </c>
      <c r="AE29">
        <v>619000</v>
      </c>
      <c r="AF29" s="247">
        <f>AG29/AE29</f>
        <v>2.4232633279483036E-3</v>
      </c>
      <c r="AG29">
        <f>AH29/12</f>
        <v>1500</v>
      </c>
      <c r="AH29">
        <v>18000</v>
      </c>
    </row>
    <row r="30" spans="1:34" x14ac:dyDescent="0.3">
      <c r="F30" s="73">
        <f>SUM(F10:F29)</f>
        <v>301557.86</v>
      </c>
      <c r="K30" s="43"/>
      <c r="L30" s="43">
        <f>L28*L29</f>
        <v>113750</v>
      </c>
      <c r="V30" s="293" t="s">
        <v>532</v>
      </c>
      <c r="W30" s="293"/>
      <c r="AE30">
        <v>100000</v>
      </c>
      <c r="AF30">
        <v>0.02</v>
      </c>
      <c r="AG30">
        <f>AE30*AF30</f>
        <v>2000</v>
      </c>
      <c r="AH30">
        <f>AG30*12</f>
        <v>24000</v>
      </c>
    </row>
    <row r="31" spans="1:34" x14ac:dyDescent="0.3">
      <c r="K31" s="43" t="s">
        <v>488</v>
      </c>
      <c r="L31" s="73">
        <v>99130</v>
      </c>
      <c r="V31" s="43"/>
      <c r="W31" s="43" t="s">
        <v>89</v>
      </c>
      <c r="X31" s="222">
        <v>8000000</v>
      </c>
      <c r="Y31" s="235"/>
      <c r="Z31" s="198">
        <v>45509</v>
      </c>
      <c r="AA31" t="s">
        <v>566</v>
      </c>
      <c r="AE31">
        <v>619000</v>
      </c>
      <c r="AF31">
        <v>2.4299999999999999E-3</v>
      </c>
      <c r="AG31">
        <f>AE31*AF31</f>
        <v>1504.1699999999998</v>
      </c>
      <c r="AH31">
        <f>AG31*12</f>
        <v>18050.039999999997</v>
      </c>
    </row>
    <row r="32" spans="1:34" x14ac:dyDescent="0.3">
      <c r="K32" s="43"/>
      <c r="L32" s="106">
        <f>L30+L31</f>
        <v>212880</v>
      </c>
      <c r="O32">
        <f>5000/40</f>
        <v>125</v>
      </c>
      <c r="V32" s="43"/>
      <c r="W32" s="43" t="s">
        <v>533</v>
      </c>
      <c r="X32" s="222">
        <v>578957</v>
      </c>
      <c r="Y32" s="235">
        <v>18500</v>
      </c>
      <c r="Z32" s="198">
        <v>45540</v>
      </c>
      <c r="AA32" t="s">
        <v>566</v>
      </c>
      <c r="AE32">
        <v>3500000</v>
      </c>
      <c r="AF32">
        <v>0.09</v>
      </c>
      <c r="AG32">
        <f>AE32*AF32</f>
        <v>315000</v>
      </c>
      <c r="AH32" s="246">
        <f>AG32*12</f>
        <v>3780000</v>
      </c>
    </row>
    <row r="33" spans="11:34" x14ac:dyDescent="0.3">
      <c r="K33" s="178" t="s">
        <v>490</v>
      </c>
      <c r="L33" s="91">
        <v>-109464</v>
      </c>
      <c r="O33">
        <v>23</v>
      </c>
      <c r="P33">
        <f>O32*O33</f>
        <v>2875</v>
      </c>
      <c r="V33" s="43"/>
      <c r="W33" s="43" t="s">
        <v>556</v>
      </c>
      <c r="X33" s="222">
        <v>300000</v>
      </c>
      <c r="Y33" s="235"/>
      <c r="AE33">
        <v>8000000</v>
      </c>
      <c r="AF33">
        <v>0.09</v>
      </c>
      <c r="AG33">
        <f>AE33*AF33</f>
        <v>720000</v>
      </c>
      <c r="AH33" s="246">
        <f>AG33*12</f>
        <v>8640000</v>
      </c>
    </row>
    <row r="34" spans="11:34" x14ac:dyDescent="0.3">
      <c r="K34" s="43" t="s">
        <v>488</v>
      </c>
      <c r="L34" s="200">
        <v>-25000</v>
      </c>
      <c r="P34">
        <v>2875</v>
      </c>
      <c r="V34" s="43"/>
      <c r="W34" s="43" t="s">
        <v>551</v>
      </c>
      <c r="X34" s="43"/>
    </row>
    <row r="35" spans="11:34" x14ac:dyDescent="0.3">
      <c r="K35" s="43" t="s">
        <v>143</v>
      </c>
      <c r="L35" s="73">
        <f>L32+L33+L34</f>
        <v>78416</v>
      </c>
      <c r="P35">
        <v>6000</v>
      </c>
      <c r="V35" s="43"/>
      <c r="W35" s="226" t="s">
        <v>535</v>
      </c>
      <c r="X35" s="227">
        <f>SUM(X31:X33)</f>
        <v>8878957</v>
      </c>
      <c r="Y35" s="237"/>
    </row>
    <row r="36" spans="11:34" x14ac:dyDescent="0.3">
      <c r="V36" s="43"/>
      <c r="W36" s="43" t="s">
        <v>534</v>
      </c>
      <c r="X36" s="228">
        <f>X27+X35</f>
        <v>10531997.800000001</v>
      </c>
      <c r="Y36" s="238"/>
    </row>
    <row r="37" spans="11:34" x14ac:dyDescent="0.3">
      <c r="X37" s="233"/>
      <c r="Y37" s="233"/>
    </row>
    <row r="39" spans="11:34" x14ac:dyDescent="0.3">
      <c r="V39" s="229" t="s">
        <v>551</v>
      </c>
      <c r="W39" s="229"/>
      <c r="X39" s="229"/>
      <c r="Y39" s="229"/>
      <c r="Z39" s="232" t="s">
        <v>26</v>
      </c>
      <c r="AA39" s="232" t="s">
        <v>214</v>
      </c>
    </row>
    <row r="40" spans="11:34" x14ac:dyDescent="0.3">
      <c r="V40" s="43"/>
      <c r="W40" s="43" t="s">
        <v>494</v>
      </c>
      <c r="X40" s="222">
        <v>165000</v>
      </c>
      <c r="Y40" s="222"/>
      <c r="Z40" s="222"/>
      <c r="AA40" s="223">
        <f t="shared" ref="AA40:AA47" si="2">X40-Z40</f>
        <v>165000</v>
      </c>
      <c r="AE40">
        <v>5661</v>
      </c>
      <c r="AF40">
        <v>58000</v>
      </c>
    </row>
    <row r="41" spans="11:34" x14ac:dyDescent="0.3">
      <c r="V41" s="221">
        <v>45497</v>
      </c>
      <c r="W41" s="43" t="s">
        <v>545</v>
      </c>
      <c r="X41" s="222">
        <v>250000</v>
      </c>
      <c r="Y41" s="222"/>
      <c r="Z41" s="222"/>
      <c r="AA41" s="223">
        <f t="shared" si="2"/>
        <v>250000</v>
      </c>
      <c r="AE41">
        <v>5702</v>
      </c>
      <c r="AF41">
        <v>57959</v>
      </c>
    </row>
    <row r="42" spans="11:34" x14ac:dyDescent="0.3">
      <c r="V42" s="221">
        <v>45497</v>
      </c>
      <c r="W42" s="43" t="s">
        <v>552</v>
      </c>
      <c r="X42" s="222">
        <v>100000</v>
      </c>
      <c r="Y42" s="222"/>
      <c r="Z42" s="222">
        <v>100000</v>
      </c>
      <c r="AA42" s="223">
        <f t="shared" si="2"/>
        <v>0</v>
      </c>
      <c r="AE42">
        <v>5743</v>
      </c>
      <c r="AF42">
        <v>57918</v>
      </c>
    </row>
    <row r="43" spans="11:34" x14ac:dyDescent="0.3">
      <c r="V43" s="221">
        <v>45498</v>
      </c>
      <c r="W43" s="43" t="s">
        <v>553</v>
      </c>
      <c r="X43" s="222">
        <v>50000</v>
      </c>
      <c r="Y43" s="222"/>
      <c r="Z43" s="222">
        <v>50000</v>
      </c>
      <c r="AA43" s="223">
        <f t="shared" si="2"/>
        <v>0</v>
      </c>
      <c r="AE43">
        <v>5785</v>
      </c>
      <c r="AF43">
        <v>57876</v>
      </c>
    </row>
    <row r="44" spans="11:34" x14ac:dyDescent="0.3">
      <c r="V44" s="221">
        <v>45500</v>
      </c>
      <c r="W44" s="43" t="s">
        <v>554</v>
      </c>
      <c r="X44" s="222">
        <v>120000</v>
      </c>
      <c r="Y44" s="222"/>
      <c r="Z44" s="222">
        <v>120000</v>
      </c>
      <c r="AA44" s="223">
        <f t="shared" si="2"/>
        <v>0</v>
      </c>
      <c r="AE44">
        <v>5827</v>
      </c>
      <c r="AF44">
        <v>57834</v>
      </c>
    </row>
    <row r="45" spans="11:34" x14ac:dyDescent="0.3">
      <c r="V45" s="221">
        <v>45500</v>
      </c>
      <c r="W45" s="43" t="s">
        <v>553</v>
      </c>
      <c r="X45" s="234">
        <v>240000</v>
      </c>
      <c r="Y45" s="234"/>
      <c r="Z45" s="222">
        <v>225000</v>
      </c>
      <c r="AA45" s="223">
        <f t="shared" si="2"/>
        <v>15000</v>
      </c>
      <c r="AE45">
        <v>5869</v>
      </c>
      <c r="AF45">
        <v>57792</v>
      </c>
    </row>
    <row r="46" spans="11:34" x14ac:dyDescent="0.3">
      <c r="V46" s="221">
        <v>45500</v>
      </c>
      <c r="W46" s="43" t="s">
        <v>555</v>
      </c>
      <c r="X46" s="222">
        <v>600000</v>
      </c>
      <c r="Y46" s="222"/>
      <c r="Z46" s="222">
        <v>400000</v>
      </c>
      <c r="AA46" s="223">
        <f>X46-Z46</f>
        <v>200000</v>
      </c>
      <c r="AE46">
        <v>5912</v>
      </c>
      <c r="AF46">
        <v>57749</v>
      </c>
    </row>
    <row r="47" spans="11:34" x14ac:dyDescent="0.3">
      <c r="V47" s="221">
        <v>45517</v>
      </c>
      <c r="W47" s="178" t="s">
        <v>554</v>
      </c>
      <c r="X47" s="249">
        <v>100000</v>
      </c>
      <c r="Y47" s="43"/>
      <c r="Z47" s="43"/>
      <c r="AA47" s="223">
        <f t="shared" si="2"/>
        <v>100000</v>
      </c>
      <c r="AE47">
        <v>5955</v>
      </c>
      <c r="AF47">
        <v>57706</v>
      </c>
    </row>
    <row r="48" spans="11:34" x14ac:dyDescent="0.3">
      <c r="V48" s="221">
        <v>45517</v>
      </c>
      <c r="W48" s="43" t="s">
        <v>555</v>
      </c>
      <c r="X48" s="234">
        <v>200000</v>
      </c>
      <c r="Y48" s="43"/>
      <c r="Z48" s="234">
        <v>100000</v>
      </c>
      <c r="AA48" s="223">
        <f>X48-Z48</f>
        <v>100000</v>
      </c>
    </row>
    <row r="49" spans="22:32" x14ac:dyDescent="0.3">
      <c r="V49" s="221">
        <v>45528</v>
      </c>
      <c r="W49" s="43" t="s">
        <v>545</v>
      </c>
      <c r="X49" s="234">
        <v>250000</v>
      </c>
      <c r="Y49" s="43"/>
      <c r="Z49" s="234">
        <v>17999</v>
      </c>
      <c r="AA49" s="223">
        <f>X49-Z49</f>
        <v>232001</v>
      </c>
      <c r="AE49" s="246">
        <f>SUM(AE40:AE47)</f>
        <v>46454</v>
      </c>
      <c r="AF49" s="246">
        <f>SUM(AF40:AF47)</f>
        <v>462834</v>
      </c>
    </row>
    <row r="50" spans="22:32" x14ac:dyDescent="0.3">
      <c r="V50" s="221">
        <v>45531</v>
      </c>
      <c r="W50" s="43" t="s">
        <v>545</v>
      </c>
      <c r="X50" s="222">
        <v>232001</v>
      </c>
      <c r="Y50" s="43"/>
      <c r="Z50" s="234">
        <v>30000</v>
      </c>
      <c r="AA50" s="223">
        <f>X50-Z50</f>
        <v>202001</v>
      </c>
    </row>
    <row r="52" spans="22:32" x14ac:dyDescent="0.3">
      <c r="X52" s="223">
        <f>SUM(X40:X45)</f>
        <v>925000</v>
      </c>
      <c r="Y52" s="223"/>
      <c r="Z52" s="223">
        <f>SUM(Z40:Z50)</f>
        <v>1042999</v>
      </c>
      <c r="AA52" s="223">
        <f>SUM(AA45,AA47,AA50)</f>
        <v>317001</v>
      </c>
    </row>
  </sheetData>
  <mergeCells count="8">
    <mergeCell ref="V19:W19"/>
    <mergeCell ref="V30:W30"/>
    <mergeCell ref="E1:F1"/>
    <mergeCell ref="I1:L1"/>
    <mergeCell ref="V3:W3"/>
    <mergeCell ref="J4:L4"/>
    <mergeCell ref="V5:V7"/>
    <mergeCell ref="V13:W13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4801F-15B0-4A66-AB65-EBE357040B17}">
  <dimension ref="A1:AI52"/>
  <sheetViews>
    <sheetView workbookViewId="0">
      <selection activeCell="G27" sqref="G27"/>
    </sheetView>
  </sheetViews>
  <sheetFormatPr defaultRowHeight="14.4" x14ac:dyDescent="0.3"/>
  <cols>
    <col min="1" max="1" width="26.44140625" bestFit="1" customWidth="1"/>
    <col min="2" max="2" width="9.44140625" style="250" bestFit="1" customWidth="1"/>
    <col min="3" max="3" width="13.44140625" bestFit="1" customWidth="1"/>
    <col min="4" max="4" width="13.33203125" bestFit="1" customWidth="1"/>
    <col min="5" max="5" width="15.88671875" bestFit="1" customWidth="1"/>
    <col min="6" max="6" width="10.44140625" bestFit="1" customWidth="1"/>
    <col min="7" max="7" width="16.6640625" bestFit="1" customWidth="1"/>
    <col min="9" max="9" width="14" bestFit="1" customWidth="1"/>
    <col min="11" max="11" width="14" bestFit="1" customWidth="1"/>
    <col min="12" max="12" width="11.33203125" bestFit="1" customWidth="1"/>
    <col min="15" max="15" width="12.5546875" bestFit="1" customWidth="1"/>
    <col min="16" max="16" width="17.5546875" bestFit="1" customWidth="1"/>
    <col min="17" max="17" width="9.6640625" bestFit="1" customWidth="1"/>
    <col min="18" max="18" width="11.109375" bestFit="1" customWidth="1"/>
    <col min="19" max="19" width="13.33203125" bestFit="1" customWidth="1"/>
    <col min="22" max="22" width="14.44140625" bestFit="1" customWidth="1"/>
    <col min="23" max="23" width="33.33203125" bestFit="1" customWidth="1"/>
    <col min="24" max="24" width="14.5546875" bestFit="1" customWidth="1"/>
    <col min="25" max="25" width="14.5546875" customWidth="1"/>
    <col min="26" max="26" width="12.33203125" bestFit="1" customWidth="1"/>
    <col min="27" max="27" width="12.6640625" bestFit="1" customWidth="1"/>
    <col min="28" max="28" width="12.33203125" bestFit="1" customWidth="1"/>
    <col min="31" max="31" width="9.88671875" bestFit="1" customWidth="1"/>
    <col min="32" max="32" width="11.33203125" bestFit="1" customWidth="1"/>
    <col min="33" max="33" width="8" bestFit="1" customWidth="1"/>
    <col min="34" max="34" width="12.33203125" bestFit="1" customWidth="1"/>
  </cols>
  <sheetData>
    <row r="1" spans="1:35" ht="15" thickBot="1" x14ac:dyDescent="0.35">
      <c r="A1" s="43" t="s">
        <v>6</v>
      </c>
      <c r="B1" s="186">
        <v>6000</v>
      </c>
      <c r="C1" s="191">
        <v>6000</v>
      </c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  <c r="AA1" s="241" t="s">
        <v>563</v>
      </c>
      <c r="AB1" s="240">
        <v>8300000</v>
      </c>
    </row>
    <row r="2" spans="1:35" x14ac:dyDescent="0.3">
      <c r="A2" s="43" t="s">
        <v>0</v>
      </c>
      <c r="B2" s="186">
        <v>71072.91</v>
      </c>
      <c r="C2" s="191">
        <v>30000</v>
      </c>
      <c r="D2" s="186" t="s">
        <v>451</v>
      </c>
      <c r="E2" s="43" t="s">
        <v>576</v>
      </c>
      <c r="F2" s="73">
        <v>2070</v>
      </c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35" x14ac:dyDescent="0.3">
      <c r="A3" s="43" t="s">
        <v>575</v>
      </c>
      <c r="B3" s="186">
        <v>5000</v>
      </c>
      <c r="C3" s="191">
        <v>5000</v>
      </c>
      <c r="D3" s="43"/>
      <c r="E3" s="43" t="s">
        <v>265</v>
      </c>
      <c r="F3" s="73">
        <v>18</v>
      </c>
      <c r="G3" s="73"/>
      <c r="H3" s="30"/>
      <c r="I3" s="110" t="s">
        <v>382</v>
      </c>
      <c r="J3" s="159">
        <v>10</v>
      </c>
      <c r="K3" s="159">
        <v>999</v>
      </c>
      <c r="L3" s="211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  <c r="V3" s="293" t="s">
        <v>525</v>
      </c>
      <c r="W3" s="293"/>
    </row>
    <row r="4" spans="1:35" x14ac:dyDescent="0.3">
      <c r="A4" s="43" t="s">
        <v>2</v>
      </c>
      <c r="B4" s="186">
        <v>2000</v>
      </c>
      <c r="C4" s="191">
        <v>2000</v>
      </c>
      <c r="D4" s="43"/>
      <c r="E4" s="43" t="s">
        <v>204</v>
      </c>
      <c r="F4" s="73">
        <v>26010</v>
      </c>
      <c r="G4" s="73"/>
      <c r="I4" s="110" t="s">
        <v>379</v>
      </c>
      <c r="J4" s="290" t="s">
        <v>473</v>
      </c>
      <c r="K4" s="291"/>
      <c r="L4" s="292"/>
      <c r="M4" s="192">
        <v>44682</v>
      </c>
      <c r="N4" s="43"/>
      <c r="O4" s="43"/>
      <c r="P4" s="73"/>
      <c r="R4" s="43"/>
      <c r="S4" s="73"/>
      <c r="V4" s="157"/>
      <c r="W4" s="157" t="s">
        <v>559</v>
      </c>
      <c r="X4" s="230">
        <v>100000</v>
      </c>
      <c r="Y4" s="230">
        <v>100000</v>
      </c>
      <c r="Z4" s="198">
        <v>45485</v>
      </c>
    </row>
    <row r="5" spans="1:35" ht="14.4" customHeight="1" x14ac:dyDescent="0.3">
      <c r="A5" s="43" t="s">
        <v>89</v>
      </c>
      <c r="B5" s="186">
        <v>33953</v>
      </c>
      <c r="C5" s="191">
        <v>33953</v>
      </c>
      <c r="D5" s="43" t="s">
        <v>450</v>
      </c>
      <c r="E5" s="43" t="s">
        <v>205</v>
      </c>
      <c r="F5" s="73">
        <v>1008</v>
      </c>
      <c r="I5" s="110" t="s">
        <v>19</v>
      </c>
      <c r="J5" s="159">
        <v>22</v>
      </c>
      <c r="K5" s="159">
        <v>1321.63</v>
      </c>
      <c r="L5" s="211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  <c r="V5" s="294" t="s">
        <v>529</v>
      </c>
      <c r="W5" s="43" t="s">
        <v>550</v>
      </c>
      <c r="X5" s="231">
        <v>18000</v>
      </c>
      <c r="Y5" s="231">
        <v>18000</v>
      </c>
      <c r="Z5" s="198">
        <v>45492</v>
      </c>
      <c r="AC5">
        <v>34000</v>
      </c>
    </row>
    <row r="6" spans="1:35" x14ac:dyDescent="0.3">
      <c r="A6" s="43" t="s">
        <v>3</v>
      </c>
      <c r="B6" s="186">
        <v>2500</v>
      </c>
      <c r="C6" s="191">
        <v>2500</v>
      </c>
      <c r="D6" s="43"/>
      <c r="E6" s="43" t="s">
        <v>6</v>
      </c>
      <c r="F6" s="73">
        <f>SUM(F2:F5)</f>
        <v>29106</v>
      </c>
      <c r="I6" s="110" t="s">
        <v>362</v>
      </c>
      <c r="J6" s="159">
        <v>6</v>
      </c>
      <c r="K6" s="159">
        <v>1918.68</v>
      </c>
      <c r="L6" s="211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  <c r="V6" s="294"/>
      <c r="W6" s="43" t="s">
        <v>528</v>
      </c>
      <c r="X6" s="231">
        <v>41000</v>
      </c>
      <c r="Y6" s="231">
        <v>41000</v>
      </c>
      <c r="Z6" s="198">
        <v>45498</v>
      </c>
      <c r="AC6">
        <v>65000</v>
      </c>
    </row>
    <row r="7" spans="1:35" x14ac:dyDescent="0.3">
      <c r="A7" s="43" t="s">
        <v>9</v>
      </c>
      <c r="B7" s="186">
        <v>1854</v>
      </c>
      <c r="C7" s="191">
        <v>1854</v>
      </c>
      <c r="D7" s="43"/>
      <c r="E7" s="43" t="s">
        <v>428</v>
      </c>
      <c r="F7" s="44">
        <f>B25</f>
        <v>264081.91000000003</v>
      </c>
      <c r="I7" s="110" t="s">
        <v>363</v>
      </c>
      <c r="J7" s="159">
        <v>5</v>
      </c>
      <c r="K7" s="159">
        <v>1049.19</v>
      </c>
      <c r="L7" s="211">
        <f t="shared" si="1"/>
        <v>5245.9500000000007</v>
      </c>
      <c r="M7" s="192">
        <v>45108</v>
      </c>
      <c r="N7" s="43"/>
      <c r="O7" s="43"/>
      <c r="P7" s="73"/>
      <c r="R7" s="43"/>
      <c r="S7" s="73"/>
      <c r="V7" s="294"/>
      <c r="W7" s="43" t="s">
        <v>530</v>
      </c>
      <c r="X7" s="231">
        <v>7000</v>
      </c>
      <c r="Y7" s="231">
        <v>7000</v>
      </c>
      <c r="Z7" s="198">
        <v>45498</v>
      </c>
      <c r="AC7">
        <v>11418</v>
      </c>
    </row>
    <row r="8" spans="1:35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9">
        <v>11</v>
      </c>
      <c r="K8" s="159">
        <v>470.99</v>
      </c>
      <c r="L8" s="211">
        <f t="shared" si="1"/>
        <v>5180.8900000000003</v>
      </c>
      <c r="M8" s="192">
        <v>45108</v>
      </c>
      <c r="N8" s="43"/>
      <c r="O8" s="43"/>
      <c r="P8" s="108">
        <f>SUM(P3:P6)</f>
        <v>2240000</v>
      </c>
      <c r="R8" s="43"/>
      <c r="S8" s="73">
        <f>SUM(S3:S6)</f>
        <v>1290975</v>
      </c>
      <c r="V8" s="43"/>
      <c r="W8" s="43" t="s">
        <v>527</v>
      </c>
      <c r="X8" s="231">
        <v>547579.80000000005</v>
      </c>
      <c r="Y8" s="231">
        <v>547579.80000000005</v>
      </c>
      <c r="Z8" s="198">
        <v>45498</v>
      </c>
      <c r="AC8">
        <v>25000</v>
      </c>
      <c r="AE8">
        <f>133000+80000</f>
        <v>213000</v>
      </c>
    </row>
    <row r="9" spans="1:35" x14ac:dyDescent="0.3">
      <c r="A9" s="43" t="s">
        <v>107</v>
      </c>
      <c r="B9" s="186">
        <v>619</v>
      </c>
      <c r="C9" s="191">
        <v>619</v>
      </c>
      <c r="D9" s="43"/>
      <c r="E9" s="43"/>
      <c r="F9" s="43"/>
      <c r="I9" s="110" t="s">
        <v>377</v>
      </c>
      <c r="J9" s="159">
        <v>4</v>
      </c>
      <c r="K9" s="159">
        <v>1376.72</v>
      </c>
      <c r="L9" s="211">
        <f t="shared" si="1"/>
        <v>5506.88</v>
      </c>
      <c r="N9" s="43"/>
      <c r="O9" s="43"/>
      <c r="P9" s="73"/>
      <c r="R9" s="43"/>
      <c r="S9" s="73"/>
      <c r="AC9">
        <v>6000</v>
      </c>
      <c r="AE9">
        <f>AE8-AC18</f>
        <v>-7418</v>
      </c>
      <c r="AH9" t="s">
        <v>536</v>
      </c>
      <c r="AI9">
        <v>485000</v>
      </c>
    </row>
    <row r="10" spans="1:35" x14ac:dyDescent="0.3">
      <c r="A10" s="43" t="s">
        <v>174</v>
      </c>
      <c r="B10" s="186">
        <v>5000</v>
      </c>
      <c r="C10" s="191">
        <v>2500</v>
      </c>
      <c r="D10" s="43"/>
      <c r="E10" s="43" t="s">
        <v>442</v>
      </c>
      <c r="F10" s="73">
        <v>234.82</v>
      </c>
      <c r="I10" s="110" t="s">
        <v>387</v>
      </c>
      <c r="J10" s="159">
        <v>5</v>
      </c>
      <c r="K10" s="159">
        <v>936.51</v>
      </c>
      <c r="L10" s="211">
        <f t="shared" si="1"/>
        <v>4682.55</v>
      </c>
      <c r="M10" s="192">
        <v>45108</v>
      </c>
      <c r="N10" s="43"/>
      <c r="O10" s="43" t="s">
        <v>339</v>
      </c>
      <c r="P10" s="134">
        <v>500000</v>
      </c>
      <c r="S10" s="30"/>
      <c r="W10" s="226" t="s">
        <v>535</v>
      </c>
      <c r="X10" s="243">
        <f>SUM(X4:X8)</f>
        <v>713579.8</v>
      </c>
      <c r="Y10" s="243">
        <f>SUM(Y4:Y8)</f>
        <v>713579.8</v>
      </c>
      <c r="AC10">
        <v>50000</v>
      </c>
      <c r="AH10" t="s">
        <v>537</v>
      </c>
      <c r="AI10">
        <f>2*108675</f>
        <v>217350</v>
      </c>
    </row>
    <row r="11" spans="1:35" x14ac:dyDescent="0.3">
      <c r="A11" s="43" t="s">
        <v>564</v>
      </c>
      <c r="B11" s="186">
        <v>66800</v>
      </c>
      <c r="C11" s="191">
        <v>66800</v>
      </c>
      <c r="D11" s="43" t="s">
        <v>449</v>
      </c>
      <c r="E11" s="43" t="s">
        <v>441</v>
      </c>
      <c r="F11" s="73">
        <v>1419.04</v>
      </c>
      <c r="I11" s="110" t="s">
        <v>380</v>
      </c>
      <c r="J11" s="159">
        <v>5</v>
      </c>
      <c r="K11" s="159">
        <v>959.34</v>
      </c>
      <c r="L11" s="211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  <c r="AC11">
        <v>5000</v>
      </c>
    </row>
    <row r="12" spans="1:35" x14ac:dyDescent="0.3">
      <c r="A12" s="43" t="s">
        <v>285</v>
      </c>
      <c r="B12" s="186">
        <v>3420</v>
      </c>
      <c r="C12" s="191">
        <v>3420</v>
      </c>
      <c r="D12" s="85"/>
      <c r="E12" s="43" t="s">
        <v>443</v>
      </c>
      <c r="F12" s="73">
        <v>3500</v>
      </c>
      <c r="I12" s="110" t="s">
        <v>385</v>
      </c>
      <c r="J12" s="159">
        <v>50</v>
      </c>
      <c r="K12" s="159">
        <v>43.35</v>
      </c>
      <c r="L12" s="211">
        <f t="shared" si="1"/>
        <v>2167.5</v>
      </c>
      <c r="N12" s="43"/>
      <c r="O12" s="43" t="s">
        <v>6</v>
      </c>
      <c r="P12" s="134">
        <v>50000</v>
      </c>
      <c r="AC12">
        <v>10000</v>
      </c>
    </row>
    <row r="13" spans="1:35" x14ac:dyDescent="0.3">
      <c r="A13" s="43" t="s">
        <v>414</v>
      </c>
      <c r="B13" s="186">
        <v>18054</v>
      </c>
      <c r="C13" s="191">
        <v>18054</v>
      </c>
      <c r="D13" s="221" t="s">
        <v>449</v>
      </c>
      <c r="E13" s="43" t="s">
        <v>455</v>
      </c>
      <c r="F13" s="73">
        <v>8000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  <c r="V13" s="293" t="s">
        <v>562</v>
      </c>
      <c r="W13" s="293"/>
      <c r="AC13">
        <v>5000</v>
      </c>
      <c r="AI13">
        <f>SUM(AI9:AI10)</f>
        <v>702350</v>
      </c>
    </row>
    <row r="14" spans="1:35" ht="15" thickBot="1" x14ac:dyDescent="0.35">
      <c r="A14" s="43" t="s">
        <v>109</v>
      </c>
      <c r="B14" s="186">
        <f>18195*2</f>
        <v>36390</v>
      </c>
      <c r="C14" s="186"/>
      <c r="D14" s="248"/>
      <c r="E14" s="43" t="s">
        <v>456</v>
      </c>
      <c r="F14" s="73">
        <v>1000</v>
      </c>
      <c r="I14" s="169" t="s">
        <v>447</v>
      </c>
      <c r="J14" s="209">
        <v>4</v>
      </c>
      <c r="K14" s="209">
        <v>507.02</v>
      </c>
      <c r="L14" s="210">
        <f t="shared" si="1"/>
        <v>2028.08</v>
      </c>
      <c r="N14" s="43"/>
      <c r="O14" s="43" t="s">
        <v>408</v>
      </c>
      <c r="P14" s="134">
        <v>10000</v>
      </c>
      <c r="V14" s="239"/>
      <c r="W14" s="43" t="s">
        <v>557</v>
      </c>
      <c r="X14" s="231">
        <v>323461</v>
      </c>
      <c r="Y14" s="231">
        <v>323461</v>
      </c>
      <c r="Z14" s="198">
        <v>45500</v>
      </c>
      <c r="AC14">
        <v>2000</v>
      </c>
      <c r="AH14" t="s">
        <v>538</v>
      </c>
      <c r="AI14">
        <v>639000</v>
      </c>
    </row>
    <row r="15" spans="1:35" x14ac:dyDescent="0.3">
      <c r="A15" s="43"/>
      <c r="B15" s="186"/>
      <c r="C15" s="186"/>
      <c r="D15" s="43"/>
      <c r="E15" s="43" t="s">
        <v>457</v>
      </c>
      <c r="F15" s="73">
        <v>5074</v>
      </c>
      <c r="L15" s="193">
        <f>SUM(L4:L14)</f>
        <v>72210.990000000005</v>
      </c>
      <c r="N15" s="43"/>
      <c r="O15" s="43"/>
      <c r="P15" s="134">
        <f>SUM(P10:P14)</f>
        <v>815000</v>
      </c>
      <c r="V15" s="43"/>
      <c r="W15" s="43" t="s">
        <v>561</v>
      </c>
      <c r="X15" s="231">
        <v>8500</v>
      </c>
      <c r="Y15" s="231">
        <v>8500</v>
      </c>
      <c r="Z15" s="198">
        <v>45500</v>
      </c>
      <c r="AC15">
        <v>4000</v>
      </c>
      <c r="AI15">
        <f>AI13-AI14</f>
        <v>63350</v>
      </c>
    </row>
    <row r="16" spans="1:35" x14ac:dyDescent="0.3">
      <c r="A16" s="43"/>
      <c r="B16" s="186"/>
      <c r="C16" s="186"/>
      <c r="D16" s="186">
        <f>SUM(C14:C16)</f>
        <v>0</v>
      </c>
      <c r="E16" s="43" t="s">
        <v>458</v>
      </c>
      <c r="F16" s="73">
        <v>113280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  <c r="V16" s="43"/>
      <c r="W16" s="226" t="s">
        <v>535</v>
      </c>
      <c r="X16" s="243">
        <f>SUM(X14:X15)</f>
        <v>331961</v>
      </c>
      <c r="Y16" s="243">
        <f>SUM(Y14:Y15)</f>
        <v>331961</v>
      </c>
      <c r="AC16">
        <v>3000</v>
      </c>
    </row>
    <row r="17" spans="1:34" x14ac:dyDescent="0.3">
      <c r="A17" s="73"/>
      <c r="B17" s="186"/>
      <c r="C17" s="73"/>
      <c r="D17" s="202"/>
      <c r="E17" s="43" t="s">
        <v>459</v>
      </c>
      <c r="F17" s="73">
        <v>750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34" ht="15" thickBot="1" x14ac:dyDescent="0.35">
      <c r="A18" s="123" t="s">
        <v>123</v>
      </c>
      <c r="B18" s="189">
        <v>5000</v>
      </c>
      <c r="C18" s="73">
        <v>2400</v>
      </c>
      <c r="D18" s="202">
        <v>2600</v>
      </c>
      <c r="E18" s="43" t="s">
        <v>463</v>
      </c>
      <c r="F18" s="73">
        <v>1000</v>
      </c>
      <c r="G18" s="167" t="s">
        <v>109</v>
      </c>
      <c r="H18" s="116">
        <v>18195</v>
      </c>
      <c r="I18" s="113" t="s">
        <v>522</v>
      </c>
      <c r="N18" s="43"/>
      <c r="O18" s="43"/>
      <c r="R18" t="s">
        <v>412</v>
      </c>
      <c r="S18" s="73">
        <v>93000</v>
      </c>
      <c r="AC18">
        <f>SUM(AC5:AC16)</f>
        <v>220418</v>
      </c>
    </row>
    <row r="19" spans="1:34" ht="15" thickBot="1" x14ac:dyDescent="0.35">
      <c r="A19" s="123" t="s">
        <v>81</v>
      </c>
      <c r="B19" s="189">
        <v>50000</v>
      </c>
      <c r="C19" s="186"/>
      <c r="D19" s="72"/>
      <c r="E19" s="43" t="s">
        <v>464</v>
      </c>
      <c r="F19" s="73">
        <v>700</v>
      </c>
      <c r="G19" s="181" t="s">
        <v>268</v>
      </c>
      <c r="H19" s="112">
        <v>10526</v>
      </c>
      <c r="I19" s="113" t="s">
        <v>522</v>
      </c>
      <c r="N19" s="43"/>
      <c r="O19" s="104" t="s">
        <v>410</v>
      </c>
      <c r="P19" s="177">
        <f>(P17-P16)</f>
        <v>-151000</v>
      </c>
      <c r="S19" s="73">
        <f>SUM(S17:S18)</f>
        <v>147000</v>
      </c>
      <c r="V19" s="295" t="s">
        <v>526</v>
      </c>
      <c r="W19" s="293"/>
    </row>
    <row r="20" spans="1:34" x14ac:dyDescent="0.3">
      <c r="A20" s="123" t="s">
        <v>213</v>
      </c>
      <c r="B20" s="189">
        <f>AA50</f>
        <v>202001</v>
      </c>
      <c r="C20" s="186"/>
      <c r="D20" s="72"/>
      <c r="E20" s="43"/>
      <c r="F20" s="73"/>
      <c r="G20" s="181"/>
      <c r="H20" s="112"/>
      <c r="I20" s="113"/>
      <c r="N20" s="43"/>
      <c r="O20" s="104"/>
      <c r="P20" s="30"/>
      <c r="S20" s="73"/>
      <c r="V20" s="43"/>
      <c r="W20" s="43" t="s">
        <v>539</v>
      </c>
      <c r="X20" s="223">
        <f>AB1-X4</f>
        <v>8200000</v>
      </c>
      <c r="Y20" s="233"/>
      <c r="AC20">
        <v>8300000</v>
      </c>
      <c r="AE20" t="s">
        <v>542</v>
      </c>
      <c r="AF20">
        <v>750000</v>
      </c>
    </row>
    <row r="21" spans="1:34" x14ac:dyDescent="0.3">
      <c r="A21" s="123" t="s">
        <v>577</v>
      </c>
      <c r="B21" s="189">
        <v>47000</v>
      </c>
      <c r="C21" s="186"/>
      <c r="D21" s="43"/>
      <c r="E21" s="43" t="s">
        <v>465</v>
      </c>
      <c r="F21" s="73">
        <v>2000</v>
      </c>
      <c r="G21" s="80" t="s">
        <v>298</v>
      </c>
      <c r="H21" s="80">
        <v>5000</v>
      </c>
      <c r="I21" s="113">
        <v>44896</v>
      </c>
      <c r="N21" s="43"/>
      <c r="O21" s="43"/>
      <c r="P21" s="89"/>
      <c r="R21" t="s">
        <v>411</v>
      </c>
      <c r="S21" s="73">
        <v>90000</v>
      </c>
      <c r="V21" s="43"/>
      <c r="W21" s="43" t="s">
        <v>531</v>
      </c>
      <c r="X21" s="245">
        <v>1000000</v>
      </c>
      <c r="Y21" s="235"/>
      <c r="AB21" t="s">
        <v>540</v>
      </c>
      <c r="AC21">
        <v>100000</v>
      </c>
      <c r="AE21" t="s">
        <v>545</v>
      </c>
      <c r="AF21">
        <v>200000</v>
      </c>
    </row>
    <row r="22" spans="1:34" x14ac:dyDescent="0.3">
      <c r="A22" s="123" t="s">
        <v>475</v>
      </c>
      <c r="B22" s="189">
        <v>10000</v>
      </c>
      <c r="C22" s="73"/>
      <c r="D22" s="43" t="s">
        <v>511</v>
      </c>
      <c r="E22" s="43" t="s">
        <v>462</v>
      </c>
      <c r="F22" s="73">
        <v>5000</v>
      </c>
      <c r="G22" s="80" t="s">
        <v>256</v>
      </c>
      <c r="H22" s="80">
        <v>7600</v>
      </c>
      <c r="I22" s="113" t="s">
        <v>523</v>
      </c>
      <c r="K22" s="43" t="s">
        <v>479</v>
      </c>
      <c r="L22" s="43" t="s">
        <v>480</v>
      </c>
      <c r="S22" s="73">
        <f>(S19-S21)</f>
        <v>57000</v>
      </c>
      <c r="V22" s="43"/>
      <c r="W22" s="244" t="s">
        <v>560</v>
      </c>
      <c r="X22" s="231">
        <v>200000</v>
      </c>
      <c r="Y22" s="231">
        <v>200000</v>
      </c>
      <c r="Z22" s="198">
        <v>45502</v>
      </c>
      <c r="AC22">
        <f>AC20-AC21</f>
        <v>8200000</v>
      </c>
      <c r="AE22" t="s">
        <v>544</v>
      </c>
      <c r="AF22">
        <v>300000</v>
      </c>
    </row>
    <row r="23" spans="1:34" x14ac:dyDescent="0.3">
      <c r="A23" s="116" t="s">
        <v>203</v>
      </c>
      <c r="B23" s="190">
        <v>13000</v>
      </c>
      <c r="C23" s="186"/>
      <c r="D23" s="145"/>
      <c r="E23" s="43" t="s">
        <v>467</v>
      </c>
      <c r="F23" s="73">
        <v>6700</v>
      </c>
      <c r="G23" s="115" t="s">
        <v>431</v>
      </c>
      <c r="H23" s="116">
        <v>20481</v>
      </c>
      <c r="I23" s="113" t="s">
        <v>521</v>
      </c>
      <c r="K23" s="43"/>
      <c r="L23" s="43" t="s">
        <v>481</v>
      </c>
      <c r="R23" s="65"/>
      <c r="S23" s="73"/>
      <c r="V23" s="43"/>
      <c r="W23" s="104" t="s">
        <v>558</v>
      </c>
      <c r="X23" s="242">
        <v>400000</v>
      </c>
      <c r="Y23" s="242">
        <v>100000</v>
      </c>
      <c r="Z23" s="198">
        <v>45502</v>
      </c>
      <c r="AB23" t="s">
        <v>541</v>
      </c>
      <c r="AC23">
        <v>500000</v>
      </c>
      <c r="AD23" t="s">
        <v>543</v>
      </c>
      <c r="AF23">
        <f>SUM(AF21:AF22)</f>
        <v>500000</v>
      </c>
    </row>
    <row r="24" spans="1:34" x14ac:dyDescent="0.3">
      <c r="A24" s="115" t="s">
        <v>381</v>
      </c>
      <c r="B24" s="190">
        <v>23000</v>
      </c>
      <c r="C24" s="186"/>
      <c r="D24" s="43"/>
      <c r="E24" s="43" t="s">
        <v>468</v>
      </c>
      <c r="F24" s="73">
        <f>'September 23'!AO30</f>
        <v>0</v>
      </c>
      <c r="G24" s="115"/>
      <c r="H24" s="116"/>
      <c r="I24" s="113"/>
      <c r="K24" s="43"/>
      <c r="L24" s="43" t="s">
        <v>482</v>
      </c>
      <c r="R24" t="s">
        <v>142</v>
      </c>
      <c r="S24" s="73">
        <v>200000</v>
      </c>
      <c r="V24" s="43"/>
      <c r="W24" s="43" t="s">
        <v>571</v>
      </c>
      <c r="X24" s="231">
        <v>7500</v>
      </c>
      <c r="Y24" s="231">
        <v>7500</v>
      </c>
      <c r="AC24">
        <f>AC22-AC23</f>
        <v>7700000</v>
      </c>
      <c r="AF24">
        <f>AF23-AF20</f>
        <v>-250000</v>
      </c>
    </row>
    <row r="25" spans="1:34" x14ac:dyDescent="0.3">
      <c r="A25" s="64" t="s">
        <v>5</v>
      </c>
      <c r="B25" s="186">
        <f>SUM(B1:B16)</f>
        <v>264081.91000000003</v>
      </c>
      <c r="C25" s="186">
        <f>SUM(C1:C17)</f>
        <v>184119</v>
      </c>
      <c r="D25" s="72"/>
      <c r="E25" s="43" t="s">
        <v>469</v>
      </c>
      <c r="F25" s="73">
        <v>51800</v>
      </c>
      <c r="G25" s="124"/>
      <c r="H25" s="118"/>
      <c r="I25" s="113"/>
      <c r="K25" s="43"/>
      <c r="L25" s="43" t="s">
        <v>483</v>
      </c>
      <c r="R25" t="s">
        <v>206</v>
      </c>
      <c r="S25" s="73">
        <f>(S22+S24)</f>
        <v>257000</v>
      </c>
      <c r="AB25" t="s">
        <v>546</v>
      </c>
      <c r="AC25">
        <v>8000000</v>
      </c>
    </row>
    <row r="26" spans="1:34" x14ac:dyDescent="0.3">
      <c r="A26" s="43"/>
      <c r="B26" s="186"/>
      <c r="C26" s="43"/>
      <c r="D26" s="72"/>
      <c r="E26" s="178" t="s">
        <v>470</v>
      </c>
      <c r="F26" s="179">
        <v>22000</v>
      </c>
      <c r="G26" s="43"/>
      <c r="H26" s="106"/>
      <c r="I26" s="114"/>
      <c r="K26" s="199"/>
      <c r="L26" s="43">
        <v>1270</v>
      </c>
      <c r="O26">
        <v>176000</v>
      </c>
      <c r="S26" s="73"/>
      <c r="V26" s="43"/>
      <c r="W26" s="226" t="s">
        <v>535</v>
      </c>
      <c r="X26" s="225">
        <f>SUM(X22:X24)</f>
        <v>607500</v>
      </c>
      <c r="Y26" s="225">
        <f>SUM(Y22:Y24)</f>
        <v>307500</v>
      </c>
    </row>
    <row r="27" spans="1:34" x14ac:dyDescent="0.3">
      <c r="A27" s="64" t="s">
        <v>228</v>
      </c>
      <c r="B27" s="186"/>
      <c r="C27" s="62">
        <f>(C25-B25)</f>
        <v>-79962.910000000033</v>
      </c>
      <c r="D27" s="43" t="s">
        <v>227</v>
      </c>
      <c r="E27" s="43" t="s">
        <v>471</v>
      </c>
      <c r="F27" s="73">
        <v>11500</v>
      </c>
      <c r="K27" s="73" t="s">
        <v>485</v>
      </c>
      <c r="L27" s="43" t="s">
        <v>484</v>
      </c>
      <c r="O27">
        <v>152000</v>
      </c>
      <c r="R27" t="s">
        <v>413</v>
      </c>
      <c r="S27" s="73">
        <v>260000</v>
      </c>
      <c r="V27" s="43"/>
      <c r="W27" s="43" t="s">
        <v>5</v>
      </c>
      <c r="X27" s="224">
        <f>SUM(X10,X16,X26)</f>
        <v>1653040.8</v>
      </c>
      <c r="Y27" s="236"/>
    </row>
    <row r="28" spans="1:34" x14ac:dyDescent="0.3">
      <c r="A28" s="64"/>
      <c r="B28" s="186"/>
      <c r="C28" s="43"/>
      <c r="D28" s="43"/>
      <c r="E28" s="43" t="s">
        <v>472</v>
      </c>
      <c r="F28" s="73">
        <v>26000</v>
      </c>
      <c r="H28">
        <f>55000-110000</f>
        <v>-55000</v>
      </c>
      <c r="K28" s="43" t="s">
        <v>486</v>
      </c>
      <c r="L28" s="43">
        <v>1250</v>
      </c>
      <c r="O28">
        <f>O26-O27</f>
        <v>24000</v>
      </c>
      <c r="S28" s="30">
        <f>(S27-S25)</f>
        <v>3000</v>
      </c>
      <c r="AG28" t="s">
        <v>569</v>
      </c>
      <c r="AH28" t="s">
        <v>568</v>
      </c>
    </row>
    <row r="29" spans="1:34" x14ac:dyDescent="0.3">
      <c r="A29" s="64" t="s">
        <v>225</v>
      </c>
      <c r="B29" s="186"/>
      <c r="C29" s="62">
        <f>(F6+C27)</f>
        <v>-50856.910000000033</v>
      </c>
      <c r="D29" s="43"/>
      <c r="E29" s="43" t="s">
        <v>476</v>
      </c>
      <c r="F29" s="186">
        <v>41600</v>
      </c>
      <c r="K29" s="43" t="s">
        <v>487</v>
      </c>
      <c r="L29" s="43">
        <v>91</v>
      </c>
      <c r="AE29">
        <v>619000</v>
      </c>
      <c r="AF29" s="247">
        <f>AG29/AE29</f>
        <v>2.4232633279483036E-3</v>
      </c>
      <c r="AG29">
        <f>AH29/12</f>
        <v>1500</v>
      </c>
      <c r="AH29">
        <v>18000</v>
      </c>
    </row>
    <row r="30" spans="1:34" x14ac:dyDescent="0.3">
      <c r="F30" s="73">
        <f>SUM(F10:F29)</f>
        <v>301557.86</v>
      </c>
      <c r="K30" s="43"/>
      <c r="L30" s="43">
        <f>L28*L29</f>
        <v>113750</v>
      </c>
      <c r="V30" s="293" t="s">
        <v>532</v>
      </c>
      <c r="W30" s="293"/>
      <c r="AE30">
        <v>100000</v>
      </c>
      <c r="AF30">
        <v>0.02</v>
      </c>
      <c r="AG30">
        <f>AE30*AF30</f>
        <v>2000</v>
      </c>
      <c r="AH30">
        <f>AG30*12</f>
        <v>24000</v>
      </c>
    </row>
    <row r="31" spans="1:34" x14ac:dyDescent="0.3">
      <c r="K31" s="43" t="s">
        <v>488</v>
      </c>
      <c r="L31" s="73">
        <v>99130</v>
      </c>
      <c r="V31" s="43"/>
      <c r="W31" s="43" t="s">
        <v>89</v>
      </c>
      <c r="X31" s="222">
        <v>8000000</v>
      </c>
      <c r="Y31" s="235"/>
      <c r="Z31" s="198">
        <v>45509</v>
      </c>
      <c r="AA31" t="s">
        <v>566</v>
      </c>
      <c r="AE31">
        <v>619000</v>
      </c>
      <c r="AF31">
        <v>2.4299999999999999E-3</v>
      </c>
      <c r="AG31">
        <f>AE31*AF31</f>
        <v>1504.1699999999998</v>
      </c>
      <c r="AH31">
        <f>AG31*12</f>
        <v>18050.039999999997</v>
      </c>
    </row>
    <row r="32" spans="1:34" x14ac:dyDescent="0.3">
      <c r="K32" s="43"/>
      <c r="L32" s="106">
        <f>L30+L31</f>
        <v>212880</v>
      </c>
      <c r="O32">
        <f>5000/40</f>
        <v>125</v>
      </c>
      <c r="V32" s="43"/>
      <c r="W32" s="43" t="s">
        <v>533</v>
      </c>
      <c r="X32" s="222">
        <v>578957</v>
      </c>
      <c r="Y32" s="235">
        <v>18500</v>
      </c>
      <c r="Z32" s="198">
        <v>45540</v>
      </c>
      <c r="AA32" t="s">
        <v>566</v>
      </c>
      <c r="AE32">
        <v>3500000</v>
      </c>
      <c r="AF32">
        <v>0.09</v>
      </c>
      <c r="AG32">
        <f>AE32*AF32</f>
        <v>315000</v>
      </c>
      <c r="AH32" s="246">
        <f>AG32*12</f>
        <v>3780000</v>
      </c>
    </row>
    <row r="33" spans="11:34" x14ac:dyDescent="0.3">
      <c r="K33" s="178" t="s">
        <v>490</v>
      </c>
      <c r="L33" s="91">
        <v>-109464</v>
      </c>
      <c r="O33">
        <v>23</v>
      </c>
      <c r="P33">
        <f>O32*O33</f>
        <v>2875</v>
      </c>
      <c r="V33" s="43"/>
      <c r="W33" s="43" t="s">
        <v>556</v>
      </c>
      <c r="X33" s="222">
        <v>300000</v>
      </c>
      <c r="Y33" s="235"/>
      <c r="AE33">
        <v>8000000</v>
      </c>
      <c r="AF33">
        <v>0.09</v>
      </c>
      <c r="AG33">
        <f>AE33*AF33</f>
        <v>720000</v>
      </c>
      <c r="AH33" s="246">
        <f>AG33*12</f>
        <v>8640000</v>
      </c>
    </row>
    <row r="34" spans="11:34" x14ac:dyDescent="0.3">
      <c r="K34" s="43" t="s">
        <v>488</v>
      </c>
      <c r="L34" s="200">
        <v>-25000</v>
      </c>
      <c r="P34">
        <v>2875</v>
      </c>
      <c r="V34" s="43"/>
      <c r="W34" s="43" t="s">
        <v>551</v>
      </c>
      <c r="X34" s="43"/>
    </row>
    <row r="35" spans="11:34" x14ac:dyDescent="0.3">
      <c r="K35" s="43" t="s">
        <v>143</v>
      </c>
      <c r="L35" s="73">
        <f>L32+L33+L34</f>
        <v>78416</v>
      </c>
      <c r="P35">
        <v>6000</v>
      </c>
      <c r="V35" s="43"/>
      <c r="W35" s="226" t="s">
        <v>535</v>
      </c>
      <c r="X35" s="227">
        <f>SUM(X31:X33)</f>
        <v>8878957</v>
      </c>
      <c r="Y35" s="237"/>
    </row>
    <row r="36" spans="11:34" x14ac:dyDescent="0.3">
      <c r="V36" s="43"/>
      <c r="W36" s="43" t="s">
        <v>534</v>
      </c>
      <c r="X36" s="228">
        <f>X27+X35</f>
        <v>10531997.800000001</v>
      </c>
      <c r="Y36" s="238"/>
    </row>
    <row r="37" spans="11:34" x14ac:dyDescent="0.3">
      <c r="X37" s="233"/>
      <c r="Y37" s="233"/>
    </row>
    <row r="39" spans="11:34" x14ac:dyDescent="0.3">
      <c r="V39" s="229" t="s">
        <v>551</v>
      </c>
      <c r="W39" s="229"/>
      <c r="X39" s="229"/>
      <c r="Y39" s="229"/>
      <c r="Z39" s="232" t="s">
        <v>26</v>
      </c>
      <c r="AA39" s="232" t="s">
        <v>214</v>
      </c>
    </row>
    <row r="40" spans="11:34" x14ac:dyDescent="0.3">
      <c r="V40" s="43"/>
      <c r="W40" s="43" t="s">
        <v>494</v>
      </c>
      <c r="X40" s="222">
        <v>165000</v>
      </c>
      <c r="Y40" s="222"/>
      <c r="Z40" s="222"/>
      <c r="AA40" s="223">
        <f t="shared" ref="AA40:AA47" si="2">X40-Z40</f>
        <v>165000</v>
      </c>
      <c r="AE40">
        <v>5661</v>
      </c>
      <c r="AF40">
        <v>58000</v>
      </c>
    </row>
    <row r="41" spans="11:34" x14ac:dyDescent="0.3">
      <c r="V41" s="221">
        <v>45497</v>
      </c>
      <c r="W41" s="43" t="s">
        <v>545</v>
      </c>
      <c r="X41" s="222">
        <v>250000</v>
      </c>
      <c r="Y41" s="222"/>
      <c r="Z41" s="222"/>
      <c r="AA41" s="223">
        <f t="shared" si="2"/>
        <v>250000</v>
      </c>
      <c r="AE41">
        <v>5702</v>
      </c>
      <c r="AF41">
        <v>57959</v>
      </c>
    </row>
    <row r="42" spans="11:34" x14ac:dyDescent="0.3">
      <c r="V42" s="221">
        <v>45497</v>
      </c>
      <c r="W42" s="43" t="s">
        <v>552</v>
      </c>
      <c r="X42" s="222">
        <v>100000</v>
      </c>
      <c r="Y42" s="222"/>
      <c r="Z42" s="222">
        <v>100000</v>
      </c>
      <c r="AA42" s="223">
        <f t="shared" si="2"/>
        <v>0</v>
      </c>
      <c r="AE42">
        <v>5743</v>
      </c>
      <c r="AF42">
        <v>57918</v>
      </c>
    </row>
    <row r="43" spans="11:34" x14ac:dyDescent="0.3">
      <c r="V43" s="221">
        <v>45498</v>
      </c>
      <c r="W43" s="43" t="s">
        <v>553</v>
      </c>
      <c r="X43" s="222">
        <v>50000</v>
      </c>
      <c r="Y43" s="222"/>
      <c r="Z43" s="222">
        <v>50000</v>
      </c>
      <c r="AA43" s="223">
        <f t="shared" si="2"/>
        <v>0</v>
      </c>
      <c r="AE43">
        <v>5785</v>
      </c>
      <c r="AF43">
        <v>57876</v>
      </c>
    </row>
    <row r="44" spans="11:34" x14ac:dyDescent="0.3">
      <c r="V44" s="221">
        <v>45500</v>
      </c>
      <c r="W44" s="43" t="s">
        <v>554</v>
      </c>
      <c r="X44" s="222">
        <v>120000</v>
      </c>
      <c r="Y44" s="222"/>
      <c r="Z44" s="222">
        <v>120000</v>
      </c>
      <c r="AA44" s="223">
        <f t="shared" si="2"/>
        <v>0</v>
      </c>
      <c r="AE44">
        <v>5827</v>
      </c>
      <c r="AF44">
        <v>57834</v>
      </c>
    </row>
    <row r="45" spans="11:34" x14ac:dyDescent="0.3">
      <c r="V45" s="221">
        <v>45500</v>
      </c>
      <c r="W45" s="43" t="s">
        <v>553</v>
      </c>
      <c r="X45" s="234">
        <v>240000</v>
      </c>
      <c r="Y45" s="234"/>
      <c r="Z45" s="222">
        <v>225000</v>
      </c>
      <c r="AA45" s="223">
        <f t="shared" si="2"/>
        <v>15000</v>
      </c>
      <c r="AE45">
        <v>5869</v>
      </c>
      <c r="AF45">
        <v>57792</v>
      </c>
    </row>
    <row r="46" spans="11:34" x14ac:dyDescent="0.3">
      <c r="V46" s="221">
        <v>45500</v>
      </c>
      <c r="W46" s="43" t="s">
        <v>555</v>
      </c>
      <c r="X46" s="222">
        <v>600000</v>
      </c>
      <c r="Y46" s="222"/>
      <c r="Z46" s="222">
        <v>400000</v>
      </c>
      <c r="AA46" s="223">
        <f>X46-Z46</f>
        <v>200000</v>
      </c>
      <c r="AE46">
        <v>5912</v>
      </c>
      <c r="AF46">
        <v>57749</v>
      </c>
    </row>
    <row r="47" spans="11:34" x14ac:dyDescent="0.3">
      <c r="V47" s="221">
        <v>45517</v>
      </c>
      <c r="W47" s="178" t="s">
        <v>554</v>
      </c>
      <c r="X47" s="249">
        <v>100000</v>
      </c>
      <c r="Y47" s="43"/>
      <c r="Z47" s="43"/>
      <c r="AA47" s="223">
        <f t="shared" si="2"/>
        <v>100000</v>
      </c>
      <c r="AE47">
        <v>5955</v>
      </c>
      <c r="AF47">
        <v>57706</v>
      </c>
    </row>
    <row r="48" spans="11:34" x14ac:dyDescent="0.3">
      <c r="V48" s="221">
        <v>45517</v>
      </c>
      <c r="W48" s="43" t="s">
        <v>555</v>
      </c>
      <c r="X48" s="234">
        <v>200000</v>
      </c>
      <c r="Y48" s="43"/>
      <c r="Z48" s="234">
        <v>100000</v>
      </c>
      <c r="AA48" s="223">
        <f>X48-Z48</f>
        <v>100000</v>
      </c>
    </row>
    <row r="49" spans="22:32" x14ac:dyDescent="0.3">
      <c r="V49" s="221">
        <v>45528</v>
      </c>
      <c r="W49" s="43" t="s">
        <v>545</v>
      </c>
      <c r="X49" s="234">
        <v>250000</v>
      </c>
      <c r="Y49" s="43"/>
      <c r="Z49" s="234">
        <v>17999</v>
      </c>
      <c r="AA49" s="223">
        <f>X49-Z49</f>
        <v>232001</v>
      </c>
      <c r="AE49" s="246">
        <f>SUM(AE40:AE47)</f>
        <v>46454</v>
      </c>
      <c r="AF49" s="246">
        <f>SUM(AF40:AF47)</f>
        <v>462834</v>
      </c>
    </row>
    <row r="50" spans="22:32" x14ac:dyDescent="0.3">
      <c r="V50" s="221">
        <v>45531</v>
      </c>
      <c r="W50" s="43" t="s">
        <v>545</v>
      </c>
      <c r="X50" s="222">
        <v>232001</v>
      </c>
      <c r="Y50" s="43"/>
      <c r="Z50" s="234">
        <v>30000</v>
      </c>
      <c r="AA50" s="223">
        <f>X50-Z50</f>
        <v>202001</v>
      </c>
    </row>
    <row r="52" spans="22:32" x14ac:dyDescent="0.3">
      <c r="X52" s="223">
        <f>SUM(X40:X45)</f>
        <v>925000</v>
      </c>
      <c r="Y52" s="223"/>
      <c r="Z52" s="223">
        <f>SUM(Z40:Z50)</f>
        <v>1042999</v>
      </c>
      <c r="AA52" s="223">
        <f>SUM(AA45,AA47,AA50)</f>
        <v>317001</v>
      </c>
    </row>
  </sheetData>
  <mergeCells count="8">
    <mergeCell ref="V19:W19"/>
    <mergeCell ref="V30:W30"/>
    <mergeCell ref="E1:F1"/>
    <mergeCell ref="I1:L1"/>
    <mergeCell ref="V3:W3"/>
    <mergeCell ref="J4:L4"/>
    <mergeCell ref="V5:V7"/>
    <mergeCell ref="V13:W13"/>
  </mergeCells>
  <pageMargins left="0.7" right="0.7" top="0.75" bottom="0.75" header="0.3" footer="0.3"/>
  <pageSetup paperSize="9"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EF0B-BB90-43D8-9F09-FDE0A2D79F7D}">
  <dimension ref="A1:AI52"/>
  <sheetViews>
    <sheetView workbookViewId="0">
      <selection activeCell="D22" sqref="D22"/>
    </sheetView>
  </sheetViews>
  <sheetFormatPr defaultRowHeight="14.4" x14ac:dyDescent="0.3"/>
  <cols>
    <col min="1" max="1" width="26.44140625" bestFit="1" customWidth="1"/>
    <col min="2" max="2" width="9.44140625" style="250" bestFit="1" customWidth="1"/>
    <col min="3" max="3" width="13.44140625" bestFit="1" customWidth="1"/>
    <col min="4" max="4" width="13.33203125" bestFit="1" customWidth="1"/>
    <col min="5" max="5" width="15.88671875" bestFit="1" customWidth="1"/>
    <col min="6" max="6" width="10.44140625" bestFit="1" customWidth="1"/>
    <col min="7" max="7" width="16.6640625" bestFit="1" customWidth="1"/>
    <col min="9" max="9" width="14" bestFit="1" customWidth="1"/>
    <col min="11" max="11" width="14" bestFit="1" customWidth="1"/>
    <col min="12" max="12" width="11.33203125" bestFit="1" customWidth="1"/>
    <col min="15" max="15" width="12.5546875" bestFit="1" customWidth="1"/>
    <col min="16" max="16" width="17.5546875" bestFit="1" customWidth="1"/>
    <col min="17" max="17" width="9.6640625" bestFit="1" customWidth="1"/>
    <col min="18" max="18" width="11.109375" bestFit="1" customWidth="1"/>
    <col min="19" max="19" width="13.33203125" bestFit="1" customWidth="1"/>
    <col min="22" max="22" width="14.44140625" bestFit="1" customWidth="1"/>
    <col min="23" max="23" width="33.33203125" bestFit="1" customWidth="1"/>
    <col min="24" max="24" width="14.5546875" bestFit="1" customWidth="1"/>
    <col min="25" max="25" width="14.5546875" customWidth="1"/>
    <col min="26" max="26" width="12.33203125" bestFit="1" customWidth="1"/>
    <col min="27" max="27" width="12.6640625" bestFit="1" customWidth="1"/>
    <col min="28" max="28" width="12.33203125" bestFit="1" customWidth="1"/>
    <col min="31" max="31" width="9.88671875" bestFit="1" customWidth="1"/>
    <col min="32" max="32" width="11.33203125" bestFit="1" customWidth="1"/>
    <col min="33" max="33" width="8" bestFit="1" customWidth="1"/>
    <col min="34" max="34" width="12.33203125" bestFit="1" customWidth="1"/>
  </cols>
  <sheetData>
    <row r="1" spans="1:35" ht="15" thickBot="1" x14ac:dyDescent="0.35">
      <c r="A1" s="43" t="s">
        <v>6</v>
      </c>
      <c r="B1" s="186">
        <v>6000</v>
      </c>
      <c r="C1" s="191">
        <v>6000</v>
      </c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  <c r="AA1" s="241" t="s">
        <v>563</v>
      </c>
      <c r="AB1" s="240">
        <v>8300000</v>
      </c>
    </row>
    <row r="2" spans="1:35" x14ac:dyDescent="0.3">
      <c r="A2" s="43" t="s">
        <v>0</v>
      </c>
      <c r="B2" s="186">
        <v>137636.63</v>
      </c>
      <c r="C2" s="191">
        <v>37100</v>
      </c>
      <c r="D2" s="186" t="s">
        <v>578</v>
      </c>
      <c r="E2" s="43" t="s">
        <v>576</v>
      </c>
      <c r="F2" s="73">
        <v>2070</v>
      </c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35" x14ac:dyDescent="0.3">
      <c r="A3" s="43" t="s">
        <v>575</v>
      </c>
      <c r="B3" s="186">
        <v>5000</v>
      </c>
      <c r="C3" s="186"/>
      <c r="D3" s="43"/>
      <c r="E3" s="43" t="s">
        <v>265</v>
      </c>
      <c r="F3" s="73">
        <v>18</v>
      </c>
      <c r="G3" s="73"/>
      <c r="H3" s="30"/>
      <c r="I3" s="110" t="s">
        <v>382</v>
      </c>
      <c r="J3" s="159">
        <v>10</v>
      </c>
      <c r="K3" s="159">
        <v>999</v>
      </c>
      <c r="L3" s="211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  <c r="V3" s="293" t="s">
        <v>525</v>
      </c>
      <c r="W3" s="293"/>
    </row>
    <row r="4" spans="1:35" x14ac:dyDescent="0.3">
      <c r="A4" s="43" t="s">
        <v>2</v>
      </c>
      <c r="B4" s="186">
        <v>2000</v>
      </c>
      <c r="C4" s="191">
        <v>2000</v>
      </c>
      <c r="D4" s="43"/>
      <c r="E4" s="43" t="s">
        <v>204</v>
      </c>
      <c r="F4" s="73">
        <v>216</v>
      </c>
      <c r="G4" s="73"/>
      <c r="I4" s="110" t="s">
        <v>379</v>
      </c>
      <c r="J4" s="290" t="s">
        <v>473</v>
      </c>
      <c r="K4" s="291"/>
      <c r="L4" s="292"/>
      <c r="M4" s="192">
        <v>44682</v>
      </c>
      <c r="N4" s="43"/>
      <c r="O4" s="43"/>
      <c r="P4" s="73"/>
      <c r="R4" s="43"/>
      <c r="S4" s="73"/>
      <c r="V4" s="157"/>
      <c r="W4" s="157" t="s">
        <v>559</v>
      </c>
      <c r="X4" s="230">
        <v>100000</v>
      </c>
      <c r="Y4" s="230">
        <v>100000</v>
      </c>
      <c r="Z4" s="198">
        <v>45485</v>
      </c>
    </row>
    <row r="5" spans="1:35" ht="14.4" customHeight="1" x14ac:dyDescent="0.3">
      <c r="A5" s="43" t="s">
        <v>89</v>
      </c>
      <c r="B5" s="186">
        <v>33953</v>
      </c>
      <c r="C5" s="191">
        <v>33953</v>
      </c>
      <c r="D5" s="43" t="s">
        <v>450</v>
      </c>
      <c r="E5" s="43" t="s">
        <v>205</v>
      </c>
      <c r="F5" s="73">
        <v>810</v>
      </c>
      <c r="I5" s="110" t="s">
        <v>19</v>
      </c>
      <c r="J5" s="159">
        <v>22</v>
      </c>
      <c r="K5" s="159">
        <v>1321.63</v>
      </c>
      <c r="L5" s="211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  <c r="V5" s="294" t="s">
        <v>529</v>
      </c>
      <c r="W5" s="43" t="s">
        <v>550</v>
      </c>
      <c r="X5" s="231">
        <v>18000</v>
      </c>
      <c r="Y5" s="231">
        <v>18000</v>
      </c>
      <c r="Z5" s="198">
        <v>45492</v>
      </c>
      <c r="AC5">
        <v>34000</v>
      </c>
    </row>
    <row r="6" spans="1:35" x14ac:dyDescent="0.3">
      <c r="A6" s="43" t="s">
        <v>3</v>
      </c>
      <c r="B6" s="186">
        <v>2000</v>
      </c>
      <c r="C6" s="191">
        <v>2000</v>
      </c>
      <c r="D6" s="43"/>
      <c r="E6" s="43" t="s">
        <v>6</v>
      </c>
      <c r="F6" s="73">
        <f>SUM(F2:F5)</f>
        <v>3114</v>
      </c>
      <c r="I6" s="110" t="s">
        <v>362</v>
      </c>
      <c r="J6" s="159">
        <v>6</v>
      </c>
      <c r="K6" s="159">
        <v>1918.68</v>
      </c>
      <c r="L6" s="211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  <c r="V6" s="294"/>
      <c r="W6" s="43" t="s">
        <v>528</v>
      </c>
      <c r="X6" s="231">
        <v>41000</v>
      </c>
      <c r="Y6" s="231">
        <v>41000</v>
      </c>
      <c r="Z6" s="198">
        <v>45498</v>
      </c>
      <c r="AC6">
        <v>65000</v>
      </c>
    </row>
    <row r="7" spans="1:35" x14ac:dyDescent="0.3">
      <c r="A7" s="43" t="s">
        <v>9</v>
      </c>
      <c r="B7" s="186">
        <v>799</v>
      </c>
      <c r="C7" s="191">
        <v>799</v>
      </c>
      <c r="D7" s="43"/>
      <c r="E7" s="43" t="s">
        <v>429</v>
      </c>
      <c r="F7" s="44">
        <f>B25</f>
        <v>348446.63</v>
      </c>
      <c r="I7" s="110" t="s">
        <v>363</v>
      </c>
      <c r="J7" s="159">
        <v>5</v>
      </c>
      <c r="K7" s="159">
        <v>1049.19</v>
      </c>
      <c r="L7" s="211">
        <f t="shared" si="1"/>
        <v>5245.9500000000007</v>
      </c>
      <c r="M7" s="192">
        <v>45108</v>
      </c>
      <c r="N7" s="43"/>
      <c r="O7" s="43"/>
      <c r="P7" s="73"/>
      <c r="R7" s="43"/>
      <c r="S7" s="73"/>
      <c r="V7" s="294"/>
      <c r="W7" s="43" t="s">
        <v>530</v>
      </c>
      <c r="X7" s="231">
        <v>7000</v>
      </c>
      <c r="Y7" s="231">
        <v>7000</v>
      </c>
      <c r="Z7" s="198">
        <v>45498</v>
      </c>
      <c r="AC7">
        <v>11418</v>
      </c>
    </row>
    <row r="8" spans="1:35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9">
        <v>11</v>
      </c>
      <c r="K8" s="159">
        <v>470.99</v>
      </c>
      <c r="L8" s="211">
        <f t="shared" si="1"/>
        <v>5180.8900000000003</v>
      </c>
      <c r="M8" s="192">
        <v>45108</v>
      </c>
      <c r="N8" s="43"/>
      <c r="O8" s="43"/>
      <c r="P8" s="108">
        <f>SUM(P3:P6)</f>
        <v>2240000</v>
      </c>
      <c r="R8" s="43"/>
      <c r="S8" s="73">
        <f>SUM(S3:S6)</f>
        <v>1290975</v>
      </c>
      <c r="V8" s="43"/>
      <c r="W8" s="43" t="s">
        <v>527</v>
      </c>
      <c r="X8" s="231">
        <v>547579.80000000005</v>
      </c>
      <c r="Y8" s="231">
        <v>547579.80000000005</v>
      </c>
      <c r="Z8" s="198">
        <v>45498</v>
      </c>
      <c r="AC8">
        <v>25000</v>
      </c>
      <c r="AE8">
        <f>133000+80000</f>
        <v>213000</v>
      </c>
    </row>
    <row r="9" spans="1:35" x14ac:dyDescent="0.3">
      <c r="A9" s="43" t="s">
        <v>107</v>
      </c>
      <c r="B9" s="186">
        <v>619</v>
      </c>
      <c r="C9" s="191">
        <v>619</v>
      </c>
      <c r="D9" s="43"/>
      <c r="E9" s="43"/>
      <c r="F9" s="43"/>
      <c r="I9" s="110" t="s">
        <v>377</v>
      </c>
      <c r="J9" s="159">
        <v>4</v>
      </c>
      <c r="K9" s="159">
        <v>1376.72</v>
      </c>
      <c r="L9" s="211">
        <f t="shared" si="1"/>
        <v>5506.88</v>
      </c>
      <c r="N9" s="43"/>
      <c r="O9" s="43"/>
      <c r="P9" s="73"/>
      <c r="R9" s="43"/>
      <c r="S9" s="73"/>
      <c r="AC9">
        <v>6000</v>
      </c>
      <c r="AE9">
        <f>AE8-AC18</f>
        <v>-7418</v>
      </c>
      <c r="AH9" t="s">
        <v>536</v>
      </c>
      <c r="AI9">
        <v>485000</v>
      </c>
    </row>
    <row r="10" spans="1:35" x14ac:dyDescent="0.3">
      <c r="A10" s="43" t="s">
        <v>174</v>
      </c>
      <c r="B10" s="186">
        <v>5000</v>
      </c>
      <c r="C10" s="191">
        <v>3500</v>
      </c>
      <c r="D10" s="43"/>
      <c r="E10" s="43" t="s">
        <v>442</v>
      </c>
      <c r="F10" s="73">
        <v>234.82</v>
      </c>
      <c r="I10" s="110" t="s">
        <v>387</v>
      </c>
      <c r="J10" s="159">
        <v>5</v>
      </c>
      <c r="K10" s="159">
        <v>936.51</v>
      </c>
      <c r="L10" s="211">
        <f t="shared" si="1"/>
        <v>4682.55</v>
      </c>
      <c r="M10" s="192">
        <v>45108</v>
      </c>
      <c r="N10" s="43"/>
      <c r="O10" s="43" t="s">
        <v>339</v>
      </c>
      <c r="P10" s="134">
        <v>500000</v>
      </c>
      <c r="S10" s="30"/>
      <c r="W10" s="226" t="s">
        <v>535</v>
      </c>
      <c r="X10" s="243">
        <f>SUM(X4:X8)</f>
        <v>713579.8</v>
      </c>
      <c r="Y10" s="243">
        <f>SUM(Y4:Y8)</f>
        <v>713579.8</v>
      </c>
      <c r="AC10">
        <v>50000</v>
      </c>
      <c r="AH10" t="s">
        <v>537</v>
      </c>
      <c r="AI10">
        <f>2*108675</f>
        <v>217350</v>
      </c>
    </row>
    <row r="11" spans="1:35" x14ac:dyDescent="0.3">
      <c r="A11" s="43" t="s">
        <v>564</v>
      </c>
      <c r="B11" s="186">
        <v>66800</v>
      </c>
      <c r="C11" s="191">
        <v>66800</v>
      </c>
      <c r="D11" s="43" t="s">
        <v>449</v>
      </c>
      <c r="E11" s="43" t="s">
        <v>441</v>
      </c>
      <c r="F11" s="73">
        <v>1419.04</v>
      </c>
      <c r="I11" s="110" t="s">
        <v>380</v>
      </c>
      <c r="J11" s="159">
        <v>5</v>
      </c>
      <c r="K11" s="159">
        <v>959.34</v>
      </c>
      <c r="L11" s="211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  <c r="AC11">
        <v>5000</v>
      </c>
    </row>
    <row r="12" spans="1:35" x14ac:dyDescent="0.3">
      <c r="A12" s="43" t="s">
        <v>285</v>
      </c>
      <c r="B12" s="186">
        <v>2295</v>
      </c>
      <c r="C12" s="191">
        <v>2295</v>
      </c>
      <c r="D12" s="85"/>
      <c r="E12" s="43" t="s">
        <v>443</v>
      </c>
      <c r="F12" s="73">
        <v>3500</v>
      </c>
      <c r="I12" s="110" t="s">
        <v>385</v>
      </c>
      <c r="J12" s="159">
        <v>50</v>
      </c>
      <c r="K12" s="159">
        <v>43.35</v>
      </c>
      <c r="L12" s="211">
        <f t="shared" si="1"/>
        <v>2167.5</v>
      </c>
      <c r="N12" s="43"/>
      <c r="O12" s="43" t="s">
        <v>6</v>
      </c>
      <c r="P12" s="134">
        <v>50000</v>
      </c>
      <c r="AC12">
        <v>10000</v>
      </c>
    </row>
    <row r="13" spans="1:35" x14ac:dyDescent="0.3">
      <c r="A13" s="43" t="s">
        <v>414</v>
      </c>
      <c r="B13" s="186">
        <v>18054</v>
      </c>
      <c r="C13" s="191">
        <v>18054</v>
      </c>
      <c r="D13" s="221" t="s">
        <v>449</v>
      </c>
      <c r="E13" s="43" t="s">
        <v>455</v>
      </c>
      <c r="F13" s="73">
        <v>8000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  <c r="V13" s="293" t="s">
        <v>562</v>
      </c>
      <c r="W13" s="293"/>
      <c r="AC13">
        <v>5000</v>
      </c>
      <c r="AI13">
        <f>SUM(AI9:AI10)</f>
        <v>702350</v>
      </c>
    </row>
    <row r="14" spans="1:35" ht="15" thickBot="1" x14ac:dyDescent="0.35">
      <c r="A14" s="43" t="s">
        <v>109</v>
      </c>
      <c r="B14" s="186">
        <f>18195*2</f>
        <v>36390</v>
      </c>
      <c r="C14" s="186"/>
      <c r="D14" s="248"/>
      <c r="E14" s="43" t="s">
        <v>456</v>
      </c>
      <c r="F14" s="73">
        <v>1000</v>
      </c>
      <c r="I14" s="169" t="s">
        <v>447</v>
      </c>
      <c r="J14" s="209">
        <v>4</v>
      </c>
      <c r="K14" s="209">
        <v>507.02</v>
      </c>
      <c r="L14" s="210">
        <f t="shared" si="1"/>
        <v>2028.08</v>
      </c>
      <c r="N14" s="43"/>
      <c r="O14" s="43" t="s">
        <v>408</v>
      </c>
      <c r="P14" s="134">
        <v>10000</v>
      </c>
      <c r="V14" s="239"/>
      <c r="W14" s="43" t="s">
        <v>557</v>
      </c>
      <c r="X14" s="231">
        <v>323461</v>
      </c>
      <c r="Y14" s="231">
        <v>323461</v>
      </c>
      <c r="Z14" s="198">
        <v>45500</v>
      </c>
      <c r="AC14">
        <v>2000</v>
      </c>
      <c r="AH14" t="s">
        <v>538</v>
      </c>
      <c r="AI14">
        <v>639000</v>
      </c>
    </row>
    <row r="15" spans="1:35" x14ac:dyDescent="0.3">
      <c r="A15" s="43" t="s">
        <v>435</v>
      </c>
      <c r="B15" s="186">
        <f>H23</f>
        <v>20481</v>
      </c>
      <c r="C15" s="186"/>
      <c r="D15" s="43"/>
      <c r="E15" s="43" t="s">
        <v>457</v>
      </c>
      <c r="F15" s="73">
        <v>5074</v>
      </c>
      <c r="L15" s="193">
        <f>SUM(L4:L14)</f>
        <v>72210.990000000005</v>
      </c>
      <c r="N15" s="43"/>
      <c r="O15" s="43"/>
      <c r="P15" s="134">
        <f>SUM(P10:P14)</f>
        <v>815000</v>
      </c>
      <c r="V15" s="43"/>
      <c r="W15" s="43" t="s">
        <v>561</v>
      </c>
      <c r="X15" s="231">
        <v>8500</v>
      </c>
      <c r="Y15" s="231">
        <v>8500</v>
      </c>
      <c r="Z15" s="198">
        <v>45500</v>
      </c>
      <c r="AC15">
        <v>4000</v>
      </c>
      <c r="AI15">
        <f>AI13-AI14</f>
        <v>63350</v>
      </c>
    </row>
    <row r="16" spans="1:35" x14ac:dyDescent="0.3">
      <c r="A16" s="43"/>
      <c r="B16" s="186"/>
      <c r="C16" s="186"/>
      <c r="D16" s="186">
        <f>SUM(C14:C16)</f>
        <v>0</v>
      </c>
      <c r="E16" s="43" t="s">
        <v>458</v>
      </c>
      <c r="F16" s="73">
        <v>113280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  <c r="V16" s="43"/>
      <c r="W16" s="226" t="s">
        <v>535</v>
      </c>
      <c r="X16" s="243">
        <f>SUM(X14:X15)</f>
        <v>331961</v>
      </c>
      <c r="Y16" s="243">
        <f>SUM(Y14:Y15)</f>
        <v>331961</v>
      </c>
      <c r="AC16">
        <v>3000</v>
      </c>
    </row>
    <row r="17" spans="1:34" x14ac:dyDescent="0.3">
      <c r="A17" s="73"/>
      <c r="B17" s="186"/>
      <c r="C17" s="73"/>
      <c r="D17" s="202"/>
      <c r="E17" s="43" t="s">
        <v>459</v>
      </c>
      <c r="F17" s="73">
        <v>750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34" ht="15" thickBot="1" x14ac:dyDescent="0.35">
      <c r="A18" s="123" t="s">
        <v>123</v>
      </c>
      <c r="B18" s="189">
        <v>2600</v>
      </c>
      <c r="C18" s="73"/>
      <c r="D18" s="202"/>
      <c r="E18" s="43" t="s">
        <v>463</v>
      </c>
      <c r="F18" s="73">
        <v>1000</v>
      </c>
      <c r="G18" s="167" t="s">
        <v>109</v>
      </c>
      <c r="H18" s="116">
        <v>18195</v>
      </c>
      <c r="I18" s="113" t="s">
        <v>522</v>
      </c>
      <c r="N18" s="43"/>
      <c r="O18" s="43"/>
      <c r="R18" t="s">
        <v>412</v>
      </c>
      <c r="S18" s="73">
        <v>93000</v>
      </c>
      <c r="AC18">
        <f>SUM(AC5:AC16)</f>
        <v>220418</v>
      </c>
    </row>
    <row r="19" spans="1:34" ht="15" thickBot="1" x14ac:dyDescent="0.35">
      <c r="A19" s="123" t="s">
        <v>81</v>
      </c>
      <c r="B19" s="189">
        <v>50000</v>
      </c>
      <c r="C19" s="186"/>
      <c r="D19" s="72"/>
      <c r="E19" s="43" t="s">
        <v>464</v>
      </c>
      <c r="F19" s="73">
        <v>700</v>
      </c>
      <c r="G19" s="181" t="s">
        <v>268</v>
      </c>
      <c r="H19" s="112">
        <v>10526</v>
      </c>
      <c r="I19" s="113" t="s">
        <v>522</v>
      </c>
      <c r="N19" s="43"/>
      <c r="O19" s="104" t="s">
        <v>410</v>
      </c>
      <c r="P19" s="177">
        <f>(P17-P16)</f>
        <v>-151000</v>
      </c>
      <c r="S19" s="73">
        <f>SUM(S17:S18)</f>
        <v>147000</v>
      </c>
      <c r="V19" s="295" t="s">
        <v>526</v>
      </c>
      <c r="W19" s="293"/>
    </row>
    <row r="20" spans="1:34" x14ac:dyDescent="0.3">
      <c r="A20" s="123" t="s">
        <v>213</v>
      </c>
      <c r="B20" s="189">
        <f>AA50</f>
        <v>202001</v>
      </c>
      <c r="C20" s="191">
        <v>202000</v>
      </c>
      <c r="D20" s="72"/>
      <c r="E20" s="43"/>
      <c r="F20" s="73"/>
      <c r="G20" s="181"/>
      <c r="H20" s="112"/>
      <c r="I20" s="113"/>
      <c r="N20" s="43"/>
      <c r="O20" s="104"/>
      <c r="P20" s="30"/>
      <c r="S20" s="73"/>
      <c r="V20" s="43"/>
      <c r="W20" s="43" t="s">
        <v>539</v>
      </c>
      <c r="X20" s="223">
        <f>AB1-X4</f>
        <v>8200000</v>
      </c>
      <c r="Y20" s="233"/>
      <c r="AC20">
        <v>8300000</v>
      </c>
      <c r="AE20" t="s">
        <v>542</v>
      </c>
      <c r="AF20">
        <v>750000</v>
      </c>
    </row>
    <row r="21" spans="1:34" x14ac:dyDescent="0.3">
      <c r="A21" s="123" t="s">
        <v>577</v>
      </c>
      <c r="B21" s="189">
        <v>47000</v>
      </c>
      <c r="C21" s="186"/>
      <c r="D21" s="43"/>
      <c r="E21" s="43" t="s">
        <v>465</v>
      </c>
      <c r="F21" s="73">
        <v>2000</v>
      </c>
      <c r="G21" s="80" t="s">
        <v>298</v>
      </c>
      <c r="H21" s="80">
        <v>5000</v>
      </c>
      <c r="I21" s="113">
        <v>44896</v>
      </c>
      <c r="N21" s="43"/>
      <c r="O21" s="43"/>
      <c r="P21" s="89"/>
      <c r="R21" t="s">
        <v>411</v>
      </c>
      <c r="S21" s="73">
        <v>90000</v>
      </c>
      <c r="V21" s="43"/>
      <c r="W21" s="43" t="s">
        <v>531</v>
      </c>
      <c r="X21" s="245">
        <v>1000000</v>
      </c>
      <c r="Y21" s="235"/>
      <c r="AB21" t="s">
        <v>540</v>
      </c>
      <c r="AC21">
        <v>100000</v>
      </c>
      <c r="AE21" t="s">
        <v>545</v>
      </c>
      <c r="AF21">
        <v>200000</v>
      </c>
    </row>
    <row r="22" spans="1:34" x14ac:dyDescent="0.3">
      <c r="A22" s="123" t="s">
        <v>475</v>
      </c>
      <c r="B22" s="189">
        <v>10000</v>
      </c>
      <c r="C22" s="73"/>
      <c r="D22" s="43" t="s">
        <v>511</v>
      </c>
      <c r="E22" s="43" t="s">
        <v>462</v>
      </c>
      <c r="F22" s="73">
        <v>5000</v>
      </c>
      <c r="G22" s="80" t="s">
        <v>256</v>
      </c>
      <c r="H22" s="80">
        <v>7600</v>
      </c>
      <c r="I22" s="113" t="s">
        <v>523</v>
      </c>
      <c r="K22" s="43" t="s">
        <v>479</v>
      </c>
      <c r="L22" s="43" t="s">
        <v>480</v>
      </c>
      <c r="S22" s="73">
        <f>(S19-S21)</f>
        <v>57000</v>
      </c>
      <c r="V22" s="43"/>
      <c r="W22" s="244" t="s">
        <v>560</v>
      </c>
      <c r="X22" s="231">
        <v>200000</v>
      </c>
      <c r="Y22" s="231">
        <v>200000</v>
      </c>
      <c r="Z22" s="198">
        <v>45502</v>
      </c>
      <c r="AC22">
        <f>AC20-AC21</f>
        <v>8200000</v>
      </c>
      <c r="AE22" t="s">
        <v>544</v>
      </c>
      <c r="AF22">
        <v>300000</v>
      </c>
    </row>
    <row r="23" spans="1:34" x14ac:dyDescent="0.3">
      <c r="A23" s="116" t="s">
        <v>203</v>
      </c>
      <c r="B23" s="190">
        <v>13000</v>
      </c>
      <c r="C23" s="186"/>
      <c r="D23" s="145"/>
      <c r="E23" s="43" t="s">
        <v>467</v>
      </c>
      <c r="F23" s="73">
        <v>6700</v>
      </c>
      <c r="G23" s="115" t="s">
        <v>431</v>
      </c>
      <c r="H23" s="116">
        <v>20481</v>
      </c>
      <c r="I23" s="113" t="s">
        <v>521</v>
      </c>
      <c r="K23" s="43"/>
      <c r="L23" s="43" t="s">
        <v>481</v>
      </c>
      <c r="R23" s="65"/>
      <c r="S23" s="73"/>
      <c r="V23" s="43"/>
      <c r="W23" s="104" t="s">
        <v>558</v>
      </c>
      <c r="X23" s="242">
        <v>400000</v>
      </c>
      <c r="Y23" s="242">
        <v>100000</v>
      </c>
      <c r="Z23" s="198">
        <v>45502</v>
      </c>
      <c r="AB23" t="s">
        <v>541</v>
      </c>
      <c r="AC23">
        <v>500000</v>
      </c>
      <c r="AD23" t="s">
        <v>543</v>
      </c>
      <c r="AF23">
        <f>SUM(AF21:AF22)</f>
        <v>500000</v>
      </c>
    </row>
    <row r="24" spans="1:34" x14ac:dyDescent="0.3">
      <c r="A24" s="115" t="s">
        <v>381</v>
      </c>
      <c r="B24" s="190">
        <v>23000</v>
      </c>
      <c r="C24" s="186"/>
      <c r="D24" s="43"/>
      <c r="E24" s="43" t="s">
        <v>468</v>
      </c>
      <c r="F24" s="73">
        <f>'September 23'!AO30</f>
        <v>0</v>
      </c>
      <c r="G24" s="115"/>
      <c r="H24" s="116"/>
      <c r="I24" s="113"/>
      <c r="K24" s="43"/>
      <c r="L24" s="43" t="s">
        <v>482</v>
      </c>
      <c r="R24" t="s">
        <v>142</v>
      </c>
      <c r="S24" s="73">
        <v>200000</v>
      </c>
      <c r="V24" s="43"/>
      <c r="W24" s="43" t="s">
        <v>571</v>
      </c>
      <c r="X24" s="231">
        <v>7500</v>
      </c>
      <c r="Y24" s="231">
        <v>7500</v>
      </c>
      <c r="AC24">
        <f>AC22-AC23</f>
        <v>7700000</v>
      </c>
      <c r="AF24">
        <f>AF23-AF20</f>
        <v>-250000</v>
      </c>
    </row>
    <row r="25" spans="1:34" x14ac:dyDescent="0.3">
      <c r="A25" s="64" t="s">
        <v>5</v>
      </c>
      <c r="B25" s="186">
        <f>SUM(B1:B16)</f>
        <v>348446.63</v>
      </c>
      <c r="C25" s="186">
        <f>SUM(C1:C17)</f>
        <v>184539</v>
      </c>
      <c r="D25" s="72"/>
      <c r="E25" s="43" t="s">
        <v>469</v>
      </c>
      <c r="F25" s="73">
        <v>51800</v>
      </c>
      <c r="G25" s="124"/>
      <c r="H25" s="118"/>
      <c r="I25" s="113"/>
      <c r="K25" s="43"/>
      <c r="L25" s="43" t="s">
        <v>483</v>
      </c>
      <c r="R25" t="s">
        <v>206</v>
      </c>
      <c r="S25" s="73">
        <f>(S22+S24)</f>
        <v>257000</v>
      </c>
      <c r="AB25" t="s">
        <v>546</v>
      </c>
      <c r="AC25">
        <v>8000000</v>
      </c>
    </row>
    <row r="26" spans="1:34" x14ac:dyDescent="0.3">
      <c r="A26" s="43"/>
      <c r="B26" s="186"/>
      <c r="C26" s="43"/>
      <c r="D26" s="72"/>
      <c r="E26" s="178" t="s">
        <v>470</v>
      </c>
      <c r="F26" s="179">
        <v>22000</v>
      </c>
      <c r="G26" s="43"/>
      <c r="H26" s="106"/>
      <c r="I26" s="114"/>
      <c r="K26" s="199"/>
      <c r="L26" s="43">
        <v>1270</v>
      </c>
      <c r="O26">
        <v>176000</v>
      </c>
      <c r="S26" s="73"/>
      <c r="V26" s="43"/>
      <c r="W26" s="226" t="s">
        <v>535</v>
      </c>
      <c r="X26" s="225">
        <f>SUM(X22:X24)</f>
        <v>607500</v>
      </c>
      <c r="Y26" s="225">
        <f>SUM(Y22:Y24)</f>
        <v>307500</v>
      </c>
    </row>
    <row r="27" spans="1:34" x14ac:dyDescent="0.3">
      <c r="A27" s="64" t="s">
        <v>228</v>
      </c>
      <c r="B27" s="186"/>
      <c r="C27" s="62">
        <f>(C25-B25)</f>
        <v>-163907.63</v>
      </c>
      <c r="D27" s="43" t="s">
        <v>227</v>
      </c>
      <c r="E27" s="43" t="s">
        <v>471</v>
      </c>
      <c r="F27" s="73">
        <v>11500</v>
      </c>
      <c r="K27" s="73" t="s">
        <v>485</v>
      </c>
      <c r="L27" s="43" t="s">
        <v>484</v>
      </c>
      <c r="O27">
        <v>152000</v>
      </c>
      <c r="R27" t="s">
        <v>413</v>
      </c>
      <c r="S27" s="73">
        <v>260000</v>
      </c>
      <c r="V27" s="43"/>
      <c r="W27" s="43" t="s">
        <v>5</v>
      </c>
      <c r="X27" s="224">
        <f>SUM(X10,X16,X26)</f>
        <v>1653040.8</v>
      </c>
      <c r="Y27" s="236"/>
    </row>
    <row r="28" spans="1:34" x14ac:dyDescent="0.3">
      <c r="A28" s="64"/>
      <c r="B28" s="186"/>
      <c r="C28" s="43"/>
      <c r="D28" s="43"/>
      <c r="E28" s="43" t="s">
        <v>472</v>
      </c>
      <c r="F28" s="73">
        <v>26000</v>
      </c>
      <c r="H28">
        <f>55000-110000</f>
        <v>-55000</v>
      </c>
      <c r="K28" s="43" t="s">
        <v>486</v>
      </c>
      <c r="L28" s="43">
        <v>1250</v>
      </c>
      <c r="O28">
        <f>O26-O27</f>
        <v>24000</v>
      </c>
      <c r="S28" s="30">
        <f>(S27-S25)</f>
        <v>3000</v>
      </c>
      <c r="AG28" t="s">
        <v>569</v>
      </c>
      <c r="AH28" t="s">
        <v>568</v>
      </c>
    </row>
    <row r="29" spans="1:34" x14ac:dyDescent="0.3">
      <c r="A29" s="64" t="s">
        <v>225</v>
      </c>
      <c r="B29" s="186"/>
      <c r="C29" s="62">
        <f>(F6+C27)</f>
        <v>-160793.63</v>
      </c>
      <c r="D29" s="43"/>
      <c r="E29" s="43" t="s">
        <v>476</v>
      </c>
      <c r="F29" s="186">
        <v>41600</v>
      </c>
      <c r="K29" s="43" t="s">
        <v>487</v>
      </c>
      <c r="L29" s="43">
        <v>91</v>
      </c>
      <c r="AE29">
        <v>619000</v>
      </c>
      <c r="AF29" s="247">
        <f>AG29/AE29</f>
        <v>2.4232633279483036E-3</v>
      </c>
      <c r="AG29">
        <f>AH29/12</f>
        <v>1500</v>
      </c>
      <c r="AH29">
        <v>18000</v>
      </c>
    </row>
    <row r="30" spans="1:34" x14ac:dyDescent="0.3">
      <c r="F30" s="73">
        <f>SUM(F10:F29)</f>
        <v>301557.86</v>
      </c>
      <c r="K30" s="43"/>
      <c r="L30" s="43">
        <f>L28*L29</f>
        <v>113750</v>
      </c>
      <c r="V30" s="293" t="s">
        <v>532</v>
      </c>
      <c r="W30" s="293"/>
      <c r="AE30">
        <v>100000</v>
      </c>
      <c r="AF30">
        <v>0.02</v>
      </c>
      <c r="AG30">
        <f>AE30*AF30</f>
        <v>2000</v>
      </c>
      <c r="AH30">
        <f>AG30*12</f>
        <v>24000</v>
      </c>
    </row>
    <row r="31" spans="1:34" x14ac:dyDescent="0.3">
      <c r="K31" s="43" t="s">
        <v>488</v>
      </c>
      <c r="L31" s="73">
        <v>99130</v>
      </c>
      <c r="V31" s="43"/>
      <c r="W31" s="43" t="s">
        <v>89</v>
      </c>
      <c r="X31" s="222">
        <v>8000000</v>
      </c>
      <c r="Y31" s="235"/>
      <c r="Z31" s="198">
        <v>45509</v>
      </c>
      <c r="AA31" t="s">
        <v>566</v>
      </c>
      <c r="AE31">
        <v>619000</v>
      </c>
      <c r="AF31">
        <v>2.4299999999999999E-3</v>
      </c>
      <c r="AG31">
        <f>AE31*AF31</f>
        <v>1504.1699999999998</v>
      </c>
      <c r="AH31">
        <f>AG31*12</f>
        <v>18050.039999999997</v>
      </c>
    </row>
    <row r="32" spans="1:34" x14ac:dyDescent="0.3">
      <c r="K32" s="43"/>
      <c r="L32" s="106">
        <f>L30+L31</f>
        <v>212880</v>
      </c>
      <c r="O32">
        <f>5000/40</f>
        <v>125</v>
      </c>
      <c r="V32" s="43"/>
      <c r="W32" s="43" t="s">
        <v>533</v>
      </c>
      <c r="X32" s="222">
        <v>578957</v>
      </c>
      <c r="Y32" s="235">
        <v>18500</v>
      </c>
      <c r="Z32" s="198">
        <v>45540</v>
      </c>
      <c r="AA32" t="s">
        <v>566</v>
      </c>
      <c r="AE32">
        <v>3500000</v>
      </c>
      <c r="AF32">
        <v>0.09</v>
      </c>
      <c r="AG32">
        <f>AE32*AF32</f>
        <v>315000</v>
      </c>
      <c r="AH32" s="246">
        <f>AG32*12</f>
        <v>3780000</v>
      </c>
    </row>
    <row r="33" spans="11:34" x14ac:dyDescent="0.3">
      <c r="K33" s="178" t="s">
        <v>490</v>
      </c>
      <c r="L33" s="91">
        <v>-109464</v>
      </c>
      <c r="O33">
        <v>23</v>
      </c>
      <c r="P33">
        <f>O32*O33</f>
        <v>2875</v>
      </c>
      <c r="V33" s="43"/>
      <c r="W33" s="43" t="s">
        <v>556</v>
      </c>
      <c r="X33" s="222">
        <v>300000</v>
      </c>
      <c r="Y33" s="235"/>
      <c r="AE33">
        <v>8000000</v>
      </c>
      <c r="AF33">
        <v>0.09</v>
      </c>
      <c r="AG33">
        <f>AE33*AF33</f>
        <v>720000</v>
      </c>
      <c r="AH33" s="246">
        <f>AG33*12</f>
        <v>8640000</v>
      </c>
    </row>
    <row r="34" spans="11:34" x14ac:dyDescent="0.3">
      <c r="K34" s="43" t="s">
        <v>488</v>
      </c>
      <c r="L34" s="200">
        <v>-25000</v>
      </c>
      <c r="P34">
        <v>2875</v>
      </c>
      <c r="V34" s="43"/>
      <c r="W34" s="43" t="s">
        <v>551</v>
      </c>
      <c r="X34" s="43"/>
    </row>
    <row r="35" spans="11:34" x14ac:dyDescent="0.3">
      <c r="K35" s="43" t="s">
        <v>143</v>
      </c>
      <c r="L35" s="73">
        <f>L32+L33+L34</f>
        <v>78416</v>
      </c>
      <c r="P35">
        <v>6000</v>
      </c>
      <c r="V35" s="43"/>
      <c r="W35" s="226" t="s">
        <v>535</v>
      </c>
      <c r="X35" s="227">
        <f>SUM(X31:X33)</f>
        <v>8878957</v>
      </c>
      <c r="Y35" s="237"/>
    </row>
    <row r="36" spans="11:34" x14ac:dyDescent="0.3">
      <c r="V36" s="43"/>
      <c r="W36" s="43" t="s">
        <v>534</v>
      </c>
      <c r="X36" s="228">
        <f>X27+X35</f>
        <v>10531997.800000001</v>
      </c>
      <c r="Y36" s="238"/>
    </row>
    <row r="37" spans="11:34" x14ac:dyDescent="0.3">
      <c r="X37" s="233"/>
      <c r="Y37" s="233"/>
    </row>
    <row r="39" spans="11:34" x14ac:dyDescent="0.3">
      <c r="V39" s="229" t="s">
        <v>551</v>
      </c>
      <c r="W39" s="229"/>
      <c r="X39" s="229"/>
      <c r="Y39" s="229"/>
      <c r="Z39" s="232" t="s">
        <v>26</v>
      </c>
      <c r="AA39" s="232" t="s">
        <v>214</v>
      </c>
    </row>
    <row r="40" spans="11:34" x14ac:dyDescent="0.3">
      <c r="V40" s="43"/>
      <c r="W40" s="43" t="s">
        <v>494</v>
      </c>
      <c r="X40" s="222">
        <v>165000</v>
      </c>
      <c r="Y40" s="222"/>
      <c r="Z40" s="222"/>
      <c r="AA40" s="223">
        <f t="shared" ref="AA40:AA47" si="2">X40-Z40</f>
        <v>165000</v>
      </c>
      <c r="AE40">
        <v>5661</v>
      </c>
      <c r="AF40">
        <v>58000</v>
      </c>
    </row>
    <row r="41" spans="11:34" x14ac:dyDescent="0.3">
      <c r="V41" s="221">
        <v>45497</v>
      </c>
      <c r="W41" s="43" t="s">
        <v>545</v>
      </c>
      <c r="X41" s="222">
        <v>250000</v>
      </c>
      <c r="Y41" s="222"/>
      <c r="Z41" s="222"/>
      <c r="AA41" s="223">
        <f t="shared" si="2"/>
        <v>250000</v>
      </c>
      <c r="AE41">
        <v>5702</v>
      </c>
      <c r="AF41">
        <v>57959</v>
      </c>
    </row>
    <row r="42" spans="11:34" x14ac:dyDescent="0.3">
      <c r="V42" s="221">
        <v>45497</v>
      </c>
      <c r="W42" s="43" t="s">
        <v>552</v>
      </c>
      <c r="X42" s="222">
        <v>100000</v>
      </c>
      <c r="Y42" s="222"/>
      <c r="Z42" s="222">
        <v>100000</v>
      </c>
      <c r="AA42" s="223">
        <f t="shared" si="2"/>
        <v>0</v>
      </c>
      <c r="AE42">
        <v>5743</v>
      </c>
      <c r="AF42">
        <v>57918</v>
      </c>
    </row>
    <row r="43" spans="11:34" x14ac:dyDescent="0.3">
      <c r="V43" s="221">
        <v>45498</v>
      </c>
      <c r="W43" s="43" t="s">
        <v>553</v>
      </c>
      <c r="X43" s="222">
        <v>50000</v>
      </c>
      <c r="Y43" s="222"/>
      <c r="Z43" s="222">
        <v>50000</v>
      </c>
      <c r="AA43" s="223">
        <f t="shared" si="2"/>
        <v>0</v>
      </c>
      <c r="AE43">
        <v>5785</v>
      </c>
      <c r="AF43">
        <v>57876</v>
      </c>
    </row>
    <row r="44" spans="11:34" x14ac:dyDescent="0.3">
      <c r="V44" s="221">
        <v>45500</v>
      </c>
      <c r="W44" s="43" t="s">
        <v>554</v>
      </c>
      <c r="X44" s="222">
        <v>120000</v>
      </c>
      <c r="Y44" s="222"/>
      <c r="Z44" s="222">
        <v>120000</v>
      </c>
      <c r="AA44" s="223">
        <f t="shared" si="2"/>
        <v>0</v>
      </c>
      <c r="AE44">
        <v>5827</v>
      </c>
      <c r="AF44">
        <v>57834</v>
      </c>
    </row>
    <row r="45" spans="11:34" x14ac:dyDescent="0.3">
      <c r="V45" s="221">
        <v>45500</v>
      </c>
      <c r="W45" s="43" t="s">
        <v>553</v>
      </c>
      <c r="X45" s="234">
        <v>240000</v>
      </c>
      <c r="Y45" s="234"/>
      <c r="Z45" s="222">
        <v>225000</v>
      </c>
      <c r="AA45" s="223">
        <f t="shared" si="2"/>
        <v>15000</v>
      </c>
      <c r="AE45">
        <v>5869</v>
      </c>
      <c r="AF45">
        <v>57792</v>
      </c>
    </row>
    <row r="46" spans="11:34" x14ac:dyDescent="0.3">
      <c r="V46" s="221">
        <v>45500</v>
      </c>
      <c r="W46" s="43" t="s">
        <v>555</v>
      </c>
      <c r="X46" s="222">
        <v>600000</v>
      </c>
      <c r="Y46" s="222"/>
      <c r="Z46" s="222">
        <v>400000</v>
      </c>
      <c r="AA46" s="223">
        <f>X46-Z46</f>
        <v>200000</v>
      </c>
      <c r="AE46">
        <v>5912</v>
      </c>
      <c r="AF46">
        <v>57749</v>
      </c>
    </row>
    <row r="47" spans="11:34" x14ac:dyDescent="0.3">
      <c r="V47" s="221">
        <v>45517</v>
      </c>
      <c r="W47" s="178" t="s">
        <v>554</v>
      </c>
      <c r="X47" s="249">
        <v>100000</v>
      </c>
      <c r="Y47" s="43"/>
      <c r="Z47" s="43"/>
      <c r="AA47" s="223">
        <f t="shared" si="2"/>
        <v>100000</v>
      </c>
      <c r="AE47">
        <v>5955</v>
      </c>
      <c r="AF47">
        <v>57706</v>
      </c>
    </row>
    <row r="48" spans="11:34" x14ac:dyDescent="0.3">
      <c r="V48" s="221">
        <v>45517</v>
      </c>
      <c r="W48" s="43" t="s">
        <v>555</v>
      </c>
      <c r="X48" s="234">
        <v>200000</v>
      </c>
      <c r="Y48" s="43"/>
      <c r="Z48" s="234">
        <v>100000</v>
      </c>
      <c r="AA48" s="223">
        <f>X48-Z48</f>
        <v>100000</v>
      </c>
    </row>
    <row r="49" spans="22:32" x14ac:dyDescent="0.3">
      <c r="V49" s="221">
        <v>45528</v>
      </c>
      <c r="W49" s="43" t="s">
        <v>545</v>
      </c>
      <c r="X49" s="234">
        <v>250000</v>
      </c>
      <c r="Y49" s="43"/>
      <c r="Z49" s="234">
        <v>17999</v>
      </c>
      <c r="AA49" s="223">
        <f>X49-Z49</f>
        <v>232001</v>
      </c>
      <c r="AE49" s="246">
        <f>SUM(AE40:AE47)</f>
        <v>46454</v>
      </c>
      <c r="AF49" s="246">
        <f>SUM(AF40:AF47)</f>
        <v>462834</v>
      </c>
    </row>
    <row r="50" spans="22:32" x14ac:dyDescent="0.3">
      <c r="V50" s="221">
        <v>45531</v>
      </c>
      <c r="W50" s="43" t="s">
        <v>545</v>
      </c>
      <c r="X50" s="222">
        <v>232001</v>
      </c>
      <c r="Y50" s="43"/>
      <c r="Z50" s="234">
        <v>30000</v>
      </c>
      <c r="AA50" s="223">
        <f>X50-Z50</f>
        <v>202001</v>
      </c>
    </row>
    <row r="52" spans="22:32" x14ac:dyDescent="0.3">
      <c r="X52" s="223">
        <f>SUM(X40:X45)</f>
        <v>925000</v>
      </c>
      <c r="Y52" s="223"/>
      <c r="Z52" s="223">
        <f>SUM(Z40:Z50)</f>
        <v>1042999</v>
      </c>
      <c r="AA52" s="223">
        <f>SUM(AA45,AA47,AA50)</f>
        <v>317001</v>
      </c>
    </row>
  </sheetData>
  <mergeCells count="8">
    <mergeCell ref="V19:W19"/>
    <mergeCell ref="V30:W30"/>
    <mergeCell ref="E1:F1"/>
    <mergeCell ref="I1:L1"/>
    <mergeCell ref="V3:W3"/>
    <mergeCell ref="J4:L4"/>
    <mergeCell ref="V5:V7"/>
    <mergeCell ref="V13:W13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B34E-5DB6-47DD-9F86-76E3DCF49048}">
  <dimension ref="A1:AI52"/>
  <sheetViews>
    <sheetView topLeftCell="A4" workbookViewId="0">
      <selection activeCell="A18" sqref="A18"/>
    </sheetView>
  </sheetViews>
  <sheetFormatPr defaultRowHeight="14.4" x14ac:dyDescent="0.3"/>
  <cols>
    <col min="1" max="1" width="26.44140625" bestFit="1" customWidth="1"/>
    <col min="2" max="2" width="9.44140625" style="250" bestFit="1" customWidth="1"/>
    <col min="3" max="3" width="13.44140625" bestFit="1" customWidth="1"/>
    <col min="4" max="4" width="13.33203125" bestFit="1" customWidth="1"/>
    <col min="5" max="5" width="15.88671875" bestFit="1" customWidth="1"/>
    <col min="6" max="6" width="10.44140625" bestFit="1" customWidth="1"/>
    <col min="7" max="7" width="16.6640625" bestFit="1" customWidth="1"/>
    <col min="9" max="9" width="14" bestFit="1" customWidth="1"/>
    <col min="11" max="11" width="14" bestFit="1" customWidth="1"/>
    <col min="12" max="12" width="11.33203125" bestFit="1" customWidth="1"/>
    <col min="15" max="15" width="12.5546875" bestFit="1" customWidth="1"/>
    <col min="16" max="16" width="17.5546875" bestFit="1" customWidth="1"/>
    <col min="17" max="17" width="9.6640625" bestFit="1" customWidth="1"/>
    <col min="18" max="18" width="11.109375" bestFit="1" customWidth="1"/>
    <col min="19" max="19" width="13.33203125" bestFit="1" customWidth="1"/>
    <col min="22" max="22" width="14.44140625" bestFit="1" customWidth="1"/>
    <col min="23" max="23" width="33.33203125" bestFit="1" customWidth="1"/>
    <col min="24" max="24" width="14.5546875" bestFit="1" customWidth="1"/>
    <col min="25" max="25" width="14.5546875" customWidth="1"/>
    <col min="26" max="26" width="12.33203125" bestFit="1" customWidth="1"/>
    <col min="27" max="27" width="12.6640625" bestFit="1" customWidth="1"/>
    <col min="28" max="28" width="12.33203125" bestFit="1" customWidth="1"/>
    <col min="31" max="31" width="9.88671875" bestFit="1" customWidth="1"/>
    <col min="32" max="32" width="11.33203125" bestFit="1" customWidth="1"/>
    <col min="33" max="33" width="8" bestFit="1" customWidth="1"/>
    <col min="34" max="34" width="12.33203125" bestFit="1" customWidth="1"/>
  </cols>
  <sheetData>
    <row r="1" spans="1:35" ht="15" thickBot="1" x14ac:dyDescent="0.35">
      <c r="A1" s="43" t="s">
        <v>6</v>
      </c>
      <c r="B1" s="186">
        <v>6000</v>
      </c>
      <c r="C1" s="186"/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  <c r="AA1" s="241" t="s">
        <v>563</v>
      </c>
      <c r="AB1" s="240">
        <v>8300000</v>
      </c>
    </row>
    <row r="2" spans="1:35" x14ac:dyDescent="0.3">
      <c r="A2" s="43" t="s">
        <v>0</v>
      </c>
      <c r="B2" s="186">
        <v>35300</v>
      </c>
      <c r="C2" s="191">
        <v>25000</v>
      </c>
      <c r="D2" s="186" t="s">
        <v>579</v>
      </c>
      <c r="E2" s="43" t="s">
        <v>576</v>
      </c>
      <c r="F2" s="73">
        <v>2070</v>
      </c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35" x14ac:dyDescent="0.3">
      <c r="A3" s="43" t="s">
        <v>575</v>
      </c>
      <c r="B3" s="186">
        <v>5000</v>
      </c>
      <c r="C3" s="191">
        <v>5000</v>
      </c>
      <c r="D3" s="43"/>
      <c r="E3" s="43" t="s">
        <v>265</v>
      </c>
      <c r="F3" s="73">
        <v>18</v>
      </c>
      <c r="G3" s="73"/>
      <c r="H3" s="30"/>
      <c r="I3" s="110" t="s">
        <v>382</v>
      </c>
      <c r="J3" s="159">
        <v>10</v>
      </c>
      <c r="K3" s="159">
        <v>999</v>
      </c>
      <c r="L3" s="211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  <c r="V3" s="293" t="s">
        <v>525</v>
      </c>
      <c r="W3" s="293"/>
    </row>
    <row r="4" spans="1:35" x14ac:dyDescent="0.3">
      <c r="A4" s="43" t="s">
        <v>2</v>
      </c>
      <c r="B4" s="186">
        <v>2500</v>
      </c>
      <c r="C4" s="191">
        <v>2500</v>
      </c>
      <c r="D4" s="43"/>
      <c r="E4" s="43" t="s">
        <v>204</v>
      </c>
      <c r="F4" s="73">
        <v>216</v>
      </c>
      <c r="G4" s="73"/>
      <c r="I4" s="110" t="s">
        <v>379</v>
      </c>
      <c r="J4" s="290" t="s">
        <v>473</v>
      </c>
      <c r="K4" s="291"/>
      <c r="L4" s="292"/>
      <c r="M4" s="192">
        <v>44682</v>
      </c>
      <c r="N4" s="43"/>
      <c r="O4" s="43"/>
      <c r="P4" s="73"/>
      <c r="R4" s="43"/>
      <c r="S4" s="73"/>
      <c r="V4" s="157"/>
      <c r="W4" s="157" t="s">
        <v>559</v>
      </c>
      <c r="X4" s="230">
        <v>100000</v>
      </c>
      <c r="Y4" s="230">
        <v>100000</v>
      </c>
      <c r="Z4" s="198">
        <v>45485</v>
      </c>
    </row>
    <row r="5" spans="1:35" ht="14.4" customHeight="1" x14ac:dyDescent="0.3">
      <c r="A5" s="43" t="s">
        <v>89</v>
      </c>
      <c r="B5" s="186">
        <v>33953</v>
      </c>
      <c r="C5" s="191">
        <v>33953</v>
      </c>
      <c r="D5" s="43" t="s">
        <v>450</v>
      </c>
      <c r="E5" s="43" t="s">
        <v>205</v>
      </c>
      <c r="F5" s="73">
        <v>810</v>
      </c>
      <c r="I5" s="110" t="s">
        <v>19</v>
      </c>
      <c r="J5" s="159">
        <v>22</v>
      </c>
      <c r="K5" s="159">
        <v>1321.63</v>
      </c>
      <c r="L5" s="211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  <c r="V5" s="294" t="s">
        <v>529</v>
      </c>
      <c r="W5" s="43" t="s">
        <v>550</v>
      </c>
      <c r="X5" s="231">
        <v>18000</v>
      </c>
      <c r="Y5" s="231">
        <v>18000</v>
      </c>
      <c r="Z5" s="198">
        <v>45492</v>
      </c>
      <c r="AC5">
        <v>34000</v>
      </c>
    </row>
    <row r="6" spans="1:35" x14ac:dyDescent="0.3">
      <c r="A6" s="43" t="s">
        <v>3</v>
      </c>
      <c r="B6" s="186">
        <v>2000</v>
      </c>
      <c r="C6" s="191">
        <v>2000</v>
      </c>
      <c r="D6" s="43"/>
      <c r="E6" s="43" t="s">
        <v>6</v>
      </c>
      <c r="F6" s="73">
        <f>SUM(F2:F5)</f>
        <v>3114</v>
      </c>
      <c r="I6" s="110" t="s">
        <v>362</v>
      </c>
      <c r="J6" s="159">
        <v>6</v>
      </c>
      <c r="K6" s="159">
        <v>1918.68</v>
      </c>
      <c r="L6" s="211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  <c r="V6" s="294"/>
      <c r="W6" s="43" t="s">
        <v>528</v>
      </c>
      <c r="X6" s="231">
        <v>41000</v>
      </c>
      <c r="Y6" s="231">
        <v>41000</v>
      </c>
      <c r="Z6" s="198">
        <v>45498</v>
      </c>
      <c r="AC6">
        <v>65000</v>
      </c>
    </row>
    <row r="7" spans="1:35" x14ac:dyDescent="0.3">
      <c r="A7" s="43" t="s">
        <v>9</v>
      </c>
      <c r="B7" s="186">
        <v>807</v>
      </c>
      <c r="C7" s="191">
        <v>807</v>
      </c>
      <c r="D7" s="43"/>
      <c r="E7" s="43" t="s">
        <v>429</v>
      </c>
      <c r="F7" s="44">
        <f>B25</f>
        <v>248503</v>
      </c>
      <c r="I7" s="110" t="s">
        <v>363</v>
      </c>
      <c r="J7" s="159">
        <v>5</v>
      </c>
      <c r="K7" s="159">
        <v>1049.19</v>
      </c>
      <c r="L7" s="211">
        <f t="shared" si="1"/>
        <v>5245.9500000000007</v>
      </c>
      <c r="M7" s="192">
        <v>45108</v>
      </c>
      <c r="N7" s="43"/>
      <c r="O7" s="43"/>
      <c r="P7" s="73"/>
      <c r="R7" s="43"/>
      <c r="S7" s="73"/>
      <c r="V7" s="294"/>
      <c r="W7" s="43" t="s">
        <v>530</v>
      </c>
      <c r="X7" s="231">
        <v>7000</v>
      </c>
      <c r="Y7" s="231">
        <v>7000</v>
      </c>
      <c r="Z7" s="198">
        <v>45498</v>
      </c>
      <c r="AC7">
        <v>11418</v>
      </c>
    </row>
    <row r="8" spans="1:35" x14ac:dyDescent="0.3">
      <c r="A8" s="43" t="s">
        <v>151</v>
      </c>
      <c r="B8" s="186">
        <v>11419</v>
      </c>
      <c r="C8" s="191">
        <v>11419</v>
      </c>
      <c r="D8" s="43" t="s">
        <v>449</v>
      </c>
      <c r="I8" s="110" t="s">
        <v>364</v>
      </c>
      <c r="J8" s="159">
        <v>11</v>
      </c>
      <c r="K8" s="159">
        <v>470.99</v>
      </c>
      <c r="L8" s="211">
        <f t="shared" si="1"/>
        <v>5180.8900000000003</v>
      </c>
      <c r="M8" s="192">
        <v>45108</v>
      </c>
      <c r="N8" s="43"/>
      <c r="O8" s="43"/>
      <c r="P8" s="108">
        <f>SUM(P3:P6)</f>
        <v>2240000</v>
      </c>
      <c r="R8" s="43"/>
      <c r="S8" s="73">
        <f>SUM(S3:S6)</f>
        <v>1290975</v>
      </c>
      <c r="V8" s="43"/>
      <c r="W8" s="43" t="s">
        <v>527</v>
      </c>
      <c r="X8" s="231">
        <v>547579.80000000005</v>
      </c>
      <c r="Y8" s="231">
        <v>547579.80000000005</v>
      </c>
      <c r="Z8" s="198">
        <v>45498</v>
      </c>
      <c r="AC8">
        <v>25000</v>
      </c>
      <c r="AE8">
        <f>133000+80000</f>
        <v>213000</v>
      </c>
    </row>
    <row r="9" spans="1:35" x14ac:dyDescent="0.3">
      <c r="A9" s="43" t="s">
        <v>107</v>
      </c>
      <c r="B9" s="186">
        <v>619</v>
      </c>
      <c r="C9" s="191">
        <v>619</v>
      </c>
      <c r="D9" s="43"/>
      <c r="E9" s="43"/>
      <c r="F9" s="43"/>
      <c r="I9" s="110" t="s">
        <v>377</v>
      </c>
      <c r="J9" s="159">
        <v>4</v>
      </c>
      <c r="K9" s="159">
        <v>1376.72</v>
      </c>
      <c r="L9" s="211">
        <f t="shared" si="1"/>
        <v>5506.88</v>
      </c>
      <c r="N9" s="43"/>
      <c r="O9" s="43"/>
      <c r="P9" s="73"/>
      <c r="R9" s="43"/>
      <c r="S9" s="73"/>
      <c r="AC9">
        <v>6000</v>
      </c>
      <c r="AE9">
        <f>AE8-AC18</f>
        <v>-7418</v>
      </c>
      <c r="AH9" t="s">
        <v>536</v>
      </c>
      <c r="AI9">
        <v>485000</v>
      </c>
    </row>
    <row r="10" spans="1:35" x14ac:dyDescent="0.3">
      <c r="A10" s="43" t="s">
        <v>174</v>
      </c>
      <c r="B10" s="186">
        <v>5000</v>
      </c>
      <c r="C10" s="191">
        <v>1500</v>
      </c>
      <c r="D10" s="43"/>
      <c r="E10" s="43" t="s">
        <v>442</v>
      </c>
      <c r="F10" s="73">
        <v>234.82</v>
      </c>
      <c r="I10" s="110" t="s">
        <v>387</v>
      </c>
      <c r="J10" s="159">
        <v>5</v>
      </c>
      <c r="K10" s="159">
        <v>936.51</v>
      </c>
      <c r="L10" s="211">
        <f t="shared" si="1"/>
        <v>4682.55</v>
      </c>
      <c r="M10" s="192">
        <v>45108</v>
      </c>
      <c r="N10" s="43"/>
      <c r="O10" s="43" t="s">
        <v>339</v>
      </c>
      <c r="P10" s="134">
        <v>500000</v>
      </c>
      <c r="S10" s="30"/>
      <c r="W10" s="226" t="s">
        <v>535</v>
      </c>
      <c r="X10" s="243">
        <f>SUM(X4:X8)</f>
        <v>713579.8</v>
      </c>
      <c r="Y10" s="243">
        <f>SUM(Y4:Y8)</f>
        <v>713579.8</v>
      </c>
      <c r="AC10">
        <v>50000</v>
      </c>
      <c r="AH10" t="s">
        <v>537</v>
      </c>
      <c r="AI10">
        <f>2*108675</f>
        <v>217350</v>
      </c>
    </row>
    <row r="11" spans="1:35" x14ac:dyDescent="0.3">
      <c r="A11" s="43" t="s">
        <v>564</v>
      </c>
      <c r="B11" s="186">
        <v>66800</v>
      </c>
      <c r="C11" s="191">
        <v>66800</v>
      </c>
      <c r="D11" s="43" t="s">
        <v>449</v>
      </c>
      <c r="E11" s="43" t="s">
        <v>441</v>
      </c>
      <c r="F11" s="73">
        <v>1419.04</v>
      </c>
      <c r="I11" s="110" t="s">
        <v>380</v>
      </c>
      <c r="J11" s="159">
        <v>5</v>
      </c>
      <c r="K11" s="159">
        <v>959.34</v>
      </c>
      <c r="L11" s="211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  <c r="AC11">
        <v>5000</v>
      </c>
    </row>
    <row r="12" spans="1:35" x14ac:dyDescent="0.3">
      <c r="A12" s="43" t="s">
        <v>285</v>
      </c>
      <c r="B12" s="186">
        <v>4180</v>
      </c>
      <c r="C12" s="191">
        <v>4180</v>
      </c>
      <c r="D12" s="85"/>
      <c r="E12" s="43" t="s">
        <v>443</v>
      </c>
      <c r="F12" s="73">
        <v>3500</v>
      </c>
      <c r="I12" s="110" t="s">
        <v>385</v>
      </c>
      <c r="J12" s="159">
        <v>50</v>
      </c>
      <c r="K12" s="159">
        <v>43.35</v>
      </c>
      <c r="L12" s="211">
        <f t="shared" si="1"/>
        <v>2167.5</v>
      </c>
      <c r="N12" s="43"/>
      <c r="O12" s="43" t="s">
        <v>6</v>
      </c>
      <c r="P12" s="134">
        <v>50000</v>
      </c>
      <c r="AC12">
        <v>10000</v>
      </c>
    </row>
    <row r="13" spans="1:35" x14ac:dyDescent="0.3">
      <c r="A13" s="43" t="s">
        <v>414</v>
      </c>
      <c r="B13" s="186">
        <v>18054</v>
      </c>
      <c r="C13" s="191">
        <v>18054</v>
      </c>
      <c r="D13" s="221" t="s">
        <v>449</v>
      </c>
      <c r="E13" s="43" t="s">
        <v>455</v>
      </c>
      <c r="F13" s="73">
        <v>8000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  <c r="V13" s="293" t="s">
        <v>562</v>
      </c>
      <c r="W13" s="293"/>
      <c r="AC13">
        <v>5000</v>
      </c>
      <c r="AI13">
        <f>SUM(AI9:AI10)</f>
        <v>702350</v>
      </c>
    </row>
    <row r="14" spans="1:35" ht="15" thickBot="1" x14ac:dyDescent="0.35">
      <c r="A14" s="43" t="s">
        <v>109</v>
      </c>
      <c r="B14" s="186">
        <f>18195*2</f>
        <v>36390</v>
      </c>
      <c r="C14" s="186"/>
      <c r="D14" s="248"/>
      <c r="E14" s="43" t="s">
        <v>456</v>
      </c>
      <c r="F14" s="73">
        <v>1000</v>
      </c>
      <c r="I14" s="169" t="s">
        <v>447</v>
      </c>
      <c r="J14" s="209">
        <v>4</v>
      </c>
      <c r="K14" s="209">
        <v>507.02</v>
      </c>
      <c r="L14" s="210">
        <f t="shared" si="1"/>
        <v>2028.08</v>
      </c>
      <c r="N14" s="43"/>
      <c r="O14" s="43" t="s">
        <v>408</v>
      </c>
      <c r="P14" s="134">
        <v>10000</v>
      </c>
      <c r="V14" s="239"/>
      <c r="W14" s="43" t="s">
        <v>557</v>
      </c>
      <c r="X14" s="231">
        <v>323461</v>
      </c>
      <c r="Y14" s="231">
        <v>323461</v>
      </c>
      <c r="Z14" s="198">
        <v>45500</v>
      </c>
      <c r="AC14">
        <v>2000</v>
      </c>
      <c r="AH14" t="s">
        <v>538</v>
      </c>
      <c r="AI14">
        <v>639000</v>
      </c>
    </row>
    <row r="15" spans="1:35" x14ac:dyDescent="0.3">
      <c r="A15" s="43" t="s">
        <v>435</v>
      </c>
      <c r="B15" s="186">
        <f>H23</f>
        <v>20481</v>
      </c>
      <c r="C15" s="191">
        <v>20481</v>
      </c>
      <c r="D15" s="43"/>
      <c r="E15" s="43" t="s">
        <v>457</v>
      </c>
      <c r="F15" s="73">
        <v>5074</v>
      </c>
      <c r="L15" s="193">
        <f>SUM(L4:L14)</f>
        <v>72210.990000000005</v>
      </c>
      <c r="N15" s="43"/>
      <c r="O15" s="43"/>
      <c r="P15" s="134">
        <f>SUM(P10:P14)</f>
        <v>815000</v>
      </c>
      <c r="V15" s="43"/>
      <c r="W15" s="43" t="s">
        <v>561</v>
      </c>
      <c r="X15" s="231">
        <v>8500</v>
      </c>
      <c r="Y15" s="231">
        <v>8500</v>
      </c>
      <c r="Z15" s="198">
        <v>45500</v>
      </c>
      <c r="AC15">
        <v>4000</v>
      </c>
      <c r="AI15">
        <f>AI13-AI14</f>
        <v>63350</v>
      </c>
    </row>
    <row r="16" spans="1:35" x14ac:dyDescent="0.3">
      <c r="A16" s="43"/>
      <c r="B16" s="186"/>
      <c r="C16" s="186"/>
      <c r="D16" s="186">
        <f>SUM(C14:C16)</f>
        <v>20481</v>
      </c>
      <c r="E16" s="43" t="s">
        <v>458</v>
      </c>
      <c r="F16" s="73">
        <v>113280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  <c r="V16" s="43"/>
      <c r="W16" s="226" t="s">
        <v>535</v>
      </c>
      <c r="X16" s="243">
        <f>SUM(X14:X15)</f>
        <v>331961</v>
      </c>
      <c r="Y16" s="243">
        <f>SUM(Y14:Y15)</f>
        <v>331961</v>
      </c>
      <c r="AC16">
        <v>3000</v>
      </c>
    </row>
    <row r="17" spans="1:34" x14ac:dyDescent="0.3">
      <c r="A17" s="73"/>
      <c r="B17" s="186"/>
      <c r="C17" s="73"/>
      <c r="D17" s="202"/>
      <c r="E17" s="43" t="s">
        <v>459</v>
      </c>
      <c r="F17" s="73">
        <v>750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34" ht="15" thickBot="1" x14ac:dyDescent="0.35">
      <c r="A18" s="123" t="s">
        <v>123</v>
      </c>
      <c r="B18" s="189">
        <v>2600</v>
      </c>
      <c r="C18" s="73"/>
      <c r="D18" s="202"/>
      <c r="E18" s="43" t="s">
        <v>463</v>
      </c>
      <c r="F18" s="73">
        <v>1000</v>
      </c>
      <c r="G18" s="167" t="s">
        <v>109</v>
      </c>
      <c r="H18" s="116">
        <v>18195</v>
      </c>
      <c r="I18" s="113" t="s">
        <v>522</v>
      </c>
      <c r="N18" s="43"/>
      <c r="O18" s="43"/>
      <c r="R18" t="s">
        <v>412</v>
      </c>
      <c r="S18" s="73">
        <v>93000</v>
      </c>
      <c r="AC18">
        <f>SUM(AC5:AC16)</f>
        <v>220418</v>
      </c>
    </row>
    <row r="19" spans="1:34" ht="15" thickBot="1" x14ac:dyDescent="0.35">
      <c r="A19" s="123" t="s">
        <v>81</v>
      </c>
      <c r="B19" s="189">
        <v>50000</v>
      </c>
      <c r="C19" s="186"/>
      <c r="D19" s="72"/>
      <c r="E19" s="43" t="s">
        <v>464</v>
      </c>
      <c r="F19" s="73">
        <v>700</v>
      </c>
      <c r="G19" s="181" t="s">
        <v>268</v>
      </c>
      <c r="H19" s="112">
        <v>10526</v>
      </c>
      <c r="I19" s="113" t="s">
        <v>522</v>
      </c>
      <c r="N19" s="43"/>
      <c r="O19" s="104" t="s">
        <v>410</v>
      </c>
      <c r="P19" s="177">
        <f>(P17-P16)</f>
        <v>-151000</v>
      </c>
      <c r="S19" s="73">
        <f>SUM(S17:S18)</f>
        <v>147000</v>
      </c>
      <c r="V19" s="295" t="s">
        <v>526</v>
      </c>
      <c r="W19" s="293"/>
    </row>
    <row r="20" spans="1:34" x14ac:dyDescent="0.3">
      <c r="A20" s="123"/>
      <c r="B20" s="189"/>
      <c r="C20" s="186"/>
      <c r="D20" s="72"/>
      <c r="E20" s="43"/>
      <c r="F20" s="73"/>
      <c r="G20" s="181"/>
      <c r="H20" s="112"/>
      <c r="I20" s="113"/>
      <c r="N20" s="43"/>
      <c r="O20" s="104"/>
      <c r="P20" s="30"/>
      <c r="S20" s="73"/>
      <c r="V20" s="43"/>
      <c r="W20" s="43" t="s">
        <v>539</v>
      </c>
      <c r="X20" s="223">
        <f>AB1-X4</f>
        <v>8200000</v>
      </c>
      <c r="Y20" s="233"/>
      <c r="AC20">
        <v>8300000</v>
      </c>
      <c r="AE20" t="s">
        <v>542</v>
      </c>
      <c r="AF20">
        <v>750000</v>
      </c>
    </row>
    <row r="21" spans="1:34" x14ac:dyDescent="0.3">
      <c r="A21" s="123"/>
      <c r="B21" s="189"/>
      <c r="C21" s="186"/>
      <c r="D21" s="43"/>
      <c r="E21" s="43" t="s">
        <v>465</v>
      </c>
      <c r="F21" s="73">
        <v>2000</v>
      </c>
      <c r="G21" s="80" t="s">
        <v>298</v>
      </c>
      <c r="H21" s="80">
        <v>5000</v>
      </c>
      <c r="I21" s="113">
        <v>44896</v>
      </c>
      <c r="N21" s="43"/>
      <c r="O21" s="43"/>
      <c r="P21" s="89"/>
      <c r="R21" t="s">
        <v>411</v>
      </c>
      <c r="S21" s="73">
        <v>90000</v>
      </c>
      <c r="V21" s="43"/>
      <c r="W21" s="43" t="s">
        <v>531</v>
      </c>
      <c r="X21" s="245">
        <v>1000000</v>
      </c>
      <c r="Y21" s="235"/>
      <c r="AB21" t="s">
        <v>540</v>
      </c>
      <c r="AC21">
        <v>100000</v>
      </c>
      <c r="AE21" t="s">
        <v>545</v>
      </c>
      <c r="AF21">
        <v>200000</v>
      </c>
    </row>
    <row r="22" spans="1:34" x14ac:dyDescent="0.3">
      <c r="A22" s="123" t="s">
        <v>475</v>
      </c>
      <c r="B22" s="189">
        <v>10000</v>
      </c>
      <c r="C22" s="73"/>
      <c r="D22" s="43" t="s">
        <v>511</v>
      </c>
      <c r="E22" s="43" t="s">
        <v>462</v>
      </c>
      <c r="F22" s="73">
        <v>5000</v>
      </c>
      <c r="G22" s="80" t="s">
        <v>256</v>
      </c>
      <c r="H22" s="80">
        <v>7600</v>
      </c>
      <c r="I22" s="113" t="s">
        <v>523</v>
      </c>
      <c r="K22" s="43" t="s">
        <v>479</v>
      </c>
      <c r="L22" s="43" t="s">
        <v>480</v>
      </c>
      <c r="S22" s="73">
        <f>(S19-S21)</f>
        <v>57000</v>
      </c>
      <c r="V22" s="43"/>
      <c r="W22" s="244" t="s">
        <v>560</v>
      </c>
      <c r="X22" s="231">
        <v>200000</v>
      </c>
      <c r="Y22" s="231">
        <v>200000</v>
      </c>
      <c r="Z22" s="198">
        <v>45502</v>
      </c>
      <c r="AC22">
        <f>AC20-AC21</f>
        <v>8200000</v>
      </c>
      <c r="AE22" t="s">
        <v>544</v>
      </c>
      <c r="AF22">
        <v>300000</v>
      </c>
    </row>
    <row r="23" spans="1:34" x14ac:dyDescent="0.3">
      <c r="A23" s="116" t="s">
        <v>203</v>
      </c>
      <c r="B23" s="190">
        <v>13000</v>
      </c>
      <c r="C23" s="186"/>
      <c r="D23" s="145"/>
      <c r="E23" s="43" t="s">
        <v>467</v>
      </c>
      <c r="F23" s="73">
        <v>6700</v>
      </c>
      <c r="G23" s="115" t="s">
        <v>431</v>
      </c>
      <c r="H23" s="116">
        <v>20481</v>
      </c>
      <c r="I23" s="113" t="s">
        <v>521</v>
      </c>
      <c r="K23" s="43"/>
      <c r="L23" s="43" t="s">
        <v>481</v>
      </c>
      <c r="R23" s="65"/>
      <c r="S23" s="73"/>
      <c r="V23" s="43"/>
      <c r="W23" s="104" t="s">
        <v>558</v>
      </c>
      <c r="X23" s="242">
        <v>400000</v>
      </c>
      <c r="Y23" s="242">
        <v>100000</v>
      </c>
      <c r="Z23" s="198">
        <v>45502</v>
      </c>
      <c r="AB23" t="s">
        <v>541</v>
      </c>
      <c r="AC23">
        <v>500000</v>
      </c>
      <c r="AD23" t="s">
        <v>543</v>
      </c>
      <c r="AF23">
        <f>SUM(AF21:AF22)</f>
        <v>500000</v>
      </c>
    </row>
    <row r="24" spans="1:34" x14ac:dyDescent="0.3">
      <c r="A24" s="115" t="s">
        <v>381</v>
      </c>
      <c r="B24" s="190">
        <v>23000</v>
      </c>
      <c r="C24" s="186"/>
      <c r="D24" s="43"/>
      <c r="E24" s="43" t="s">
        <v>468</v>
      </c>
      <c r="F24" s="73">
        <f>'September 23'!AO30</f>
        <v>0</v>
      </c>
      <c r="G24" s="115"/>
      <c r="H24" s="116"/>
      <c r="I24" s="113"/>
      <c r="K24" s="43"/>
      <c r="L24" s="43" t="s">
        <v>482</v>
      </c>
      <c r="R24" t="s">
        <v>142</v>
      </c>
      <c r="S24" s="73">
        <v>200000</v>
      </c>
      <c r="V24" s="43"/>
      <c r="W24" s="43" t="s">
        <v>571</v>
      </c>
      <c r="X24" s="231">
        <v>7500</v>
      </c>
      <c r="Y24" s="231">
        <v>7500</v>
      </c>
      <c r="AC24">
        <f>AC22-AC23</f>
        <v>7700000</v>
      </c>
      <c r="AF24">
        <f>AF23-AF20</f>
        <v>-250000</v>
      </c>
    </row>
    <row r="25" spans="1:34" x14ac:dyDescent="0.3">
      <c r="A25" s="64" t="s">
        <v>5</v>
      </c>
      <c r="B25" s="186">
        <f>SUM(B1:B16)</f>
        <v>248503</v>
      </c>
      <c r="C25" s="186">
        <f>SUM(C1:C17)</f>
        <v>192313</v>
      </c>
      <c r="D25" s="72"/>
      <c r="E25" s="43" t="s">
        <v>469</v>
      </c>
      <c r="F25" s="73">
        <v>51800</v>
      </c>
      <c r="G25" s="124"/>
      <c r="H25" s="118"/>
      <c r="I25" s="113"/>
      <c r="K25" s="43"/>
      <c r="L25" s="43" t="s">
        <v>483</v>
      </c>
      <c r="R25" t="s">
        <v>206</v>
      </c>
      <c r="S25" s="73">
        <f>(S22+S24)</f>
        <v>257000</v>
      </c>
      <c r="AB25" t="s">
        <v>546</v>
      </c>
      <c r="AC25">
        <v>8000000</v>
      </c>
    </row>
    <row r="26" spans="1:34" x14ac:dyDescent="0.3">
      <c r="A26" s="43"/>
      <c r="B26" s="186"/>
      <c r="C26" s="43"/>
      <c r="D26" s="72"/>
      <c r="E26" s="178" t="s">
        <v>470</v>
      </c>
      <c r="F26" s="179">
        <v>22000</v>
      </c>
      <c r="G26" s="43"/>
      <c r="H26" s="106"/>
      <c r="I26" s="114"/>
      <c r="K26" s="199"/>
      <c r="L26" s="43">
        <v>1270</v>
      </c>
      <c r="O26">
        <v>176000</v>
      </c>
      <c r="S26" s="73"/>
      <c r="V26" s="43"/>
      <c r="W26" s="226" t="s">
        <v>535</v>
      </c>
      <c r="X26" s="225">
        <f>SUM(X22:X24)</f>
        <v>607500</v>
      </c>
      <c r="Y26" s="225">
        <f>SUM(Y22:Y24)</f>
        <v>307500</v>
      </c>
    </row>
    <row r="27" spans="1:34" x14ac:dyDescent="0.3">
      <c r="A27" s="64" t="s">
        <v>228</v>
      </c>
      <c r="B27" s="186"/>
      <c r="C27" s="62">
        <f>(C25-B25)</f>
        <v>-56190</v>
      </c>
      <c r="D27" s="43" t="s">
        <v>227</v>
      </c>
      <c r="E27" s="43" t="s">
        <v>471</v>
      </c>
      <c r="F27" s="73">
        <v>11500</v>
      </c>
      <c r="K27" s="73" t="s">
        <v>485</v>
      </c>
      <c r="L27" s="43" t="s">
        <v>484</v>
      </c>
      <c r="O27">
        <v>152000</v>
      </c>
      <c r="R27" t="s">
        <v>413</v>
      </c>
      <c r="S27" s="73">
        <v>260000</v>
      </c>
      <c r="V27" s="43"/>
      <c r="W27" s="43" t="s">
        <v>5</v>
      </c>
      <c r="X27" s="224">
        <f>SUM(X10,X16,X26)</f>
        <v>1653040.8</v>
      </c>
      <c r="Y27" s="236"/>
    </row>
    <row r="28" spans="1:34" x14ac:dyDescent="0.3">
      <c r="A28" s="64"/>
      <c r="B28" s="186"/>
      <c r="C28" s="43"/>
      <c r="D28" s="43"/>
      <c r="E28" s="43" t="s">
        <v>472</v>
      </c>
      <c r="F28" s="73">
        <v>26000</v>
      </c>
      <c r="H28">
        <f>55000-110000</f>
        <v>-55000</v>
      </c>
      <c r="K28" s="43" t="s">
        <v>486</v>
      </c>
      <c r="L28" s="43">
        <v>1250</v>
      </c>
      <c r="O28">
        <f>O26-O27</f>
        <v>24000</v>
      </c>
      <c r="S28" s="30">
        <f>(S27-S25)</f>
        <v>3000</v>
      </c>
      <c r="AG28" t="s">
        <v>569</v>
      </c>
      <c r="AH28" t="s">
        <v>568</v>
      </c>
    </row>
    <row r="29" spans="1:34" x14ac:dyDescent="0.3">
      <c r="A29" s="64" t="s">
        <v>225</v>
      </c>
      <c r="B29" s="186"/>
      <c r="C29" s="62">
        <f>(F6+C27)</f>
        <v>-53076</v>
      </c>
      <c r="D29" s="43"/>
      <c r="E29" s="43" t="s">
        <v>476</v>
      </c>
      <c r="F29" s="186">
        <v>41600</v>
      </c>
      <c r="K29" s="43" t="s">
        <v>487</v>
      </c>
      <c r="L29" s="43">
        <v>91</v>
      </c>
      <c r="AE29">
        <v>619000</v>
      </c>
      <c r="AF29" s="247">
        <f>AG29/AE29</f>
        <v>2.4232633279483036E-3</v>
      </c>
      <c r="AG29">
        <f>AH29/12</f>
        <v>1500</v>
      </c>
      <c r="AH29">
        <v>18000</v>
      </c>
    </row>
    <row r="30" spans="1:34" x14ac:dyDescent="0.3">
      <c r="F30" s="73">
        <f>SUM(F10:F29)</f>
        <v>301557.86</v>
      </c>
      <c r="K30" s="43"/>
      <c r="L30" s="43">
        <f>L28*L29</f>
        <v>113750</v>
      </c>
      <c r="V30" s="293" t="s">
        <v>532</v>
      </c>
      <c r="W30" s="293"/>
      <c r="AE30">
        <v>100000</v>
      </c>
      <c r="AF30">
        <v>0.02</v>
      </c>
      <c r="AG30">
        <f>AE30*AF30</f>
        <v>2000</v>
      </c>
      <c r="AH30">
        <f>AG30*12</f>
        <v>24000</v>
      </c>
    </row>
    <row r="31" spans="1:34" x14ac:dyDescent="0.3">
      <c r="K31" s="43" t="s">
        <v>488</v>
      </c>
      <c r="L31" s="73">
        <v>99130</v>
      </c>
      <c r="V31" s="43"/>
      <c r="W31" s="43" t="s">
        <v>89</v>
      </c>
      <c r="X31" s="222">
        <v>8000000</v>
      </c>
      <c r="Y31" s="235"/>
      <c r="Z31" s="198">
        <v>45509</v>
      </c>
      <c r="AA31" t="s">
        <v>566</v>
      </c>
      <c r="AE31">
        <v>619000</v>
      </c>
      <c r="AF31">
        <v>2.4299999999999999E-3</v>
      </c>
      <c r="AG31">
        <f>AE31*AF31</f>
        <v>1504.1699999999998</v>
      </c>
      <c r="AH31">
        <f>AG31*12</f>
        <v>18050.039999999997</v>
      </c>
    </row>
    <row r="32" spans="1:34" x14ac:dyDescent="0.3">
      <c r="K32" s="43"/>
      <c r="L32" s="106">
        <f>L30+L31</f>
        <v>212880</v>
      </c>
      <c r="O32">
        <f>5000/40</f>
        <v>125</v>
      </c>
      <c r="V32" s="43"/>
      <c r="W32" s="43" t="s">
        <v>533</v>
      </c>
      <c r="X32" s="222">
        <v>578957</v>
      </c>
      <c r="Y32" s="235">
        <v>18500</v>
      </c>
      <c r="Z32" s="198">
        <v>45540</v>
      </c>
      <c r="AA32" t="s">
        <v>566</v>
      </c>
      <c r="AE32">
        <v>3500000</v>
      </c>
      <c r="AF32">
        <v>0.09</v>
      </c>
      <c r="AG32">
        <f>AE32*AF32</f>
        <v>315000</v>
      </c>
      <c r="AH32" s="246">
        <f>AG32*12</f>
        <v>3780000</v>
      </c>
    </row>
    <row r="33" spans="11:34" x14ac:dyDescent="0.3">
      <c r="K33" s="178" t="s">
        <v>490</v>
      </c>
      <c r="L33" s="91">
        <v>-109464</v>
      </c>
      <c r="O33">
        <v>23</v>
      </c>
      <c r="P33">
        <f>O32*O33</f>
        <v>2875</v>
      </c>
      <c r="V33" s="43"/>
      <c r="W33" s="43" t="s">
        <v>556</v>
      </c>
      <c r="X33" s="222">
        <v>300000</v>
      </c>
      <c r="Y33" s="235"/>
      <c r="AE33">
        <v>8000000</v>
      </c>
      <c r="AF33">
        <v>0.09</v>
      </c>
      <c r="AG33">
        <f>AE33*AF33</f>
        <v>720000</v>
      </c>
      <c r="AH33" s="246">
        <f>AG33*12</f>
        <v>8640000</v>
      </c>
    </row>
    <row r="34" spans="11:34" x14ac:dyDescent="0.3">
      <c r="K34" s="43" t="s">
        <v>488</v>
      </c>
      <c r="L34" s="200">
        <v>-25000</v>
      </c>
      <c r="P34">
        <v>2875</v>
      </c>
      <c r="V34" s="43"/>
      <c r="W34" s="43" t="s">
        <v>551</v>
      </c>
      <c r="X34" s="43"/>
    </row>
    <row r="35" spans="11:34" x14ac:dyDescent="0.3">
      <c r="K35" s="43" t="s">
        <v>143</v>
      </c>
      <c r="L35" s="73">
        <f>L32+L33+L34</f>
        <v>78416</v>
      </c>
      <c r="P35">
        <v>6000</v>
      </c>
      <c r="V35" s="43"/>
      <c r="W35" s="226" t="s">
        <v>535</v>
      </c>
      <c r="X35" s="227">
        <f>SUM(X31:X33)</f>
        <v>8878957</v>
      </c>
      <c r="Y35" s="237"/>
    </row>
    <row r="36" spans="11:34" x14ac:dyDescent="0.3">
      <c r="V36" s="43"/>
      <c r="W36" s="43" t="s">
        <v>534</v>
      </c>
      <c r="X36" s="228">
        <f>X27+X35</f>
        <v>10531997.800000001</v>
      </c>
      <c r="Y36" s="238"/>
    </row>
    <row r="37" spans="11:34" x14ac:dyDescent="0.3">
      <c r="X37" s="233"/>
      <c r="Y37" s="233"/>
    </row>
    <row r="39" spans="11:34" x14ac:dyDescent="0.3">
      <c r="V39" s="229" t="s">
        <v>551</v>
      </c>
      <c r="W39" s="229"/>
      <c r="X39" s="229"/>
      <c r="Y39" s="229"/>
      <c r="Z39" s="232" t="s">
        <v>26</v>
      </c>
      <c r="AA39" s="232" t="s">
        <v>214</v>
      </c>
    </row>
    <row r="40" spans="11:34" x14ac:dyDescent="0.3">
      <c r="V40" s="43"/>
      <c r="W40" s="43" t="s">
        <v>494</v>
      </c>
      <c r="X40" s="222">
        <v>165000</v>
      </c>
      <c r="Y40" s="222"/>
      <c r="Z40" s="222"/>
      <c r="AA40" s="223">
        <f t="shared" ref="AA40:AA47" si="2">X40-Z40</f>
        <v>165000</v>
      </c>
      <c r="AE40">
        <v>5661</v>
      </c>
      <c r="AF40">
        <v>58000</v>
      </c>
    </row>
    <row r="41" spans="11:34" x14ac:dyDescent="0.3">
      <c r="V41" s="221">
        <v>45497</v>
      </c>
      <c r="W41" s="43" t="s">
        <v>545</v>
      </c>
      <c r="X41" s="222">
        <v>250000</v>
      </c>
      <c r="Y41" s="222"/>
      <c r="Z41" s="222"/>
      <c r="AA41" s="223">
        <f t="shared" si="2"/>
        <v>250000</v>
      </c>
      <c r="AE41">
        <v>5702</v>
      </c>
      <c r="AF41">
        <v>57959</v>
      </c>
    </row>
    <row r="42" spans="11:34" x14ac:dyDescent="0.3">
      <c r="V42" s="221">
        <v>45497</v>
      </c>
      <c r="W42" s="43" t="s">
        <v>552</v>
      </c>
      <c r="X42" s="222">
        <v>100000</v>
      </c>
      <c r="Y42" s="222"/>
      <c r="Z42" s="222">
        <v>100000</v>
      </c>
      <c r="AA42" s="223">
        <f t="shared" si="2"/>
        <v>0</v>
      </c>
      <c r="AE42">
        <v>5743</v>
      </c>
      <c r="AF42">
        <v>57918</v>
      </c>
    </row>
    <row r="43" spans="11:34" x14ac:dyDescent="0.3">
      <c r="V43" s="221">
        <v>45498</v>
      </c>
      <c r="W43" s="43" t="s">
        <v>553</v>
      </c>
      <c r="X43" s="222">
        <v>50000</v>
      </c>
      <c r="Y43" s="222"/>
      <c r="Z43" s="222">
        <v>50000</v>
      </c>
      <c r="AA43" s="223">
        <f t="shared" si="2"/>
        <v>0</v>
      </c>
      <c r="AE43">
        <v>5785</v>
      </c>
      <c r="AF43">
        <v>57876</v>
      </c>
    </row>
    <row r="44" spans="11:34" x14ac:dyDescent="0.3">
      <c r="V44" s="221">
        <v>45500</v>
      </c>
      <c r="W44" s="43" t="s">
        <v>554</v>
      </c>
      <c r="X44" s="222">
        <v>120000</v>
      </c>
      <c r="Y44" s="222"/>
      <c r="Z44" s="222">
        <v>120000</v>
      </c>
      <c r="AA44" s="223">
        <f t="shared" si="2"/>
        <v>0</v>
      </c>
      <c r="AE44">
        <v>5827</v>
      </c>
      <c r="AF44">
        <v>57834</v>
      </c>
    </row>
    <row r="45" spans="11:34" x14ac:dyDescent="0.3">
      <c r="V45" s="221">
        <v>45500</v>
      </c>
      <c r="W45" s="43" t="s">
        <v>553</v>
      </c>
      <c r="X45" s="234">
        <v>240000</v>
      </c>
      <c r="Y45" s="234"/>
      <c r="Z45" s="222">
        <v>225000</v>
      </c>
      <c r="AA45" s="223">
        <f t="shared" si="2"/>
        <v>15000</v>
      </c>
      <c r="AE45">
        <v>5869</v>
      </c>
      <c r="AF45">
        <v>57792</v>
      </c>
    </row>
    <row r="46" spans="11:34" x14ac:dyDescent="0.3">
      <c r="V46" s="221">
        <v>45500</v>
      </c>
      <c r="W46" s="43" t="s">
        <v>555</v>
      </c>
      <c r="X46" s="222">
        <v>600000</v>
      </c>
      <c r="Y46" s="222"/>
      <c r="Z46" s="222">
        <v>400000</v>
      </c>
      <c r="AA46" s="223">
        <f>X46-Z46</f>
        <v>200000</v>
      </c>
      <c r="AE46">
        <v>5912</v>
      </c>
      <c r="AF46">
        <v>57749</v>
      </c>
    </row>
    <row r="47" spans="11:34" x14ac:dyDescent="0.3">
      <c r="V47" s="221">
        <v>45517</v>
      </c>
      <c r="W47" s="178" t="s">
        <v>554</v>
      </c>
      <c r="X47" s="249">
        <v>100000</v>
      </c>
      <c r="Y47" s="43"/>
      <c r="Z47" s="43"/>
      <c r="AA47" s="223">
        <f t="shared" si="2"/>
        <v>100000</v>
      </c>
      <c r="AE47">
        <v>5955</v>
      </c>
      <c r="AF47">
        <v>57706</v>
      </c>
    </row>
    <row r="48" spans="11:34" x14ac:dyDescent="0.3">
      <c r="V48" s="221">
        <v>45517</v>
      </c>
      <c r="W48" s="43" t="s">
        <v>555</v>
      </c>
      <c r="X48" s="234">
        <v>200000</v>
      </c>
      <c r="Y48" s="43"/>
      <c r="Z48" s="234">
        <v>100000</v>
      </c>
      <c r="AA48" s="223">
        <f>X48-Z48</f>
        <v>100000</v>
      </c>
    </row>
    <row r="49" spans="22:32" x14ac:dyDescent="0.3">
      <c r="V49" s="221">
        <v>45528</v>
      </c>
      <c r="W49" s="43" t="s">
        <v>545</v>
      </c>
      <c r="X49" s="234">
        <v>250000</v>
      </c>
      <c r="Y49" s="43"/>
      <c r="Z49" s="234">
        <v>17999</v>
      </c>
      <c r="AA49" s="223">
        <f>X49-Z49</f>
        <v>232001</v>
      </c>
      <c r="AE49" s="246">
        <f>SUM(AE40:AE47)</f>
        <v>46454</v>
      </c>
      <c r="AF49" s="246">
        <f>SUM(AF40:AF47)</f>
        <v>462834</v>
      </c>
    </row>
    <row r="50" spans="22:32" x14ac:dyDescent="0.3">
      <c r="V50" s="221">
        <v>45531</v>
      </c>
      <c r="W50" s="43" t="s">
        <v>545</v>
      </c>
      <c r="X50" s="222">
        <v>232001</v>
      </c>
      <c r="Y50" s="43"/>
      <c r="Z50" s="234">
        <v>30000</v>
      </c>
      <c r="AA50" s="223">
        <f>X50-Z50</f>
        <v>202001</v>
      </c>
    </row>
    <row r="52" spans="22:32" x14ac:dyDescent="0.3">
      <c r="X52" s="223">
        <f>SUM(X40:X45)</f>
        <v>925000</v>
      </c>
      <c r="Y52" s="223"/>
      <c r="Z52" s="223">
        <f>SUM(Z40:Z50)</f>
        <v>1042999</v>
      </c>
      <c r="AA52" s="223">
        <f>SUM(AA45,AA47,AA50)</f>
        <v>317001</v>
      </c>
    </row>
  </sheetData>
  <mergeCells count="8">
    <mergeCell ref="V19:W19"/>
    <mergeCell ref="V30:W30"/>
    <mergeCell ref="E1:F1"/>
    <mergeCell ref="I1:L1"/>
    <mergeCell ref="V3:W3"/>
    <mergeCell ref="J4:L4"/>
    <mergeCell ref="V5:V7"/>
    <mergeCell ref="V13:W13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7"/>
  <sheetViews>
    <sheetView zoomScaleNormal="100" zoomScaleSheetLayoutView="100" workbookViewId="0">
      <selection activeCell="G27" sqref="G27"/>
    </sheetView>
  </sheetViews>
  <sheetFormatPr defaultRowHeight="14.4" x14ac:dyDescent="0.3"/>
  <cols>
    <col min="1" max="1" width="22.33203125" bestFit="1" customWidth="1"/>
    <col min="2" max="2" width="10.6640625" bestFit="1" customWidth="1"/>
    <col min="3" max="3" width="11.109375" bestFit="1" customWidth="1"/>
    <col min="4" max="4" width="14.109375" bestFit="1" customWidth="1"/>
    <col min="5" max="5" width="10.6640625" customWidth="1"/>
    <col min="7" max="7" width="12.88671875" bestFit="1" customWidth="1"/>
    <col min="11" max="11" width="21.33203125" bestFit="1" customWidth="1"/>
    <col min="12" max="12" width="8.109375" customWidth="1"/>
    <col min="13" max="13" width="8.6640625" bestFit="1" customWidth="1"/>
  </cols>
  <sheetData>
    <row r="1" spans="1:13" x14ac:dyDescent="0.3">
      <c r="A1" s="2" t="s">
        <v>6</v>
      </c>
      <c r="B1" s="19">
        <v>21000</v>
      </c>
      <c r="C1" s="2">
        <v>21000</v>
      </c>
    </row>
    <row r="2" spans="1:13" x14ac:dyDescent="0.3">
      <c r="A2" s="2" t="s">
        <v>0</v>
      </c>
      <c r="B2" s="26">
        <v>9588.1200000000008</v>
      </c>
      <c r="C2">
        <v>9588.1200000000008</v>
      </c>
      <c r="D2">
        <v>9588.1200000000008</v>
      </c>
      <c r="K2" s="255" t="s">
        <v>50</v>
      </c>
      <c r="L2" s="256"/>
      <c r="M2" s="257"/>
    </row>
    <row r="3" spans="1:13" x14ac:dyDescent="0.3">
      <c r="A3" s="2" t="s">
        <v>1</v>
      </c>
      <c r="B3" s="19">
        <v>10000</v>
      </c>
      <c r="C3" s="2">
        <v>10000</v>
      </c>
      <c r="K3" s="2" t="s">
        <v>51</v>
      </c>
      <c r="L3" s="4">
        <v>11364</v>
      </c>
      <c r="M3" s="2"/>
    </row>
    <row r="4" spans="1:13" x14ac:dyDescent="0.3">
      <c r="A4" s="2" t="s">
        <v>2</v>
      </c>
      <c r="B4" s="19">
        <v>16500</v>
      </c>
      <c r="C4" s="2">
        <v>16500</v>
      </c>
      <c r="K4" s="2" t="s">
        <v>65</v>
      </c>
      <c r="L4" s="4">
        <v>1016</v>
      </c>
      <c r="M4" s="252">
        <v>43782</v>
      </c>
    </row>
    <row r="5" spans="1:13" x14ac:dyDescent="0.3">
      <c r="A5" s="2" t="s">
        <v>89</v>
      </c>
      <c r="B5" s="25">
        <v>29706</v>
      </c>
      <c r="C5" s="24">
        <v>29706</v>
      </c>
      <c r="K5" s="2" t="s">
        <v>66</v>
      </c>
      <c r="L5" s="4">
        <v>700</v>
      </c>
      <c r="M5" s="253"/>
    </row>
    <row r="6" spans="1:13" x14ac:dyDescent="0.3">
      <c r="A6" s="2" t="s">
        <v>3</v>
      </c>
      <c r="B6" s="16"/>
      <c r="C6" s="2"/>
      <c r="K6" s="2" t="s">
        <v>67</v>
      </c>
      <c r="L6" s="4">
        <v>540</v>
      </c>
      <c r="M6" s="258"/>
    </row>
    <row r="7" spans="1:13" x14ac:dyDescent="0.3">
      <c r="A7" s="2" t="s">
        <v>9</v>
      </c>
      <c r="B7" s="19">
        <v>206</v>
      </c>
      <c r="C7" s="2">
        <v>206</v>
      </c>
      <c r="K7" s="2" t="s">
        <v>52</v>
      </c>
      <c r="L7" s="4">
        <v>485</v>
      </c>
      <c r="M7" s="252">
        <v>43783</v>
      </c>
    </row>
    <row r="8" spans="1:13" x14ac:dyDescent="0.3">
      <c r="A8" s="2" t="s">
        <v>15</v>
      </c>
      <c r="B8" s="19">
        <v>7500</v>
      </c>
      <c r="C8" s="17">
        <v>7500</v>
      </c>
      <c r="K8" s="2" t="s">
        <v>55</v>
      </c>
      <c r="L8" s="4">
        <v>1217</v>
      </c>
      <c r="M8" s="253"/>
    </row>
    <row r="9" spans="1:13" x14ac:dyDescent="0.3">
      <c r="A9" s="2" t="s">
        <v>49</v>
      </c>
      <c r="B9" s="21">
        <v>10000</v>
      </c>
      <c r="C9" s="2"/>
      <c r="D9" s="16">
        <v>2209</v>
      </c>
      <c r="E9" t="s">
        <v>38</v>
      </c>
      <c r="K9" s="2" t="s">
        <v>59</v>
      </c>
      <c r="L9" s="4">
        <v>290</v>
      </c>
      <c r="M9" s="253"/>
    </row>
    <row r="10" spans="1:13" x14ac:dyDescent="0.3">
      <c r="A10" s="2" t="s">
        <v>45</v>
      </c>
      <c r="B10" s="20">
        <v>1000</v>
      </c>
      <c r="C10" s="2">
        <v>1000</v>
      </c>
      <c r="K10" s="2" t="s">
        <v>63</v>
      </c>
      <c r="L10" s="4">
        <v>200</v>
      </c>
      <c r="M10" s="253"/>
    </row>
    <row r="11" spans="1:13" x14ac:dyDescent="0.3">
      <c r="A11" s="2" t="s">
        <v>46</v>
      </c>
      <c r="B11" s="20">
        <v>33668</v>
      </c>
      <c r="C11" s="2">
        <v>33668</v>
      </c>
      <c r="K11" s="2" t="s">
        <v>64</v>
      </c>
      <c r="L11" s="4">
        <v>60</v>
      </c>
      <c r="M11" s="258"/>
    </row>
    <row r="12" spans="1:13" x14ac:dyDescent="0.3">
      <c r="A12" s="2" t="s">
        <v>47</v>
      </c>
      <c r="B12" s="20">
        <v>29000</v>
      </c>
      <c r="C12" s="2">
        <v>29000</v>
      </c>
      <c r="K12" s="2" t="s">
        <v>57</v>
      </c>
      <c r="L12" s="4">
        <v>20</v>
      </c>
      <c r="M12" s="252">
        <v>43784</v>
      </c>
    </row>
    <row r="13" spans="1:13" x14ac:dyDescent="0.3">
      <c r="A13" s="2" t="s">
        <v>48</v>
      </c>
      <c r="B13" s="20">
        <v>1000</v>
      </c>
      <c r="C13" s="18">
        <v>1000</v>
      </c>
      <c r="K13" s="2" t="s">
        <v>60</v>
      </c>
      <c r="L13" s="4">
        <v>67</v>
      </c>
      <c r="M13" s="253"/>
    </row>
    <row r="14" spans="1:13" x14ac:dyDescent="0.3">
      <c r="A14" s="2"/>
      <c r="B14" s="16"/>
      <c r="C14" s="18"/>
      <c r="K14" s="2" t="s">
        <v>61</v>
      </c>
      <c r="L14" s="4">
        <v>465</v>
      </c>
      <c r="M14" s="253"/>
    </row>
    <row r="15" spans="1:13" x14ac:dyDescent="0.3">
      <c r="A15" s="2" t="s">
        <v>5</v>
      </c>
      <c r="B15" s="22">
        <f>SUM(B1:B14)</f>
        <v>169168.12</v>
      </c>
      <c r="C15" s="2">
        <f>SUM(C1:C14)</f>
        <v>159168.12</v>
      </c>
      <c r="K15" s="17" t="s">
        <v>56</v>
      </c>
      <c r="L15" s="27">
        <v>2500</v>
      </c>
      <c r="M15" s="253"/>
    </row>
    <row r="16" spans="1:13" x14ac:dyDescent="0.3">
      <c r="B16" s="10"/>
      <c r="K16" s="2" t="s">
        <v>54</v>
      </c>
      <c r="L16" s="4">
        <v>7777</v>
      </c>
      <c r="M16" s="258"/>
    </row>
    <row r="17" spans="1:13" x14ac:dyDescent="0.3">
      <c r="A17" t="s">
        <v>29</v>
      </c>
      <c r="B17" s="10"/>
      <c r="C17" s="11">
        <f>(C15-B15)</f>
        <v>-10000</v>
      </c>
      <c r="D17" s="11">
        <f>SUM(C17,E24)</f>
        <v>134395.63</v>
      </c>
      <c r="K17" s="2" t="s">
        <v>59</v>
      </c>
      <c r="L17" s="4">
        <v>200</v>
      </c>
      <c r="M17" s="252">
        <v>43785</v>
      </c>
    </row>
    <row r="18" spans="1:13" x14ac:dyDescent="0.3">
      <c r="B18" s="10"/>
      <c r="K18" s="2" t="s">
        <v>62</v>
      </c>
      <c r="L18" s="4">
        <v>810</v>
      </c>
      <c r="M18" s="253"/>
    </row>
    <row r="19" spans="1:13" x14ac:dyDescent="0.3">
      <c r="D19" s="8" t="s">
        <v>16</v>
      </c>
      <c r="E19" s="2">
        <v>10000</v>
      </c>
      <c r="F19" s="2"/>
      <c r="G19" s="2"/>
      <c r="H19" s="1" t="s">
        <v>22</v>
      </c>
      <c r="I19" s="1" t="s">
        <v>23</v>
      </c>
      <c r="K19" s="2" t="s">
        <v>58</v>
      </c>
      <c r="L19" s="4">
        <v>2230</v>
      </c>
      <c r="M19" s="253"/>
    </row>
    <row r="20" spans="1:13" x14ac:dyDescent="0.3">
      <c r="A20" s="2" t="s">
        <v>35</v>
      </c>
      <c r="B20" s="2">
        <v>79350</v>
      </c>
      <c r="D20" s="8" t="s">
        <v>18</v>
      </c>
      <c r="E20" s="2">
        <v>213.29</v>
      </c>
      <c r="F20" s="2"/>
      <c r="G20" s="254" t="s">
        <v>21</v>
      </c>
      <c r="H20" s="2">
        <v>13.15</v>
      </c>
      <c r="I20" s="2"/>
      <c r="K20" s="2" t="s">
        <v>68</v>
      </c>
      <c r="L20" s="4">
        <v>100</v>
      </c>
      <c r="M20" s="258"/>
    </row>
    <row r="21" spans="1:13" x14ac:dyDescent="0.3">
      <c r="A21" s="2" t="s">
        <v>34</v>
      </c>
      <c r="B21" s="4">
        <v>30000</v>
      </c>
      <c r="D21" s="8" t="s">
        <v>19</v>
      </c>
      <c r="E21" s="2">
        <v>144182.34</v>
      </c>
      <c r="F21" s="2"/>
      <c r="G21" s="254"/>
      <c r="H21" s="2">
        <v>0</v>
      </c>
      <c r="I21" s="2"/>
      <c r="K21" s="2" t="s">
        <v>53</v>
      </c>
      <c r="L21" s="4">
        <v>2672</v>
      </c>
      <c r="M21" s="2"/>
    </row>
    <row r="22" spans="1:13" x14ac:dyDescent="0.3">
      <c r="A22" s="2" t="s">
        <v>11</v>
      </c>
      <c r="B22" s="2">
        <v>20000</v>
      </c>
      <c r="D22" s="8" t="s">
        <v>20</v>
      </c>
      <c r="E22" s="2">
        <v>541.36</v>
      </c>
      <c r="F22" s="2"/>
      <c r="G22" s="8" t="s">
        <v>25</v>
      </c>
      <c r="H22" s="2">
        <v>32.840000000000003</v>
      </c>
      <c r="I22" s="2"/>
      <c r="K22" s="17" t="s">
        <v>59</v>
      </c>
      <c r="L22" s="27">
        <v>260</v>
      </c>
      <c r="M22" s="252">
        <v>43786</v>
      </c>
    </row>
    <row r="23" spans="1:13" x14ac:dyDescent="0.3">
      <c r="D23" s="8"/>
      <c r="E23" s="2"/>
      <c r="F23" s="2"/>
      <c r="G23" s="8" t="s">
        <v>24</v>
      </c>
      <c r="H23" s="2"/>
      <c r="I23" s="2">
        <v>9.14</v>
      </c>
      <c r="K23" s="17" t="s">
        <v>69</v>
      </c>
      <c r="L23" s="27">
        <v>695</v>
      </c>
      <c r="M23" s="253"/>
    </row>
    <row r="24" spans="1:13" x14ac:dyDescent="0.3">
      <c r="A24" t="s">
        <v>40</v>
      </c>
      <c r="B24">
        <v>450</v>
      </c>
      <c r="C24" t="s">
        <v>22</v>
      </c>
      <c r="D24" s="8" t="s">
        <v>10</v>
      </c>
      <c r="E24" s="2">
        <f>SUM(E20:E21)</f>
        <v>144395.63</v>
      </c>
      <c r="F24" s="2"/>
      <c r="G24" s="8" t="s">
        <v>10</v>
      </c>
      <c r="H24" s="2">
        <f>SUM(H20:H22)</f>
        <v>45.99</v>
      </c>
      <c r="I24" s="2">
        <f>(H24*I23)</f>
        <v>420.34860000000003</v>
      </c>
      <c r="K24" s="2"/>
      <c r="L24" s="2"/>
      <c r="M24" s="2"/>
    </row>
    <row r="25" spans="1:13" x14ac:dyDescent="0.3">
      <c r="A25" t="s">
        <v>41</v>
      </c>
      <c r="B25" s="23">
        <v>12000</v>
      </c>
      <c r="C25" t="s">
        <v>22</v>
      </c>
      <c r="K25" s="18"/>
      <c r="L25" s="18"/>
      <c r="M25" s="18"/>
    </row>
    <row r="26" spans="1:13" x14ac:dyDescent="0.3">
      <c r="K26" s="2" t="s">
        <v>5</v>
      </c>
      <c r="L26" s="2">
        <f>SUM(L3:L25)</f>
        <v>33668</v>
      </c>
      <c r="M26" s="2"/>
    </row>
    <row r="27" spans="1:13" x14ac:dyDescent="0.3">
      <c r="B27">
        <f>SUM(B9:B9)</f>
        <v>10000</v>
      </c>
    </row>
    <row r="28" spans="1:13" ht="57.6" x14ac:dyDescent="0.3">
      <c r="B28">
        <f>SUM(E20:E21,B27)</f>
        <v>154395.63</v>
      </c>
      <c r="D28" s="8" t="s">
        <v>28</v>
      </c>
      <c r="E28" s="2">
        <v>21000</v>
      </c>
      <c r="F28" s="2"/>
      <c r="G28" s="12" t="s">
        <v>44</v>
      </c>
    </row>
    <row r="29" spans="1:13" ht="57.6" x14ac:dyDescent="0.3">
      <c r="D29" s="8" t="s">
        <v>30</v>
      </c>
      <c r="E29" s="2">
        <v>7500</v>
      </c>
      <c r="F29" s="2"/>
      <c r="G29" s="12" t="s">
        <v>31</v>
      </c>
    </row>
    <row r="33" spans="2:4" x14ac:dyDescent="0.3">
      <c r="B33" s="4">
        <v>49000</v>
      </c>
      <c r="C33" s="2">
        <v>35519.83</v>
      </c>
      <c r="D33" s="2"/>
    </row>
    <row r="34" spans="2:4" x14ac:dyDescent="0.3">
      <c r="B34" s="15">
        <v>49800</v>
      </c>
      <c r="C34" s="2"/>
      <c r="D34" s="2"/>
    </row>
    <row r="35" spans="2:4" x14ac:dyDescent="0.3">
      <c r="B35" s="15">
        <v>49800</v>
      </c>
      <c r="C35" s="2"/>
      <c r="D35" s="2"/>
    </row>
    <row r="36" spans="2:4" x14ac:dyDescent="0.3">
      <c r="B36" s="15">
        <v>49800</v>
      </c>
      <c r="C36" s="2"/>
      <c r="D36" s="2"/>
    </row>
    <row r="37" spans="2:4" x14ac:dyDescent="0.3">
      <c r="B37" s="2">
        <f>SUM(B33:B36)</f>
        <v>198400</v>
      </c>
      <c r="C37" s="2">
        <f>SUM(C33:C36)</f>
        <v>35519.83</v>
      </c>
      <c r="D37" s="2">
        <f>(B37-C37)</f>
        <v>162880.16999999998</v>
      </c>
    </row>
  </sheetData>
  <mergeCells count="7">
    <mergeCell ref="M22:M23"/>
    <mergeCell ref="G20:G21"/>
    <mergeCell ref="K2:M2"/>
    <mergeCell ref="M4:M6"/>
    <mergeCell ref="M7:M11"/>
    <mergeCell ref="M12:M16"/>
    <mergeCell ref="M17:M20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9027-63AB-4089-99A4-1846BC6839E9}">
  <dimension ref="A1:AI52"/>
  <sheetViews>
    <sheetView workbookViewId="0">
      <selection activeCell="A20" sqref="A20:B21"/>
    </sheetView>
  </sheetViews>
  <sheetFormatPr defaultRowHeight="14.4" x14ac:dyDescent="0.3"/>
  <cols>
    <col min="1" max="1" width="26.44140625" bestFit="1" customWidth="1"/>
    <col min="2" max="2" width="9.44140625" style="250" bestFit="1" customWidth="1"/>
    <col min="3" max="3" width="13.44140625" bestFit="1" customWidth="1"/>
    <col min="4" max="4" width="13.33203125" bestFit="1" customWidth="1"/>
    <col min="5" max="5" width="15.88671875" bestFit="1" customWidth="1"/>
    <col min="6" max="6" width="10.44140625" bestFit="1" customWidth="1"/>
    <col min="7" max="7" width="16.6640625" bestFit="1" customWidth="1"/>
    <col min="9" max="9" width="14" bestFit="1" customWidth="1"/>
    <col min="11" max="11" width="14" bestFit="1" customWidth="1"/>
    <col min="12" max="12" width="11.33203125" bestFit="1" customWidth="1"/>
    <col min="15" max="15" width="12.5546875" bestFit="1" customWidth="1"/>
    <col min="16" max="16" width="17.5546875" bestFit="1" customWidth="1"/>
    <col min="17" max="17" width="9.6640625" bestFit="1" customWidth="1"/>
    <col min="18" max="18" width="11.109375" bestFit="1" customWidth="1"/>
    <col min="19" max="19" width="13.33203125" bestFit="1" customWidth="1"/>
    <col min="22" max="22" width="14.44140625" bestFit="1" customWidth="1"/>
    <col min="23" max="23" width="33.33203125" bestFit="1" customWidth="1"/>
    <col min="24" max="24" width="14.5546875" bestFit="1" customWidth="1"/>
    <col min="25" max="25" width="14.5546875" customWidth="1"/>
    <col min="26" max="26" width="12.33203125" bestFit="1" customWidth="1"/>
    <col min="27" max="27" width="12.6640625" bestFit="1" customWidth="1"/>
    <col min="28" max="28" width="12.33203125" bestFit="1" customWidth="1"/>
    <col min="31" max="31" width="9.88671875" bestFit="1" customWidth="1"/>
    <col min="32" max="32" width="11.33203125" bestFit="1" customWidth="1"/>
    <col min="33" max="33" width="8" bestFit="1" customWidth="1"/>
    <col min="34" max="34" width="12.33203125" bestFit="1" customWidth="1"/>
  </cols>
  <sheetData>
    <row r="1" spans="1:35" ht="15" thickBot="1" x14ac:dyDescent="0.35">
      <c r="A1" s="43" t="s">
        <v>6</v>
      </c>
      <c r="B1" s="186">
        <v>6000</v>
      </c>
      <c r="C1" s="186">
        <v>6000</v>
      </c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  <c r="AA1" s="241" t="s">
        <v>563</v>
      </c>
      <c r="AB1" s="240">
        <v>8300000</v>
      </c>
    </row>
    <row r="2" spans="1:35" x14ac:dyDescent="0.3">
      <c r="A2" s="43" t="s">
        <v>0</v>
      </c>
      <c r="B2" s="186">
        <v>30000</v>
      </c>
      <c r="C2" s="186">
        <v>30000</v>
      </c>
      <c r="D2" s="186" t="s">
        <v>579</v>
      </c>
      <c r="E2" s="43" t="s">
        <v>576</v>
      </c>
      <c r="F2" s="73">
        <v>2070</v>
      </c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35" x14ac:dyDescent="0.3">
      <c r="A3" s="43" t="s">
        <v>575</v>
      </c>
      <c r="B3" s="186">
        <v>5000</v>
      </c>
      <c r="C3" s="186"/>
      <c r="D3" s="43"/>
      <c r="E3" s="43" t="s">
        <v>265</v>
      </c>
      <c r="F3" s="73">
        <v>18</v>
      </c>
      <c r="G3" s="73"/>
      <c r="H3" s="30"/>
      <c r="I3" s="110" t="s">
        <v>382</v>
      </c>
      <c r="J3" s="159">
        <v>10</v>
      </c>
      <c r="K3" s="159">
        <v>999</v>
      </c>
      <c r="L3" s="211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  <c r="V3" s="293" t="s">
        <v>525</v>
      </c>
      <c r="W3" s="293"/>
    </row>
    <row r="4" spans="1:35" x14ac:dyDescent="0.3">
      <c r="A4" s="43" t="s">
        <v>2</v>
      </c>
      <c r="B4" s="186">
        <v>2500</v>
      </c>
      <c r="C4" s="186"/>
      <c r="D4" s="43"/>
      <c r="E4" s="43" t="s">
        <v>204</v>
      </c>
      <c r="F4" s="73">
        <v>216</v>
      </c>
      <c r="G4" s="73"/>
      <c r="I4" s="110" t="s">
        <v>379</v>
      </c>
      <c r="J4" s="290" t="s">
        <v>473</v>
      </c>
      <c r="K4" s="291"/>
      <c r="L4" s="292"/>
      <c r="M4" s="192">
        <v>44682</v>
      </c>
      <c r="N4" s="43"/>
      <c r="O4" s="43"/>
      <c r="P4" s="73"/>
      <c r="R4" s="43"/>
      <c r="S4" s="73"/>
      <c r="V4" s="157"/>
      <c r="W4" s="157" t="s">
        <v>559</v>
      </c>
      <c r="X4" s="230">
        <v>100000</v>
      </c>
      <c r="Y4" s="230">
        <v>100000</v>
      </c>
      <c r="Z4" s="198">
        <v>45485</v>
      </c>
    </row>
    <row r="5" spans="1:35" ht="14.4" customHeight="1" x14ac:dyDescent="0.3">
      <c r="A5" s="43" t="s">
        <v>89</v>
      </c>
      <c r="B5" s="186">
        <v>33953</v>
      </c>
      <c r="C5" s="186"/>
      <c r="D5" s="43" t="s">
        <v>450</v>
      </c>
      <c r="E5" s="43" t="s">
        <v>205</v>
      </c>
      <c r="F5" s="73">
        <v>810</v>
      </c>
      <c r="I5" s="110" t="s">
        <v>19</v>
      </c>
      <c r="J5" s="159">
        <v>22</v>
      </c>
      <c r="K5" s="159">
        <v>1321.63</v>
      </c>
      <c r="L5" s="211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  <c r="V5" s="294" t="s">
        <v>529</v>
      </c>
      <c r="W5" s="43" t="s">
        <v>550</v>
      </c>
      <c r="X5" s="231">
        <v>18000</v>
      </c>
      <c r="Y5" s="231">
        <v>18000</v>
      </c>
      <c r="Z5" s="198">
        <v>45492</v>
      </c>
      <c r="AC5">
        <v>34000</v>
      </c>
    </row>
    <row r="6" spans="1:35" x14ac:dyDescent="0.3">
      <c r="A6" s="43" t="s">
        <v>3</v>
      </c>
      <c r="B6" s="186">
        <v>3000</v>
      </c>
      <c r="C6" s="186"/>
      <c r="D6" s="43"/>
      <c r="E6" s="43" t="s">
        <v>6</v>
      </c>
      <c r="F6" s="73">
        <f>SUM(F2:F5)</f>
        <v>3114</v>
      </c>
      <c r="I6" s="110" t="s">
        <v>362</v>
      </c>
      <c r="J6" s="159">
        <v>6</v>
      </c>
      <c r="K6" s="159">
        <v>1918.68</v>
      </c>
      <c r="L6" s="211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  <c r="V6" s="294"/>
      <c r="W6" s="43" t="s">
        <v>528</v>
      </c>
      <c r="X6" s="231">
        <v>41000</v>
      </c>
      <c r="Y6" s="231">
        <v>41000</v>
      </c>
      <c r="Z6" s="198">
        <v>45498</v>
      </c>
      <c r="AC6">
        <v>65000</v>
      </c>
    </row>
    <row r="7" spans="1:35" x14ac:dyDescent="0.3">
      <c r="A7" s="43" t="s">
        <v>9</v>
      </c>
      <c r="B7" s="186">
        <v>807</v>
      </c>
      <c r="C7" s="186"/>
      <c r="D7" s="43"/>
      <c r="E7" s="43" t="s">
        <v>429</v>
      </c>
      <c r="F7" s="44">
        <f>B25</f>
        <v>223228</v>
      </c>
      <c r="I7" s="110" t="s">
        <v>363</v>
      </c>
      <c r="J7" s="159">
        <v>5</v>
      </c>
      <c r="K7" s="159">
        <v>1049.19</v>
      </c>
      <c r="L7" s="211">
        <f t="shared" si="1"/>
        <v>5245.9500000000007</v>
      </c>
      <c r="M7" s="192">
        <v>45108</v>
      </c>
      <c r="N7" s="43"/>
      <c r="O7" s="43"/>
      <c r="P7" s="73"/>
      <c r="R7" s="43"/>
      <c r="S7" s="73"/>
      <c r="V7" s="294"/>
      <c r="W7" s="43" t="s">
        <v>530</v>
      </c>
      <c r="X7" s="231">
        <v>7000</v>
      </c>
      <c r="Y7" s="231">
        <v>7000</v>
      </c>
      <c r="Z7" s="198">
        <v>45498</v>
      </c>
      <c r="AC7">
        <v>11418</v>
      </c>
    </row>
    <row r="8" spans="1:35" x14ac:dyDescent="0.3">
      <c r="A8" s="43" t="s">
        <v>107</v>
      </c>
      <c r="B8" s="186">
        <v>1018</v>
      </c>
      <c r="C8" s="186"/>
      <c r="D8" s="43"/>
      <c r="I8" s="110" t="s">
        <v>364</v>
      </c>
      <c r="J8" s="159">
        <v>11</v>
      </c>
      <c r="K8" s="159">
        <v>470.99</v>
      </c>
      <c r="L8" s="211">
        <f t="shared" si="1"/>
        <v>5180.8900000000003</v>
      </c>
      <c r="M8" s="192">
        <v>45108</v>
      </c>
      <c r="N8" s="43"/>
      <c r="O8" s="43"/>
      <c r="P8" s="108">
        <f>SUM(P3:P6)</f>
        <v>2240000</v>
      </c>
      <c r="R8" s="43"/>
      <c r="S8" s="73">
        <f>SUM(S3:S6)</f>
        <v>1290975</v>
      </c>
      <c r="V8" s="43"/>
      <c r="W8" s="43" t="s">
        <v>527</v>
      </c>
      <c r="X8" s="231">
        <v>547579.80000000005</v>
      </c>
      <c r="Y8" s="231">
        <v>547579.80000000005</v>
      </c>
      <c r="Z8" s="198">
        <v>45498</v>
      </c>
      <c r="AC8">
        <v>25000</v>
      </c>
      <c r="AE8">
        <f>133000+80000</f>
        <v>213000</v>
      </c>
    </row>
    <row r="9" spans="1:35" x14ac:dyDescent="0.3">
      <c r="A9" s="43" t="s">
        <v>174</v>
      </c>
      <c r="B9" s="186">
        <v>5000</v>
      </c>
      <c r="C9" s="186"/>
      <c r="D9" s="43"/>
      <c r="E9" s="43"/>
      <c r="F9" s="43"/>
      <c r="I9" s="110" t="s">
        <v>377</v>
      </c>
      <c r="J9" s="159">
        <v>4</v>
      </c>
      <c r="K9" s="159">
        <v>1376.72</v>
      </c>
      <c r="L9" s="211">
        <f t="shared" si="1"/>
        <v>5506.88</v>
      </c>
      <c r="N9" s="43"/>
      <c r="O9" s="43"/>
      <c r="P9" s="73"/>
      <c r="R9" s="43"/>
      <c r="S9" s="73"/>
      <c r="AC9">
        <v>6000</v>
      </c>
      <c r="AE9">
        <f>AE8-AC18</f>
        <v>-7418</v>
      </c>
      <c r="AH9" t="s">
        <v>536</v>
      </c>
      <c r="AI9">
        <v>485000</v>
      </c>
    </row>
    <row r="10" spans="1:35" x14ac:dyDescent="0.3">
      <c r="A10" s="43" t="s">
        <v>564</v>
      </c>
      <c r="B10" s="186">
        <v>66800</v>
      </c>
      <c r="C10" s="186"/>
      <c r="D10" s="43" t="s">
        <v>449</v>
      </c>
      <c r="E10" s="43" t="s">
        <v>442</v>
      </c>
      <c r="F10" s="73">
        <v>234.82</v>
      </c>
      <c r="I10" s="110" t="s">
        <v>387</v>
      </c>
      <c r="J10" s="159">
        <v>5</v>
      </c>
      <c r="K10" s="159">
        <v>936.51</v>
      </c>
      <c r="L10" s="211">
        <f t="shared" si="1"/>
        <v>4682.55</v>
      </c>
      <c r="M10" s="192">
        <v>45108</v>
      </c>
      <c r="N10" s="43"/>
      <c r="O10" s="43" t="s">
        <v>339</v>
      </c>
      <c r="P10" s="134">
        <v>500000</v>
      </c>
      <c r="S10" s="30"/>
      <c r="W10" s="226" t="s">
        <v>535</v>
      </c>
      <c r="X10" s="243">
        <f>SUM(X4:X8)</f>
        <v>713579.8</v>
      </c>
      <c r="Y10" s="243">
        <f>SUM(Y4:Y8)</f>
        <v>713579.8</v>
      </c>
      <c r="AC10">
        <v>50000</v>
      </c>
      <c r="AH10" t="s">
        <v>537</v>
      </c>
      <c r="AI10">
        <f>2*108675</f>
        <v>217350</v>
      </c>
    </row>
    <row r="11" spans="1:35" x14ac:dyDescent="0.3">
      <c r="A11" s="43" t="s">
        <v>285</v>
      </c>
      <c r="B11" s="186">
        <v>4180</v>
      </c>
      <c r="C11" s="186"/>
      <c r="D11" s="85"/>
      <c r="E11" s="43" t="s">
        <v>441</v>
      </c>
      <c r="F11" s="73">
        <v>1419.04</v>
      </c>
      <c r="I11" s="110" t="s">
        <v>380</v>
      </c>
      <c r="J11" s="159">
        <v>5</v>
      </c>
      <c r="K11" s="159">
        <v>959.34</v>
      </c>
      <c r="L11" s="211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  <c r="AC11">
        <v>5000</v>
      </c>
    </row>
    <row r="12" spans="1:35" x14ac:dyDescent="0.3">
      <c r="A12" s="43" t="s">
        <v>414</v>
      </c>
      <c r="B12" s="186">
        <v>18054</v>
      </c>
      <c r="C12" s="186"/>
      <c r="D12" s="221" t="s">
        <v>449</v>
      </c>
      <c r="E12" s="43" t="s">
        <v>443</v>
      </c>
      <c r="F12" s="73">
        <v>3500</v>
      </c>
      <c r="I12" s="110" t="s">
        <v>385</v>
      </c>
      <c r="J12" s="159">
        <v>50</v>
      </c>
      <c r="K12" s="159">
        <v>43.35</v>
      </c>
      <c r="L12" s="211">
        <f t="shared" si="1"/>
        <v>2167.5</v>
      </c>
      <c r="N12" s="43"/>
      <c r="O12" s="43" t="s">
        <v>6</v>
      </c>
      <c r="P12" s="134">
        <v>50000</v>
      </c>
      <c r="AC12">
        <v>10000</v>
      </c>
    </row>
    <row r="13" spans="1:35" x14ac:dyDescent="0.3">
      <c r="A13" s="43" t="s">
        <v>109</v>
      </c>
      <c r="B13" s="186">
        <f>18195*2</f>
        <v>36390</v>
      </c>
      <c r="C13" s="186"/>
      <c r="D13" s="248"/>
      <c r="E13" s="43" t="s">
        <v>455</v>
      </c>
      <c r="F13" s="73">
        <v>8000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  <c r="V13" s="293" t="s">
        <v>562</v>
      </c>
      <c r="W13" s="293"/>
      <c r="AC13">
        <v>5000</v>
      </c>
      <c r="AI13">
        <f>SUM(AI9:AI10)</f>
        <v>702350</v>
      </c>
    </row>
    <row r="14" spans="1:35" ht="15" thickBot="1" x14ac:dyDescent="0.35">
      <c r="A14" s="43" t="s">
        <v>268</v>
      </c>
      <c r="B14" s="186">
        <f>H19</f>
        <v>10526</v>
      </c>
      <c r="C14" s="43"/>
      <c r="D14" s="43"/>
      <c r="E14" s="43" t="s">
        <v>456</v>
      </c>
      <c r="F14" s="73">
        <v>1000</v>
      </c>
      <c r="I14" s="169" t="s">
        <v>447</v>
      </c>
      <c r="J14" s="209">
        <v>4</v>
      </c>
      <c r="K14" s="209">
        <v>507.02</v>
      </c>
      <c r="L14" s="210">
        <f t="shared" si="1"/>
        <v>2028.08</v>
      </c>
      <c r="N14" s="43"/>
      <c r="O14" s="43" t="s">
        <v>408</v>
      </c>
      <c r="P14" s="134">
        <v>10000</v>
      </c>
      <c r="V14" s="239"/>
      <c r="W14" s="43" t="s">
        <v>557</v>
      </c>
      <c r="X14" s="231">
        <v>323461</v>
      </c>
      <c r="Y14" s="231">
        <v>323461</v>
      </c>
      <c r="Z14" s="198">
        <v>45500</v>
      </c>
      <c r="AC14">
        <v>2000</v>
      </c>
      <c r="AH14" t="s">
        <v>538</v>
      </c>
      <c r="AI14">
        <v>639000</v>
      </c>
    </row>
    <row r="15" spans="1:35" x14ac:dyDescent="0.3">
      <c r="A15" s="43"/>
      <c r="B15" s="186"/>
      <c r="C15" s="186"/>
      <c r="D15" s="43"/>
      <c r="E15" s="43" t="s">
        <v>457</v>
      </c>
      <c r="F15" s="73">
        <v>5074</v>
      </c>
      <c r="L15" s="193">
        <f>SUM(L4:L14)</f>
        <v>72210.990000000005</v>
      </c>
      <c r="N15" s="43"/>
      <c r="O15" s="43"/>
      <c r="P15" s="134">
        <f>SUM(P10:P14)</f>
        <v>815000</v>
      </c>
      <c r="V15" s="43"/>
      <c r="W15" s="43" t="s">
        <v>561</v>
      </c>
      <c r="X15" s="231">
        <v>8500</v>
      </c>
      <c r="Y15" s="231">
        <v>8500</v>
      </c>
      <c r="Z15" s="198">
        <v>45500</v>
      </c>
      <c r="AC15">
        <v>4000</v>
      </c>
      <c r="AI15">
        <f>AI13-AI14</f>
        <v>63350</v>
      </c>
    </row>
    <row r="16" spans="1:35" x14ac:dyDescent="0.3">
      <c r="A16" s="43"/>
      <c r="B16" s="186"/>
      <c r="C16" s="186"/>
      <c r="D16" s="186">
        <f>SUM(C13:C16)</f>
        <v>0</v>
      </c>
      <c r="E16" s="43" t="s">
        <v>458</v>
      </c>
      <c r="F16" s="73">
        <v>113280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  <c r="V16" s="43"/>
      <c r="W16" s="226" t="s">
        <v>535</v>
      </c>
      <c r="X16" s="243">
        <f>SUM(X14:X15)</f>
        <v>331961</v>
      </c>
      <c r="Y16" s="243">
        <f>SUM(Y14:Y15)</f>
        <v>331961</v>
      </c>
      <c r="AC16">
        <v>3000</v>
      </c>
    </row>
    <row r="17" spans="1:34" x14ac:dyDescent="0.3">
      <c r="A17" s="73"/>
      <c r="B17" s="186"/>
      <c r="C17" s="73"/>
      <c r="D17" s="202"/>
      <c r="E17" s="43" t="s">
        <v>459</v>
      </c>
      <c r="F17" s="73">
        <v>750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34" ht="15" thickBot="1" x14ac:dyDescent="0.35">
      <c r="A18" s="123" t="s">
        <v>123</v>
      </c>
      <c r="B18" s="189">
        <v>2600</v>
      </c>
      <c r="C18" s="73"/>
      <c r="D18" s="202"/>
      <c r="E18" s="43" t="s">
        <v>463</v>
      </c>
      <c r="F18" s="73">
        <v>1000</v>
      </c>
      <c r="G18" s="167" t="s">
        <v>109</v>
      </c>
      <c r="H18" s="116">
        <v>18195</v>
      </c>
      <c r="I18" s="113" t="s">
        <v>522</v>
      </c>
      <c r="N18" s="43"/>
      <c r="O18" s="43"/>
      <c r="R18" t="s">
        <v>412</v>
      </c>
      <c r="S18" s="73">
        <v>93000</v>
      </c>
      <c r="AC18">
        <f>SUM(AC5:AC16)</f>
        <v>220418</v>
      </c>
    </row>
    <row r="19" spans="1:34" ht="15" thickBot="1" x14ac:dyDescent="0.35">
      <c r="A19" s="123" t="s">
        <v>81</v>
      </c>
      <c r="B19" s="189">
        <v>50000</v>
      </c>
      <c r="C19" s="186"/>
      <c r="D19" s="72"/>
      <c r="E19" s="43" t="s">
        <v>464</v>
      </c>
      <c r="F19" s="73">
        <v>700</v>
      </c>
      <c r="G19" s="181" t="s">
        <v>268</v>
      </c>
      <c r="H19" s="112">
        <v>10526</v>
      </c>
      <c r="I19" s="113" t="s">
        <v>522</v>
      </c>
      <c r="N19" s="43"/>
      <c r="O19" s="104" t="s">
        <v>410</v>
      </c>
      <c r="P19" s="177">
        <f>(P17-P16)</f>
        <v>-151000</v>
      </c>
      <c r="S19" s="73">
        <f>SUM(S17:S18)</f>
        <v>147000</v>
      </c>
      <c r="V19" s="295" t="s">
        <v>526</v>
      </c>
      <c r="W19" s="293"/>
    </row>
    <row r="20" spans="1:34" x14ac:dyDescent="0.3">
      <c r="A20" s="123"/>
      <c r="B20" s="189"/>
      <c r="C20" s="186"/>
      <c r="D20" s="72"/>
      <c r="E20" s="43"/>
      <c r="F20" s="73"/>
      <c r="G20" s="181"/>
      <c r="H20" s="112"/>
      <c r="I20" s="113"/>
      <c r="N20" s="43"/>
      <c r="O20" s="104"/>
      <c r="P20" s="30"/>
      <c r="S20" s="73"/>
      <c r="V20" s="43"/>
      <c r="W20" s="43" t="s">
        <v>539</v>
      </c>
      <c r="X20" s="223">
        <f>AB1-X4</f>
        <v>8200000</v>
      </c>
      <c r="Y20" s="233"/>
      <c r="AC20">
        <v>8300000</v>
      </c>
      <c r="AE20" t="s">
        <v>542</v>
      </c>
      <c r="AF20">
        <v>750000</v>
      </c>
    </row>
    <row r="21" spans="1:34" x14ac:dyDescent="0.3">
      <c r="A21" s="123"/>
      <c r="B21" s="189"/>
      <c r="C21" s="186"/>
      <c r="D21" s="43"/>
      <c r="E21" s="43" t="s">
        <v>465</v>
      </c>
      <c r="F21" s="73">
        <v>2000</v>
      </c>
      <c r="G21" s="80" t="s">
        <v>298</v>
      </c>
      <c r="H21" s="80">
        <v>5000</v>
      </c>
      <c r="I21" s="113">
        <v>44896</v>
      </c>
      <c r="N21" s="43"/>
      <c r="O21" s="43"/>
      <c r="P21" s="89"/>
      <c r="R21" t="s">
        <v>411</v>
      </c>
      <c r="S21" s="73">
        <v>90000</v>
      </c>
      <c r="V21" s="43"/>
      <c r="W21" s="43" t="s">
        <v>531</v>
      </c>
      <c r="X21" s="245">
        <v>1000000</v>
      </c>
      <c r="Y21" s="235"/>
      <c r="AB21" t="s">
        <v>540</v>
      </c>
      <c r="AC21">
        <v>100000</v>
      </c>
      <c r="AE21" t="s">
        <v>545</v>
      </c>
      <c r="AF21">
        <v>200000</v>
      </c>
    </row>
    <row r="22" spans="1:34" x14ac:dyDescent="0.3">
      <c r="A22" s="123" t="s">
        <v>475</v>
      </c>
      <c r="B22" s="189">
        <v>10000</v>
      </c>
      <c r="C22" s="73"/>
      <c r="D22" s="43" t="s">
        <v>511</v>
      </c>
      <c r="E22" s="43" t="s">
        <v>462</v>
      </c>
      <c r="F22" s="73">
        <v>5000</v>
      </c>
      <c r="G22" s="80" t="s">
        <v>256</v>
      </c>
      <c r="H22" s="80">
        <v>7600</v>
      </c>
      <c r="I22" s="113" t="s">
        <v>523</v>
      </c>
      <c r="K22" s="43" t="s">
        <v>479</v>
      </c>
      <c r="L22" s="43" t="s">
        <v>480</v>
      </c>
      <c r="S22" s="73">
        <f>(S19-S21)</f>
        <v>57000</v>
      </c>
      <c r="V22" s="43"/>
      <c r="W22" s="244" t="s">
        <v>560</v>
      </c>
      <c r="X22" s="231">
        <v>200000</v>
      </c>
      <c r="Y22" s="231">
        <v>200000</v>
      </c>
      <c r="Z22" s="198">
        <v>45502</v>
      </c>
      <c r="AC22">
        <f>AC20-AC21</f>
        <v>8200000</v>
      </c>
      <c r="AE22" t="s">
        <v>544</v>
      </c>
      <c r="AF22">
        <v>300000</v>
      </c>
    </row>
    <row r="23" spans="1:34" x14ac:dyDescent="0.3">
      <c r="A23" s="116" t="s">
        <v>203</v>
      </c>
      <c r="B23" s="190">
        <v>13000</v>
      </c>
      <c r="C23" s="186"/>
      <c r="D23" s="145"/>
      <c r="E23" s="43" t="s">
        <v>467</v>
      </c>
      <c r="F23" s="73">
        <v>6700</v>
      </c>
      <c r="G23" s="115" t="s">
        <v>431</v>
      </c>
      <c r="H23" s="116">
        <v>20481</v>
      </c>
      <c r="I23" s="113" t="s">
        <v>521</v>
      </c>
      <c r="K23" s="43"/>
      <c r="L23" s="43" t="s">
        <v>481</v>
      </c>
      <c r="R23" s="65"/>
      <c r="S23" s="73"/>
      <c r="V23" s="43"/>
      <c r="W23" s="104" t="s">
        <v>558</v>
      </c>
      <c r="X23" s="242">
        <v>400000</v>
      </c>
      <c r="Y23" s="242">
        <v>100000</v>
      </c>
      <c r="Z23" s="198">
        <v>45502</v>
      </c>
      <c r="AB23" t="s">
        <v>541</v>
      </c>
      <c r="AC23">
        <v>500000</v>
      </c>
      <c r="AD23" t="s">
        <v>543</v>
      </c>
      <c r="AF23">
        <f>SUM(AF21:AF22)</f>
        <v>500000</v>
      </c>
    </row>
    <row r="24" spans="1:34" x14ac:dyDescent="0.3">
      <c r="A24" s="115" t="s">
        <v>381</v>
      </c>
      <c r="B24" s="190">
        <v>23000</v>
      </c>
      <c r="C24" s="186"/>
      <c r="D24" s="43"/>
      <c r="E24" s="43" t="s">
        <v>468</v>
      </c>
      <c r="F24" s="73">
        <f>'September 23'!AO30</f>
        <v>0</v>
      </c>
      <c r="G24" s="115"/>
      <c r="H24" s="116"/>
      <c r="I24" s="113"/>
      <c r="K24" s="43"/>
      <c r="L24" s="43" t="s">
        <v>482</v>
      </c>
      <c r="R24" t="s">
        <v>142</v>
      </c>
      <c r="S24" s="73">
        <v>200000</v>
      </c>
      <c r="V24" s="43"/>
      <c r="W24" s="43" t="s">
        <v>571</v>
      </c>
      <c r="X24" s="231">
        <v>7500</v>
      </c>
      <c r="Y24" s="231">
        <v>7500</v>
      </c>
      <c r="AC24">
        <f>AC22-AC23</f>
        <v>7700000</v>
      </c>
      <c r="AF24">
        <f>AF23-AF20</f>
        <v>-250000</v>
      </c>
    </row>
    <row r="25" spans="1:34" x14ac:dyDescent="0.3">
      <c r="A25" s="64" t="s">
        <v>5</v>
      </c>
      <c r="B25" s="186">
        <f>SUM(B1:B16)</f>
        <v>223228</v>
      </c>
      <c r="C25" s="186">
        <f>SUM(C1:C17)</f>
        <v>36000</v>
      </c>
      <c r="D25" s="72"/>
      <c r="E25" s="43" t="s">
        <v>469</v>
      </c>
      <c r="F25" s="73">
        <v>51800</v>
      </c>
      <c r="G25" s="124"/>
      <c r="H25" s="118"/>
      <c r="I25" s="113"/>
      <c r="K25" s="43"/>
      <c r="L25" s="43" t="s">
        <v>483</v>
      </c>
      <c r="R25" t="s">
        <v>206</v>
      </c>
      <c r="S25" s="73">
        <f>(S22+S24)</f>
        <v>257000</v>
      </c>
      <c r="AB25" t="s">
        <v>546</v>
      </c>
      <c r="AC25">
        <v>8000000</v>
      </c>
    </row>
    <row r="26" spans="1:34" x14ac:dyDescent="0.3">
      <c r="A26" s="43"/>
      <c r="B26" s="186"/>
      <c r="C26" s="43"/>
      <c r="D26" s="72"/>
      <c r="E26" s="178" t="s">
        <v>470</v>
      </c>
      <c r="F26" s="179">
        <v>22000</v>
      </c>
      <c r="G26" s="43"/>
      <c r="H26" s="106"/>
      <c r="I26" s="114"/>
      <c r="K26" s="199"/>
      <c r="L26" s="43">
        <v>1270</v>
      </c>
      <c r="O26">
        <v>176000</v>
      </c>
      <c r="S26" s="73"/>
      <c r="V26" s="43"/>
      <c r="W26" s="226" t="s">
        <v>535</v>
      </c>
      <c r="X26" s="225">
        <f>SUM(X22:X24)</f>
        <v>607500</v>
      </c>
      <c r="Y26" s="225">
        <f>SUM(Y22:Y24)</f>
        <v>307500</v>
      </c>
    </row>
    <row r="27" spans="1:34" x14ac:dyDescent="0.3">
      <c r="A27" s="64" t="s">
        <v>228</v>
      </c>
      <c r="B27" s="186"/>
      <c r="C27" s="62">
        <f>(C25-B25)</f>
        <v>-187228</v>
      </c>
      <c r="D27" s="43" t="s">
        <v>227</v>
      </c>
      <c r="E27" s="43" t="s">
        <v>471</v>
      </c>
      <c r="F27" s="73">
        <v>11500</v>
      </c>
      <c r="K27" s="73" t="s">
        <v>485</v>
      </c>
      <c r="L27" s="43" t="s">
        <v>484</v>
      </c>
      <c r="O27">
        <v>152000</v>
      </c>
      <c r="R27" t="s">
        <v>413</v>
      </c>
      <c r="S27" s="73">
        <v>260000</v>
      </c>
      <c r="V27" s="43"/>
      <c r="W27" s="43" t="s">
        <v>5</v>
      </c>
      <c r="X27" s="224">
        <f>SUM(X10,X16,X26)</f>
        <v>1653040.8</v>
      </c>
      <c r="Y27" s="236"/>
    </row>
    <row r="28" spans="1:34" x14ac:dyDescent="0.3">
      <c r="A28" s="64"/>
      <c r="B28" s="186"/>
      <c r="C28" s="43"/>
      <c r="D28" s="43"/>
      <c r="E28" s="43" t="s">
        <v>472</v>
      </c>
      <c r="F28" s="73">
        <v>26000</v>
      </c>
      <c r="H28">
        <f>55000-110000</f>
        <v>-55000</v>
      </c>
      <c r="K28" s="43" t="s">
        <v>486</v>
      </c>
      <c r="L28" s="43">
        <v>1250</v>
      </c>
      <c r="O28">
        <f>O26-O27</f>
        <v>24000</v>
      </c>
      <c r="S28" s="30">
        <f>(S27-S25)</f>
        <v>3000</v>
      </c>
      <c r="AG28" t="s">
        <v>569</v>
      </c>
      <c r="AH28" t="s">
        <v>568</v>
      </c>
    </row>
    <row r="29" spans="1:34" x14ac:dyDescent="0.3">
      <c r="A29" s="64" t="s">
        <v>225</v>
      </c>
      <c r="B29" s="186"/>
      <c r="C29" s="62">
        <f>(F6+C27)</f>
        <v>-184114</v>
      </c>
      <c r="D29" s="43"/>
      <c r="E29" s="43" t="s">
        <v>476</v>
      </c>
      <c r="F29" s="186">
        <v>41600</v>
      </c>
      <c r="K29" s="43" t="s">
        <v>487</v>
      </c>
      <c r="L29" s="43">
        <v>91</v>
      </c>
      <c r="AE29">
        <v>619000</v>
      </c>
      <c r="AF29" s="247">
        <f>AG29/AE29</f>
        <v>2.4232633279483036E-3</v>
      </c>
      <c r="AG29">
        <f>AH29/12</f>
        <v>1500</v>
      </c>
      <c r="AH29">
        <v>18000</v>
      </c>
    </row>
    <row r="30" spans="1:34" x14ac:dyDescent="0.3">
      <c r="F30" s="73">
        <f>SUM(F10:F29)</f>
        <v>301557.86</v>
      </c>
      <c r="K30" s="43"/>
      <c r="L30" s="43">
        <f>L28*L29</f>
        <v>113750</v>
      </c>
      <c r="V30" s="293" t="s">
        <v>532</v>
      </c>
      <c r="W30" s="293"/>
      <c r="AE30">
        <v>100000</v>
      </c>
      <c r="AF30">
        <v>0.02</v>
      </c>
      <c r="AG30">
        <f>AE30*AF30</f>
        <v>2000</v>
      </c>
      <c r="AH30">
        <f>AG30*12</f>
        <v>24000</v>
      </c>
    </row>
    <row r="31" spans="1:34" x14ac:dyDescent="0.3">
      <c r="K31" s="43" t="s">
        <v>488</v>
      </c>
      <c r="L31" s="73">
        <v>99130</v>
      </c>
      <c r="V31" s="43"/>
      <c r="W31" s="43" t="s">
        <v>89</v>
      </c>
      <c r="X31" s="222">
        <v>8000000</v>
      </c>
      <c r="Y31" s="235"/>
      <c r="Z31" s="198">
        <v>45509</v>
      </c>
      <c r="AA31" t="s">
        <v>566</v>
      </c>
      <c r="AE31">
        <v>619000</v>
      </c>
      <c r="AF31">
        <v>2.4299999999999999E-3</v>
      </c>
      <c r="AG31">
        <f>AE31*AF31</f>
        <v>1504.1699999999998</v>
      </c>
      <c r="AH31">
        <f>AG31*12</f>
        <v>18050.039999999997</v>
      </c>
    </row>
    <row r="32" spans="1:34" x14ac:dyDescent="0.3">
      <c r="K32" s="43"/>
      <c r="L32" s="106">
        <f>L30+L31</f>
        <v>212880</v>
      </c>
      <c r="O32">
        <f>5000/40</f>
        <v>125</v>
      </c>
      <c r="V32" s="43"/>
      <c r="W32" s="43" t="s">
        <v>533</v>
      </c>
      <c r="X32" s="222">
        <v>578957</v>
      </c>
      <c r="Y32" s="235">
        <v>18500</v>
      </c>
      <c r="Z32" s="198">
        <v>45540</v>
      </c>
      <c r="AA32" t="s">
        <v>566</v>
      </c>
      <c r="AE32">
        <v>3500000</v>
      </c>
      <c r="AF32">
        <v>0.09</v>
      </c>
      <c r="AG32">
        <f>AE32*AF32</f>
        <v>315000</v>
      </c>
      <c r="AH32" s="246">
        <f>AG32*12</f>
        <v>3780000</v>
      </c>
    </row>
    <row r="33" spans="11:34" x14ac:dyDescent="0.3">
      <c r="K33" s="178" t="s">
        <v>490</v>
      </c>
      <c r="L33" s="91">
        <v>-109464</v>
      </c>
      <c r="O33">
        <v>23</v>
      </c>
      <c r="P33">
        <f>O32*O33</f>
        <v>2875</v>
      </c>
      <c r="V33" s="43"/>
      <c r="W33" s="43" t="s">
        <v>556</v>
      </c>
      <c r="X33" s="222">
        <v>300000</v>
      </c>
      <c r="Y33" s="235"/>
      <c r="AE33">
        <v>8000000</v>
      </c>
      <c r="AF33">
        <v>0.09</v>
      </c>
      <c r="AG33">
        <f>AE33*AF33</f>
        <v>720000</v>
      </c>
      <c r="AH33" s="246">
        <f>AG33*12</f>
        <v>8640000</v>
      </c>
    </row>
    <row r="34" spans="11:34" x14ac:dyDescent="0.3">
      <c r="K34" s="43" t="s">
        <v>488</v>
      </c>
      <c r="L34" s="200">
        <v>-25000</v>
      </c>
      <c r="P34">
        <v>2875</v>
      </c>
      <c r="V34" s="43"/>
      <c r="W34" s="43" t="s">
        <v>551</v>
      </c>
      <c r="X34" s="43"/>
    </row>
    <row r="35" spans="11:34" x14ac:dyDescent="0.3">
      <c r="K35" s="43" t="s">
        <v>143</v>
      </c>
      <c r="L35" s="73">
        <f>L32+L33+L34</f>
        <v>78416</v>
      </c>
      <c r="P35">
        <v>6000</v>
      </c>
      <c r="V35" s="43"/>
      <c r="W35" s="226" t="s">
        <v>535</v>
      </c>
      <c r="X35" s="227">
        <f>SUM(X31:X33)</f>
        <v>8878957</v>
      </c>
      <c r="Y35" s="237"/>
    </row>
    <row r="36" spans="11:34" x14ac:dyDescent="0.3">
      <c r="V36" s="43"/>
      <c r="W36" s="43" t="s">
        <v>534</v>
      </c>
      <c r="X36" s="228">
        <f>X27+X35</f>
        <v>10531997.800000001</v>
      </c>
      <c r="Y36" s="238"/>
    </row>
    <row r="37" spans="11:34" x14ac:dyDescent="0.3">
      <c r="X37" s="233"/>
      <c r="Y37" s="233"/>
    </row>
    <row r="39" spans="11:34" x14ac:dyDescent="0.3">
      <c r="V39" s="229" t="s">
        <v>551</v>
      </c>
      <c r="W39" s="229"/>
      <c r="X39" s="229"/>
      <c r="Y39" s="229"/>
      <c r="Z39" s="232" t="s">
        <v>26</v>
      </c>
      <c r="AA39" s="232" t="s">
        <v>214</v>
      </c>
    </row>
    <row r="40" spans="11:34" x14ac:dyDescent="0.3">
      <c r="V40" s="43"/>
      <c r="W40" s="43" t="s">
        <v>494</v>
      </c>
      <c r="X40" s="222">
        <v>165000</v>
      </c>
      <c r="Y40" s="222"/>
      <c r="Z40" s="222"/>
      <c r="AA40" s="223">
        <f t="shared" ref="AA40:AA47" si="2">X40-Z40</f>
        <v>165000</v>
      </c>
      <c r="AE40">
        <v>5661</v>
      </c>
      <c r="AF40">
        <v>58000</v>
      </c>
    </row>
    <row r="41" spans="11:34" x14ac:dyDescent="0.3">
      <c r="V41" s="221">
        <v>45497</v>
      </c>
      <c r="W41" s="43" t="s">
        <v>545</v>
      </c>
      <c r="X41" s="222">
        <v>250000</v>
      </c>
      <c r="Y41" s="222"/>
      <c r="Z41" s="222"/>
      <c r="AA41" s="223">
        <f t="shared" si="2"/>
        <v>250000</v>
      </c>
      <c r="AE41">
        <v>5702</v>
      </c>
      <c r="AF41">
        <v>57959</v>
      </c>
    </row>
    <row r="42" spans="11:34" x14ac:dyDescent="0.3">
      <c r="V42" s="221">
        <v>45497</v>
      </c>
      <c r="W42" s="43" t="s">
        <v>552</v>
      </c>
      <c r="X42" s="222">
        <v>100000</v>
      </c>
      <c r="Y42" s="222"/>
      <c r="Z42" s="222">
        <v>100000</v>
      </c>
      <c r="AA42" s="223">
        <f t="shared" si="2"/>
        <v>0</v>
      </c>
      <c r="AE42">
        <v>5743</v>
      </c>
      <c r="AF42">
        <v>57918</v>
      </c>
    </row>
    <row r="43" spans="11:34" x14ac:dyDescent="0.3">
      <c r="V43" s="221">
        <v>45498</v>
      </c>
      <c r="W43" s="43" t="s">
        <v>553</v>
      </c>
      <c r="X43" s="222">
        <v>50000</v>
      </c>
      <c r="Y43" s="222"/>
      <c r="Z43" s="222">
        <v>50000</v>
      </c>
      <c r="AA43" s="223">
        <f t="shared" si="2"/>
        <v>0</v>
      </c>
      <c r="AE43">
        <v>5785</v>
      </c>
      <c r="AF43">
        <v>57876</v>
      </c>
    </row>
    <row r="44" spans="11:34" x14ac:dyDescent="0.3">
      <c r="V44" s="221">
        <v>45500</v>
      </c>
      <c r="W44" s="43" t="s">
        <v>554</v>
      </c>
      <c r="X44" s="222">
        <v>120000</v>
      </c>
      <c r="Y44" s="222"/>
      <c r="Z44" s="222">
        <v>120000</v>
      </c>
      <c r="AA44" s="223">
        <f t="shared" si="2"/>
        <v>0</v>
      </c>
      <c r="AE44">
        <v>5827</v>
      </c>
      <c r="AF44">
        <v>57834</v>
      </c>
    </row>
    <row r="45" spans="11:34" x14ac:dyDescent="0.3">
      <c r="V45" s="221">
        <v>45500</v>
      </c>
      <c r="W45" s="43" t="s">
        <v>553</v>
      </c>
      <c r="X45" s="234">
        <v>240000</v>
      </c>
      <c r="Y45" s="234"/>
      <c r="Z45" s="222">
        <v>225000</v>
      </c>
      <c r="AA45" s="223">
        <f t="shared" si="2"/>
        <v>15000</v>
      </c>
      <c r="AE45">
        <v>5869</v>
      </c>
      <c r="AF45">
        <v>57792</v>
      </c>
    </row>
    <row r="46" spans="11:34" x14ac:dyDescent="0.3">
      <c r="V46" s="221">
        <v>45500</v>
      </c>
      <c r="W46" s="43" t="s">
        <v>555</v>
      </c>
      <c r="X46" s="222">
        <v>600000</v>
      </c>
      <c r="Y46" s="222"/>
      <c r="Z46" s="222">
        <v>400000</v>
      </c>
      <c r="AA46" s="223">
        <f>X46-Z46</f>
        <v>200000</v>
      </c>
      <c r="AE46">
        <v>5912</v>
      </c>
      <c r="AF46">
        <v>57749</v>
      </c>
    </row>
    <row r="47" spans="11:34" x14ac:dyDescent="0.3">
      <c r="V47" s="221">
        <v>45517</v>
      </c>
      <c r="W47" s="178" t="s">
        <v>554</v>
      </c>
      <c r="X47" s="249">
        <v>100000</v>
      </c>
      <c r="Y47" s="43"/>
      <c r="Z47" s="43"/>
      <c r="AA47" s="223">
        <f t="shared" si="2"/>
        <v>100000</v>
      </c>
      <c r="AE47">
        <v>5955</v>
      </c>
      <c r="AF47">
        <v>57706</v>
      </c>
    </row>
    <row r="48" spans="11:34" x14ac:dyDescent="0.3">
      <c r="V48" s="221">
        <v>45517</v>
      </c>
      <c r="W48" s="43" t="s">
        <v>555</v>
      </c>
      <c r="X48" s="234">
        <v>200000</v>
      </c>
      <c r="Y48" s="43"/>
      <c r="Z48" s="234">
        <v>100000</v>
      </c>
      <c r="AA48" s="223">
        <f>X48-Z48</f>
        <v>100000</v>
      </c>
    </row>
    <row r="49" spans="22:32" x14ac:dyDescent="0.3">
      <c r="V49" s="221">
        <v>45528</v>
      </c>
      <c r="W49" s="43" t="s">
        <v>545</v>
      </c>
      <c r="X49" s="234">
        <v>250000</v>
      </c>
      <c r="Y49" s="43"/>
      <c r="Z49" s="234">
        <v>17999</v>
      </c>
      <c r="AA49" s="223">
        <f>X49-Z49</f>
        <v>232001</v>
      </c>
      <c r="AE49" s="246">
        <f>SUM(AE40:AE47)</f>
        <v>46454</v>
      </c>
      <c r="AF49" s="246">
        <f>SUM(AF40:AF47)</f>
        <v>462834</v>
      </c>
    </row>
    <row r="50" spans="22:32" x14ac:dyDescent="0.3">
      <c r="V50" s="221">
        <v>45531</v>
      </c>
      <c r="W50" s="43" t="s">
        <v>545</v>
      </c>
      <c r="X50" s="222">
        <v>232001</v>
      </c>
      <c r="Y50" s="43"/>
      <c r="Z50" s="234">
        <v>30000</v>
      </c>
      <c r="AA50" s="223">
        <f>X50-Z50</f>
        <v>202001</v>
      </c>
    </row>
    <row r="52" spans="22:32" x14ac:dyDescent="0.3">
      <c r="X52" s="223">
        <f>SUM(X40:X45)</f>
        <v>925000</v>
      </c>
      <c r="Y52" s="223"/>
      <c r="Z52" s="223">
        <f>SUM(Z40:Z50)</f>
        <v>1042999</v>
      </c>
      <c r="AA52" s="223">
        <f>SUM(AA45,AA47,AA50)</f>
        <v>317001</v>
      </c>
    </row>
  </sheetData>
  <mergeCells count="8">
    <mergeCell ref="V19:W19"/>
    <mergeCell ref="V30:W30"/>
    <mergeCell ref="E1:F1"/>
    <mergeCell ref="I1:L1"/>
    <mergeCell ref="V3:W3"/>
    <mergeCell ref="J4:L4"/>
    <mergeCell ref="V5:V7"/>
    <mergeCell ref="V13:W13"/>
  </mergeCells>
  <pageMargins left="0.7" right="0.7" top="0.75" bottom="0.75" header="0.3" footer="0.3"/>
  <pageSetup paperSize="9"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DBFA-1CAC-4F47-BA9A-03FB6AAEFF8C}">
  <dimension ref="A1:AI52"/>
  <sheetViews>
    <sheetView tabSelected="1" workbookViewId="0">
      <selection activeCell="C7" sqref="C7"/>
    </sheetView>
  </sheetViews>
  <sheetFormatPr defaultRowHeight="14.4" x14ac:dyDescent="0.3"/>
  <cols>
    <col min="1" max="1" width="16.5546875" customWidth="1"/>
    <col min="2" max="2" width="9.6640625" style="250" bestFit="1" customWidth="1"/>
    <col min="3" max="3" width="11.44140625" bestFit="1" customWidth="1"/>
    <col min="4" max="4" width="14.44140625" bestFit="1" customWidth="1"/>
    <col min="5" max="5" width="16.88671875" bestFit="1" customWidth="1"/>
    <col min="6" max="6" width="10.6640625" bestFit="1" customWidth="1"/>
    <col min="7" max="7" width="17.44140625" bestFit="1" customWidth="1"/>
    <col min="8" max="8" width="8.44140625" bestFit="1" customWidth="1"/>
    <col min="9" max="9" width="14.6640625" bestFit="1" customWidth="1"/>
    <col min="10" max="10" width="4.109375" bestFit="1" customWidth="1"/>
    <col min="11" max="11" width="15.109375" bestFit="1" customWidth="1"/>
    <col min="12" max="12" width="8.88671875" bestFit="1" customWidth="1"/>
    <col min="13" max="14" width="7.44140625" bestFit="1" customWidth="1"/>
    <col min="15" max="15" width="13.5546875" bestFit="1" customWidth="1"/>
    <col min="16" max="16" width="9.109375" bestFit="1" customWidth="1"/>
    <col min="17" max="17" width="8.109375" bestFit="1" customWidth="1"/>
    <col min="18" max="18" width="12.33203125" bestFit="1" customWidth="1"/>
    <col min="19" max="19" width="9.109375" bestFit="1" customWidth="1"/>
    <col min="22" max="22" width="15" bestFit="1" customWidth="1"/>
    <col min="23" max="23" width="36.44140625" bestFit="1" customWidth="1"/>
    <col min="24" max="24" width="14.6640625" bestFit="1" customWidth="1"/>
    <col min="25" max="25" width="12.44140625" bestFit="1" customWidth="1"/>
    <col min="26" max="26" width="12.6640625" bestFit="1" customWidth="1"/>
    <col min="27" max="27" width="14.44140625" bestFit="1" customWidth="1"/>
    <col min="28" max="28" width="13" bestFit="1" customWidth="1"/>
    <col min="29" max="29" width="8.33203125" bestFit="1" customWidth="1"/>
    <col min="30" max="30" width="6.88671875" bestFit="1" customWidth="1"/>
    <col min="31" max="31" width="10.109375" bestFit="1" customWidth="1"/>
    <col min="32" max="32" width="11.6640625" bestFit="1" customWidth="1"/>
    <col min="33" max="33" width="8.33203125" bestFit="1" customWidth="1"/>
    <col min="34" max="34" width="12.6640625" bestFit="1" customWidth="1"/>
    <col min="35" max="35" width="7.33203125" bestFit="1" customWidth="1"/>
  </cols>
  <sheetData>
    <row r="1" spans="1:35" ht="15" thickBot="1" x14ac:dyDescent="0.35">
      <c r="A1" s="43" t="s">
        <v>6</v>
      </c>
      <c r="B1" s="186">
        <v>6000</v>
      </c>
      <c r="C1" s="186"/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  <c r="AA1" s="241" t="s">
        <v>563</v>
      </c>
      <c r="AB1" s="240">
        <v>8300000</v>
      </c>
    </row>
    <row r="2" spans="1:35" x14ac:dyDescent="0.3">
      <c r="A2" s="43" t="s">
        <v>0</v>
      </c>
      <c r="B2" s="186">
        <v>43000</v>
      </c>
      <c r="C2" s="191">
        <v>30000</v>
      </c>
      <c r="D2" s="186" t="s">
        <v>579</v>
      </c>
      <c r="E2" s="43" t="s">
        <v>576</v>
      </c>
      <c r="F2" s="73">
        <v>2070</v>
      </c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35" x14ac:dyDescent="0.3">
      <c r="A3" s="43" t="s">
        <v>575</v>
      </c>
      <c r="B3" s="186">
        <v>5000</v>
      </c>
      <c r="C3" s="186"/>
      <c r="D3" s="43"/>
      <c r="E3" s="43" t="s">
        <v>265</v>
      </c>
      <c r="F3" s="73">
        <v>18</v>
      </c>
      <c r="G3" s="73"/>
      <c r="H3" s="30"/>
      <c r="I3" s="110" t="s">
        <v>382</v>
      </c>
      <c r="J3" s="159">
        <v>10</v>
      </c>
      <c r="K3" s="159">
        <v>999</v>
      </c>
      <c r="L3" s="211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  <c r="V3" s="293" t="s">
        <v>525</v>
      </c>
      <c r="W3" s="293"/>
    </row>
    <row r="4" spans="1:35" x14ac:dyDescent="0.3">
      <c r="A4" s="43"/>
      <c r="B4" s="186"/>
      <c r="C4" s="186"/>
      <c r="D4" s="43"/>
      <c r="E4" s="43" t="s">
        <v>204</v>
      </c>
      <c r="F4" s="73">
        <v>216</v>
      </c>
      <c r="G4" s="73"/>
      <c r="I4" s="110" t="s">
        <v>379</v>
      </c>
      <c r="J4" s="290" t="s">
        <v>473</v>
      </c>
      <c r="K4" s="291"/>
      <c r="L4" s="292"/>
      <c r="M4" s="192">
        <v>44682</v>
      </c>
      <c r="N4" s="43"/>
      <c r="O4" s="43"/>
      <c r="P4" s="73"/>
      <c r="R4" s="43"/>
      <c r="S4" s="73"/>
      <c r="V4" s="157"/>
      <c r="W4" s="157" t="s">
        <v>559</v>
      </c>
      <c r="X4" s="230">
        <v>100000</v>
      </c>
      <c r="Y4" s="230">
        <v>100000</v>
      </c>
      <c r="Z4" s="198">
        <v>45485</v>
      </c>
    </row>
    <row r="5" spans="1:35" ht="14.4" customHeight="1" x14ac:dyDescent="0.3">
      <c r="A5" s="43" t="s">
        <v>89</v>
      </c>
      <c r="B5" s="186">
        <v>33953</v>
      </c>
      <c r="C5" s="191">
        <v>33953</v>
      </c>
      <c r="D5" s="43" t="s">
        <v>450</v>
      </c>
      <c r="E5" s="43" t="s">
        <v>205</v>
      </c>
      <c r="F5" s="73">
        <v>810</v>
      </c>
      <c r="I5" s="110" t="s">
        <v>19</v>
      </c>
      <c r="J5" s="159">
        <v>22</v>
      </c>
      <c r="K5" s="159">
        <v>1321.63</v>
      </c>
      <c r="L5" s="211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  <c r="V5" s="294" t="s">
        <v>529</v>
      </c>
      <c r="W5" s="43" t="s">
        <v>550</v>
      </c>
      <c r="X5" s="231">
        <v>18000</v>
      </c>
      <c r="Y5" s="231">
        <v>18000</v>
      </c>
      <c r="Z5" s="198">
        <v>45492</v>
      </c>
      <c r="AC5">
        <v>34000</v>
      </c>
    </row>
    <row r="6" spans="1:35" x14ac:dyDescent="0.3">
      <c r="A6" s="43" t="s">
        <v>3</v>
      </c>
      <c r="B6" s="186">
        <v>2500</v>
      </c>
      <c r="C6" s="191">
        <v>2500</v>
      </c>
      <c r="D6" s="43"/>
      <c r="E6" s="43" t="s">
        <v>6</v>
      </c>
      <c r="F6" s="73">
        <f>SUM(F2:F5)</f>
        <v>3114</v>
      </c>
      <c r="I6" s="110" t="s">
        <v>362</v>
      </c>
      <c r="J6" s="159">
        <v>6</v>
      </c>
      <c r="K6" s="159">
        <v>1918.68</v>
      </c>
      <c r="L6" s="211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  <c r="V6" s="294"/>
      <c r="W6" s="43" t="s">
        <v>528</v>
      </c>
      <c r="X6" s="231">
        <v>41000</v>
      </c>
      <c r="Y6" s="231">
        <v>41000</v>
      </c>
      <c r="Z6" s="198">
        <v>45498</v>
      </c>
      <c r="AC6">
        <v>65000</v>
      </c>
    </row>
    <row r="7" spans="1:35" x14ac:dyDescent="0.3">
      <c r="A7" s="43" t="s">
        <v>9</v>
      </c>
      <c r="B7" s="186">
        <v>588</v>
      </c>
      <c r="C7" s="191">
        <v>588</v>
      </c>
      <c r="D7" s="43"/>
      <c r="E7" s="43" t="s">
        <v>429</v>
      </c>
      <c r="F7" s="44">
        <f>B25</f>
        <v>262242</v>
      </c>
      <c r="I7" s="110" t="s">
        <v>363</v>
      </c>
      <c r="J7" s="159">
        <v>5</v>
      </c>
      <c r="K7" s="159">
        <v>1049.19</v>
      </c>
      <c r="L7" s="211">
        <f t="shared" si="1"/>
        <v>5245.9500000000007</v>
      </c>
      <c r="M7" s="192">
        <v>45108</v>
      </c>
      <c r="N7" s="43"/>
      <c r="O7" s="43"/>
      <c r="P7" s="73"/>
      <c r="R7" s="43"/>
      <c r="S7" s="73"/>
      <c r="V7" s="294"/>
      <c r="W7" s="43" t="s">
        <v>530</v>
      </c>
      <c r="X7" s="231">
        <v>7000</v>
      </c>
      <c r="Y7" s="231">
        <v>7000</v>
      </c>
      <c r="Z7" s="198">
        <v>45498</v>
      </c>
      <c r="AC7">
        <v>11418</v>
      </c>
    </row>
    <row r="8" spans="1:35" x14ac:dyDescent="0.3">
      <c r="A8" s="43" t="s">
        <v>107</v>
      </c>
      <c r="B8" s="186">
        <v>619</v>
      </c>
      <c r="C8" s="191">
        <v>619</v>
      </c>
      <c r="D8" s="43"/>
      <c r="I8" s="110" t="s">
        <v>364</v>
      </c>
      <c r="J8" s="159">
        <v>11</v>
      </c>
      <c r="K8" s="159">
        <v>470.99</v>
      </c>
      <c r="L8" s="211">
        <f t="shared" si="1"/>
        <v>5180.8900000000003</v>
      </c>
      <c r="M8" s="192">
        <v>45108</v>
      </c>
      <c r="N8" s="43"/>
      <c r="O8" s="43"/>
      <c r="P8" s="108">
        <f>SUM(P3:P6)</f>
        <v>2240000</v>
      </c>
      <c r="R8" s="43"/>
      <c r="S8" s="73">
        <f>SUM(S3:S6)</f>
        <v>1290975</v>
      </c>
      <c r="V8" s="43"/>
      <c r="W8" s="43" t="s">
        <v>527</v>
      </c>
      <c r="X8" s="231">
        <v>547579.80000000005</v>
      </c>
      <c r="Y8" s="231">
        <v>547579.80000000005</v>
      </c>
      <c r="Z8" s="198">
        <v>45498</v>
      </c>
      <c r="AC8">
        <v>25000</v>
      </c>
      <c r="AE8">
        <f>133000+80000</f>
        <v>213000</v>
      </c>
    </row>
    <row r="9" spans="1:35" x14ac:dyDescent="0.3">
      <c r="A9" s="43" t="s">
        <v>174</v>
      </c>
      <c r="B9" s="186">
        <v>5000</v>
      </c>
      <c r="C9" s="191">
        <v>2500</v>
      </c>
      <c r="D9" s="43"/>
      <c r="E9" s="43"/>
      <c r="F9" s="43"/>
      <c r="I9" s="110" t="s">
        <v>377</v>
      </c>
      <c r="J9" s="159">
        <v>4</v>
      </c>
      <c r="K9" s="159">
        <v>1376.72</v>
      </c>
      <c r="L9" s="211">
        <f t="shared" si="1"/>
        <v>5506.88</v>
      </c>
      <c r="N9" s="43"/>
      <c r="O9" s="43"/>
      <c r="P9" s="73"/>
      <c r="R9" s="43"/>
      <c r="S9" s="73"/>
      <c r="AC9">
        <v>6000</v>
      </c>
      <c r="AE9">
        <f>AE8-AC18</f>
        <v>-7418</v>
      </c>
      <c r="AH9" t="s">
        <v>536</v>
      </c>
      <c r="AI9">
        <v>485000</v>
      </c>
    </row>
    <row r="10" spans="1:35" x14ac:dyDescent="0.3">
      <c r="A10" s="43" t="s">
        <v>564</v>
      </c>
      <c r="B10" s="186">
        <v>66800</v>
      </c>
      <c r="C10" s="191">
        <v>66800</v>
      </c>
      <c r="D10" s="43" t="s">
        <v>449</v>
      </c>
      <c r="E10" s="43" t="s">
        <v>442</v>
      </c>
      <c r="F10" s="73">
        <v>234.82</v>
      </c>
      <c r="I10" s="110" t="s">
        <v>387</v>
      </c>
      <c r="J10" s="159">
        <v>5</v>
      </c>
      <c r="K10" s="159">
        <v>936.51</v>
      </c>
      <c r="L10" s="211">
        <f t="shared" si="1"/>
        <v>4682.55</v>
      </c>
      <c r="M10" s="192">
        <v>45108</v>
      </c>
      <c r="N10" s="43"/>
      <c r="O10" s="43" t="s">
        <v>339</v>
      </c>
      <c r="P10" s="134">
        <v>500000</v>
      </c>
      <c r="S10" s="30"/>
      <c r="W10" s="226" t="s">
        <v>535</v>
      </c>
      <c r="X10" s="243">
        <f>SUM(X4:X8)</f>
        <v>713579.8</v>
      </c>
      <c r="Y10" s="243">
        <f>SUM(Y4:Y8)</f>
        <v>713579.8</v>
      </c>
      <c r="AC10">
        <v>50000</v>
      </c>
      <c r="AH10" t="s">
        <v>537</v>
      </c>
      <c r="AI10">
        <f>2*108675</f>
        <v>217350</v>
      </c>
    </row>
    <row r="11" spans="1:35" x14ac:dyDescent="0.3">
      <c r="A11" s="43" t="s">
        <v>285</v>
      </c>
      <c r="B11" s="186">
        <v>2500</v>
      </c>
      <c r="C11" s="191">
        <v>2500</v>
      </c>
      <c r="D11" s="85"/>
      <c r="E11" s="43" t="s">
        <v>441</v>
      </c>
      <c r="F11" s="73">
        <v>1419.04</v>
      </c>
      <c r="I11" s="110" t="s">
        <v>380</v>
      </c>
      <c r="J11" s="159">
        <v>5</v>
      </c>
      <c r="K11" s="159">
        <v>959.34</v>
      </c>
      <c r="L11" s="211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  <c r="AC11">
        <v>5000</v>
      </c>
    </row>
    <row r="12" spans="1:35" x14ac:dyDescent="0.3">
      <c r="A12" s="43" t="s">
        <v>414</v>
      </c>
      <c r="B12" s="186">
        <v>18054</v>
      </c>
      <c r="C12" s="191">
        <v>18054</v>
      </c>
      <c r="D12" s="221" t="s">
        <v>449</v>
      </c>
      <c r="E12" s="43" t="s">
        <v>443</v>
      </c>
      <c r="F12" s="73">
        <v>3500</v>
      </c>
      <c r="I12" s="110" t="s">
        <v>385</v>
      </c>
      <c r="J12" s="159">
        <v>50</v>
      </c>
      <c r="K12" s="159">
        <v>43.35</v>
      </c>
      <c r="L12" s="211">
        <f t="shared" si="1"/>
        <v>2167.5</v>
      </c>
      <c r="N12" s="43"/>
      <c r="O12" s="43" t="s">
        <v>6</v>
      </c>
      <c r="P12" s="134">
        <v>50000</v>
      </c>
      <c r="AC12">
        <v>10000</v>
      </c>
    </row>
    <row r="13" spans="1:35" x14ac:dyDescent="0.3">
      <c r="A13" s="43" t="s">
        <v>109</v>
      </c>
      <c r="B13" s="186">
        <f>18195*3</f>
        <v>54585</v>
      </c>
      <c r="C13" s="186"/>
      <c r="D13" s="248"/>
      <c r="E13" s="43" t="s">
        <v>455</v>
      </c>
      <c r="F13" s="73">
        <v>8000</v>
      </c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  <c r="V13" s="293" t="s">
        <v>562</v>
      </c>
      <c r="W13" s="293"/>
      <c r="AC13">
        <v>5000</v>
      </c>
      <c r="AI13">
        <f>SUM(AI9:AI10)</f>
        <v>702350</v>
      </c>
    </row>
    <row r="14" spans="1:35" ht="15" thickBot="1" x14ac:dyDescent="0.35">
      <c r="A14" s="43" t="s">
        <v>268</v>
      </c>
      <c r="B14" s="186">
        <f>H19</f>
        <v>10526</v>
      </c>
      <c r="C14" s="242">
        <v>10526</v>
      </c>
      <c r="D14" s="43"/>
      <c r="E14" s="43" t="s">
        <v>456</v>
      </c>
      <c r="F14" s="73">
        <v>1000</v>
      </c>
      <c r="I14" s="169" t="s">
        <v>447</v>
      </c>
      <c r="J14" s="209">
        <v>4</v>
      </c>
      <c r="K14" s="209">
        <v>507.02</v>
      </c>
      <c r="L14" s="210">
        <f t="shared" si="1"/>
        <v>2028.08</v>
      </c>
      <c r="N14" s="43"/>
      <c r="O14" s="43" t="s">
        <v>408</v>
      </c>
      <c r="P14" s="134">
        <v>10000</v>
      </c>
      <c r="V14" s="239"/>
      <c r="W14" s="43" t="s">
        <v>557</v>
      </c>
      <c r="X14" s="231">
        <v>323461</v>
      </c>
      <c r="Y14" s="231">
        <v>323461</v>
      </c>
      <c r="Z14" s="198">
        <v>45500</v>
      </c>
      <c r="AC14">
        <v>2000</v>
      </c>
      <c r="AH14" t="s">
        <v>538</v>
      </c>
      <c r="AI14">
        <v>639000</v>
      </c>
    </row>
    <row r="15" spans="1:35" x14ac:dyDescent="0.3">
      <c r="A15" s="43" t="s">
        <v>256</v>
      </c>
      <c r="B15" s="186">
        <v>13117</v>
      </c>
      <c r="C15" s="186"/>
      <c r="D15" s="43"/>
      <c r="E15" s="43" t="s">
        <v>457</v>
      </c>
      <c r="F15" s="73">
        <v>5074</v>
      </c>
      <c r="L15" s="193">
        <f>SUM(L4:L14)</f>
        <v>72210.990000000005</v>
      </c>
      <c r="N15" s="43"/>
      <c r="O15" s="43"/>
      <c r="P15" s="134">
        <f>SUM(P10:P14)</f>
        <v>815000</v>
      </c>
      <c r="V15" s="43"/>
      <c r="W15" s="43" t="s">
        <v>561</v>
      </c>
      <c r="X15" s="231">
        <v>8500</v>
      </c>
      <c r="Y15" s="231">
        <v>8500</v>
      </c>
      <c r="Z15" s="198">
        <v>45500</v>
      </c>
      <c r="AC15">
        <v>4000</v>
      </c>
      <c r="AI15">
        <f>AI13-AI14</f>
        <v>63350</v>
      </c>
    </row>
    <row r="16" spans="1:35" x14ac:dyDescent="0.3">
      <c r="A16" s="43"/>
      <c r="B16" s="186"/>
      <c r="C16" s="186"/>
      <c r="D16" s="186">
        <f>SUM(C13:C16)</f>
        <v>10526</v>
      </c>
      <c r="E16" s="43" t="s">
        <v>458</v>
      </c>
      <c r="F16" s="73">
        <v>113280</v>
      </c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  <c r="V16" s="43"/>
      <c r="W16" s="226" t="s">
        <v>535</v>
      </c>
      <c r="X16" s="243">
        <f>SUM(X14:X15)</f>
        <v>331961</v>
      </c>
      <c r="Y16" s="243">
        <f>SUM(Y14:Y15)</f>
        <v>331961</v>
      </c>
      <c r="AC16">
        <v>3000</v>
      </c>
    </row>
    <row r="17" spans="1:34" x14ac:dyDescent="0.3">
      <c r="A17" s="73"/>
      <c r="B17" s="186"/>
      <c r="C17" s="73"/>
      <c r="D17" s="202"/>
      <c r="E17" s="43" t="s">
        <v>459</v>
      </c>
      <c r="F17" s="73">
        <v>750</v>
      </c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34" ht="15" thickBot="1" x14ac:dyDescent="0.35">
      <c r="A18" s="123" t="s">
        <v>123</v>
      </c>
      <c r="B18" s="189">
        <v>2600</v>
      </c>
      <c r="C18" s="73"/>
      <c r="D18" s="202"/>
      <c r="E18" s="43" t="s">
        <v>463</v>
      </c>
      <c r="F18" s="73">
        <v>1000</v>
      </c>
      <c r="G18" s="167" t="s">
        <v>109</v>
      </c>
      <c r="H18" s="116">
        <v>18195</v>
      </c>
      <c r="I18" s="113" t="s">
        <v>522</v>
      </c>
      <c r="N18" s="43"/>
      <c r="O18" s="43"/>
      <c r="R18" t="s">
        <v>412</v>
      </c>
      <c r="S18" s="73">
        <v>93000</v>
      </c>
      <c r="AC18">
        <f>SUM(AC5:AC16)</f>
        <v>220418</v>
      </c>
    </row>
    <row r="19" spans="1:34" ht="15" thickBot="1" x14ac:dyDescent="0.35">
      <c r="A19" s="123" t="s">
        <v>81</v>
      </c>
      <c r="B19" s="189">
        <v>50000</v>
      </c>
      <c r="C19" s="186"/>
      <c r="D19" s="72"/>
      <c r="E19" s="43" t="s">
        <v>464</v>
      </c>
      <c r="F19" s="73">
        <v>700</v>
      </c>
      <c r="G19" s="181" t="s">
        <v>268</v>
      </c>
      <c r="H19" s="112">
        <v>10526</v>
      </c>
      <c r="I19" s="113" t="s">
        <v>522</v>
      </c>
      <c r="N19" s="43"/>
      <c r="O19" s="104" t="s">
        <v>410</v>
      </c>
      <c r="P19" s="177">
        <f>(P17-P16)</f>
        <v>-151000</v>
      </c>
      <c r="S19" s="73">
        <f>SUM(S17:S18)</f>
        <v>147000</v>
      </c>
      <c r="V19" s="295" t="s">
        <v>526</v>
      </c>
      <c r="W19" s="293"/>
    </row>
    <row r="20" spans="1:34" x14ac:dyDescent="0.3">
      <c r="A20" s="123"/>
      <c r="B20" s="189"/>
      <c r="C20" s="186"/>
      <c r="D20" s="72"/>
      <c r="E20" s="43"/>
      <c r="F20" s="73"/>
      <c r="G20" s="181"/>
      <c r="H20" s="112"/>
      <c r="I20" s="113"/>
      <c r="N20" s="43"/>
      <c r="O20" s="104"/>
      <c r="P20" s="30"/>
      <c r="S20" s="73"/>
      <c r="V20" s="43"/>
      <c r="W20" s="43" t="s">
        <v>539</v>
      </c>
      <c r="X20" s="223">
        <f>AB1-X4</f>
        <v>8200000</v>
      </c>
      <c r="Y20" s="233"/>
      <c r="AC20">
        <v>8300000</v>
      </c>
      <c r="AE20" t="s">
        <v>542</v>
      </c>
      <c r="AF20">
        <v>750000</v>
      </c>
    </row>
    <row r="21" spans="1:34" x14ac:dyDescent="0.3">
      <c r="A21" s="123"/>
      <c r="B21" s="189"/>
      <c r="C21" s="186"/>
      <c r="D21" s="43"/>
      <c r="E21" s="43" t="s">
        <v>465</v>
      </c>
      <c r="F21" s="73">
        <v>2000</v>
      </c>
      <c r="G21" s="80" t="s">
        <v>298</v>
      </c>
      <c r="H21" s="80">
        <v>5000</v>
      </c>
      <c r="I21" s="113">
        <v>44896</v>
      </c>
      <c r="N21" s="43"/>
      <c r="O21" s="43"/>
      <c r="P21" s="89"/>
      <c r="R21" t="s">
        <v>411</v>
      </c>
      <c r="S21" s="73">
        <v>90000</v>
      </c>
      <c r="V21" s="43"/>
      <c r="W21" s="43" t="s">
        <v>531</v>
      </c>
      <c r="X21" s="245">
        <v>1000000</v>
      </c>
      <c r="Y21" s="235"/>
      <c r="AB21" t="s">
        <v>540</v>
      </c>
      <c r="AC21">
        <v>100000</v>
      </c>
      <c r="AE21" t="s">
        <v>545</v>
      </c>
      <c r="AF21">
        <v>200000</v>
      </c>
    </row>
    <row r="22" spans="1:34" x14ac:dyDescent="0.3">
      <c r="A22" s="123" t="s">
        <v>475</v>
      </c>
      <c r="B22" s="189">
        <v>10000</v>
      </c>
      <c r="C22" s="73"/>
      <c r="D22" s="43" t="s">
        <v>511</v>
      </c>
      <c r="E22" s="43" t="s">
        <v>462</v>
      </c>
      <c r="F22" s="73">
        <v>5000</v>
      </c>
      <c r="G22" s="80" t="s">
        <v>256</v>
      </c>
      <c r="H22" s="80">
        <v>7600</v>
      </c>
      <c r="I22" s="113" t="s">
        <v>523</v>
      </c>
      <c r="K22" s="43" t="s">
        <v>479</v>
      </c>
      <c r="L22" s="43" t="s">
        <v>480</v>
      </c>
      <c r="S22" s="73">
        <f>(S19-S21)</f>
        <v>57000</v>
      </c>
      <c r="V22" s="43"/>
      <c r="W22" s="244" t="s">
        <v>560</v>
      </c>
      <c r="X22" s="231">
        <v>200000</v>
      </c>
      <c r="Y22" s="231">
        <v>200000</v>
      </c>
      <c r="Z22" s="198">
        <v>45502</v>
      </c>
      <c r="AC22">
        <f>AC20-AC21</f>
        <v>8200000</v>
      </c>
      <c r="AE22" t="s">
        <v>544</v>
      </c>
      <c r="AF22">
        <v>300000</v>
      </c>
    </row>
    <row r="23" spans="1:34" x14ac:dyDescent="0.3">
      <c r="A23" s="116" t="s">
        <v>203</v>
      </c>
      <c r="B23" s="190">
        <v>13000</v>
      </c>
      <c r="C23" s="186"/>
      <c r="D23" s="145"/>
      <c r="E23" s="43" t="s">
        <v>467</v>
      </c>
      <c r="F23" s="73">
        <v>6700</v>
      </c>
      <c r="G23" s="115" t="s">
        <v>431</v>
      </c>
      <c r="H23" s="116">
        <v>20481</v>
      </c>
      <c r="I23" s="113" t="s">
        <v>521</v>
      </c>
      <c r="K23" s="43"/>
      <c r="L23" s="43" t="s">
        <v>481</v>
      </c>
      <c r="R23" s="65"/>
      <c r="S23" s="73"/>
      <c r="V23" s="43"/>
      <c r="W23" s="104" t="s">
        <v>558</v>
      </c>
      <c r="X23" s="242">
        <v>400000</v>
      </c>
      <c r="Y23" s="242">
        <v>100000</v>
      </c>
      <c r="Z23" s="198">
        <v>45502</v>
      </c>
      <c r="AB23" t="s">
        <v>541</v>
      </c>
      <c r="AC23">
        <v>500000</v>
      </c>
      <c r="AD23" t="s">
        <v>543</v>
      </c>
      <c r="AF23">
        <f>SUM(AF21:AF22)</f>
        <v>500000</v>
      </c>
    </row>
    <row r="24" spans="1:34" x14ac:dyDescent="0.3">
      <c r="A24" s="115" t="s">
        <v>381</v>
      </c>
      <c r="B24" s="190">
        <v>23000</v>
      </c>
      <c r="C24" s="186"/>
      <c r="D24" s="43"/>
      <c r="E24" s="43" t="s">
        <v>468</v>
      </c>
      <c r="F24" s="73">
        <f>'September 23'!AO30</f>
        <v>0</v>
      </c>
      <c r="G24" s="115"/>
      <c r="H24" s="116"/>
      <c r="I24" s="113"/>
      <c r="K24" s="43"/>
      <c r="L24" s="43" t="s">
        <v>482</v>
      </c>
      <c r="R24" t="s">
        <v>142</v>
      </c>
      <c r="S24" s="73">
        <v>200000</v>
      </c>
      <c r="V24" s="43"/>
      <c r="W24" s="43" t="s">
        <v>571</v>
      </c>
      <c r="X24" s="231">
        <v>7500</v>
      </c>
      <c r="Y24" s="231">
        <v>7500</v>
      </c>
      <c r="AC24">
        <f>AC22-AC23</f>
        <v>7700000</v>
      </c>
      <c r="AF24">
        <f>AF23-AF20</f>
        <v>-250000</v>
      </c>
    </row>
    <row r="25" spans="1:34" x14ac:dyDescent="0.3">
      <c r="A25" s="64" t="s">
        <v>5</v>
      </c>
      <c r="B25" s="186">
        <f>SUM(B1:B16)</f>
        <v>262242</v>
      </c>
      <c r="C25" s="186">
        <f>SUM(C1:C17)</f>
        <v>168040</v>
      </c>
      <c r="D25" s="72"/>
      <c r="E25" s="43" t="s">
        <v>469</v>
      </c>
      <c r="F25" s="73">
        <v>51800</v>
      </c>
      <c r="G25" s="124"/>
      <c r="H25" s="118"/>
      <c r="I25" s="113"/>
      <c r="K25" s="43"/>
      <c r="L25" s="43" t="s">
        <v>483</v>
      </c>
      <c r="R25" t="s">
        <v>206</v>
      </c>
      <c r="S25" s="73">
        <f>(S22+S24)</f>
        <v>257000</v>
      </c>
      <c r="AB25" t="s">
        <v>546</v>
      </c>
      <c r="AC25">
        <v>8000000</v>
      </c>
    </row>
    <row r="26" spans="1:34" x14ac:dyDescent="0.3">
      <c r="A26" s="43"/>
      <c r="B26" s="186"/>
      <c r="C26" s="43"/>
      <c r="D26" s="72"/>
      <c r="E26" s="178" t="s">
        <v>470</v>
      </c>
      <c r="F26" s="179">
        <v>22000</v>
      </c>
      <c r="G26" s="43"/>
      <c r="H26" s="106"/>
      <c r="I26" s="114"/>
      <c r="K26" s="199"/>
      <c r="L26" s="43">
        <v>1270</v>
      </c>
      <c r="O26">
        <v>176000</v>
      </c>
      <c r="S26" s="73"/>
      <c r="V26" s="43"/>
      <c r="W26" s="226" t="s">
        <v>535</v>
      </c>
      <c r="X26" s="225">
        <f>SUM(X22:X24)</f>
        <v>607500</v>
      </c>
      <c r="Y26" s="225">
        <f>SUM(Y22:Y24)</f>
        <v>307500</v>
      </c>
    </row>
    <row r="27" spans="1:34" x14ac:dyDescent="0.3">
      <c r="A27" s="64" t="s">
        <v>228</v>
      </c>
      <c r="B27" s="186"/>
      <c r="C27" s="62">
        <f>(C25-B25)</f>
        <v>-94202</v>
      </c>
      <c r="D27" s="43" t="s">
        <v>227</v>
      </c>
      <c r="E27" s="43" t="s">
        <v>471</v>
      </c>
      <c r="F27" s="73">
        <v>11500</v>
      </c>
      <c r="K27" s="73" t="s">
        <v>485</v>
      </c>
      <c r="L27" s="43" t="s">
        <v>484</v>
      </c>
      <c r="O27">
        <v>152000</v>
      </c>
      <c r="R27" t="s">
        <v>413</v>
      </c>
      <c r="S27" s="73">
        <v>260000</v>
      </c>
      <c r="V27" s="43"/>
      <c r="W27" s="43" t="s">
        <v>5</v>
      </c>
      <c r="X27" s="224">
        <f>SUM(X10,X16,X26)</f>
        <v>1653040.8</v>
      </c>
      <c r="Y27" s="236"/>
    </row>
    <row r="28" spans="1:34" x14ac:dyDescent="0.3">
      <c r="A28" s="64"/>
      <c r="B28" s="186"/>
      <c r="C28" s="43"/>
      <c r="D28" s="43"/>
      <c r="E28" s="43" t="s">
        <v>472</v>
      </c>
      <c r="F28" s="73">
        <v>26000</v>
      </c>
      <c r="H28">
        <f>55000-110000</f>
        <v>-55000</v>
      </c>
      <c r="K28" s="43" t="s">
        <v>486</v>
      </c>
      <c r="L28" s="43">
        <v>1250</v>
      </c>
      <c r="O28">
        <f>O26-O27</f>
        <v>24000</v>
      </c>
      <c r="S28" s="30">
        <f>(S27-S25)</f>
        <v>3000</v>
      </c>
      <c r="AG28" t="s">
        <v>569</v>
      </c>
      <c r="AH28" t="s">
        <v>568</v>
      </c>
    </row>
    <row r="29" spans="1:34" x14ac:dyDescent="0.3">
      <c r="A29" s="64" t="s">
        <v>225</v>
      </c>
      <c r="B29" s="186"/>
      <c r="C29" s="62">
        <f>(F6+C27)</f>
        <v>-91088</v>
      </c>
      <c r="D29" s="43"/>
      <c r="E29" s="43" t="s">
        <v>476</v>
      </c>
      <c r="F29" s="186">
        <v>41600</v>
      </c>
      <c r="K29" s="43" t="s">
        <v>487</v>
      </c>
      <c r="L29" s="43">
        <v>91</v>
      </c>
      <c r="AE29">
        <v>619000</v>
      </c>
      <c r="AF29" s="247">
        <f>AG29/AE29</f>
        <v>2.4232633279483036E-3</v>
      </c>
      <c r="AG29">
        <f>AH29/12</f>
        <v>1500</v>
      </c>
      <c r="AH29">
        <v>18000</v>
      </c>
    </row>
    <row r="30" spans="1:34" x14ac:dyDescent="0.3">
      <c r="F30" s="73">
        <f>SUM(F10:F29)</f>
        <v>301557.86</v>
      </c>
      <c r="K30" s="43"/>
      <c r="L30" s="43">
        <f>L28*L29</f>
        <v>113750</v>
      </c>
      <c r="V30" s="293" t="s">
        <v>532</v>
      </c>
      <c r="W30" s="293"/>
      <c r="AE30">
        <v>100000</v>
      </c>
      <c r="AF30">
        <v>0.02</v>
      </c>
      <c r="AG30">
        <f>AE30*AF30</f>
        <v>2000</v>
      </c>
      <c r="AH30">
        <f>AG30*12</f>
        <v>24000</v>
      </c>
    </row>
    <row r="31" spans="1:34" x14ac:dyDescent="0.3">
      <c r="K31" s="43" t="s">
        <v>488</v>
      </c>
      <c r="L31" s="73">
        <v>99130</v>
      </c>
      <c r="V31" s="43"/>
      <c r="W31" s="43" t="s">
        <v>89</v>
      </c>
      <c r="X31" s="222">
        <v>8000000</v>
      </c>
      <c r="Y31" s="235"/>
      <c r="Z31" s="198">
        <v>45509</v>
      </c>
      <c r="AA31" t="s">
        <v>566</v>
      </c>
      <c r="AE31">
        <v>619000</v>
      </c>
      <c r="AF31">
        <v>2.4299999999999999E-3</v>
      </c>
      <c r="AG31">
        <f>AE31*AF31</f>
        <v>1504.1699999999998</v>
      </c>
      <c r="AH31">
        <f>AG31*12</f>
        <v>18050.039999999997</v>
      </c>
    </row>
    <row r="32" spans="1:34" x14ac:dyDescent="0.3">
      <c r="K32" s="43"/>
      <c r="L32" s="106">
        <f>L30+L31</f>
        <v>212880</v>
      </c>
      <c r="O32">
        <f>5000/40</f>
        <v>125</v>
      </c>
      <c r="V32" s="43"/>
      <c r="W32" s="43" t="s">
        <v>533</v>
      </c>
      <c r="X32" s="222">
        <v>578957</v>
      </c>
      <c r="Y32" s="235">
        <v>18500</v>
      </c>
      <c r="Z32" s="198">
        <v>45540</v>
      </c>
      <c r="AA32" t="s">
        <v>566</v>
      </c>
      <c r="AE32">
        <v>3500000</v>
      </c>
      <c r="AF32">
        <v>0.09</v>
      </c>
      <c r="AG32">
        <f>AE32*AF32</f>
        <v>315000</v>
      </c>
      <c r="AH32" s="246">
        <f>AG32*12</f>
        <v>3780000</v>
      </c>
    </row>
    <row r="33" spans="11:34" x14ac:dyDescent="0.3">
      <c r="K33" s="178" t="s">
        <v>490</v>
      </c>
      <c r="L33" s="91">
        <v>-109464</v>
      </c>
      <c r="O33">
        <v>23</v>
      </c>
      <c r="P33">
        <f>O32*O33</f>
        <v>2875</v>
      </c>
      <c r="V33" s="43"/>
      <c r="W33" s="43" t="s">
        <v>556</v>
      </c>
      <c r="X33" s="222">
        <v>300000</v>
      </c>
      <c r="Y33" s="235"/>
      <c r="AE33">
        <v>8000000</v>
      </c>
      <c r="AF33">
        <v>0.09</v>
      </c>
      <c r="AG33">
        <f>AE33*AF33</f>
        <v>720000</v>
      </c>
      <c r="AH33" s="246">
        <f>AG33*12</f>
        <v>8640000</v>
      </c>
    </row>
    <row r="34" spans="11:34" x14ac:dyDescent="0.3">
      <c r="K34" s="43" t="s">
        <v>488</v>
      </c>
      <c r="L34" s="200">
        <v>-25000</v>
      </c>
      <c r="P34">
        <v>2875</v>
      </c>
      <c r="V34" s="43"/>
      <c r="W34" s="43" t="s">
        <v>551</v>
      </c>
      <c r="X34" s="43"/>
    </row>
    <row r="35" spans="11:34" x14ac:dyDescent="0.3">
      <c r="K35" s="43" t="s">
        <v>143</v>
      </c>
      <c r="L35" s="73">
        <f>L32+L33+L34</f>
        <v>78416</v>
      </c>
      <c r="P35">
        <v>6000</v>
      </c>
      <c r="V35" s="43"/>
      <c r="W35" s="226" t="s">
        <v>535</v>
      </c>
      <c r="X35" s="227">
        <f>SUM(X31:X33)</f>
        <v>8878957</v>
      </c>
      <c r="Y35" s="237"/>
    </row>
    <row r="36" spans="11:34" x14ac:dyDescent="0.3">
      <c r="V36" s="43"/>
      <c r="W36" s="43" t="s">
        <v>534</v>
      </c>
      <c r="X36" s="228">
        <f>X27+X35</f>
        <v>10531997.800000001</v>
      </c>
      <c r="Y36" s="238"/>
    </row>
    <row r="37" spans="11:34" x14ac:dyDescent="0.3">
      <c r="X37" s="233"/>
      <c r="Y37" s="233"/>
    </row>
    <row r="39" spans="11:34" x14ac:dyDescent="0.3">
      <c r="V39" s="229" t="s">
        <v>551</v>
      </c>
      <c r="W39" s="229"/>
      <c r="X39" s="229"/>
      <c r="Y39" s="229"/>
      <c r="Z39" s="232" t="s">
        <v>26</v>
      </c>
      <c r="AA39" s="232" t="s">
        <v>214</v>
      </c>
    </row>
    <row r="40" spans="11:34" x14ac:dyDescent="0.3">
      <c r="V40" s="43"/>
      <c r="W40" s="43" t="s">
        <v>494</v>
      </c>
      <c r="X40" s="222">
        <v>165000</v>
      </c>
      <c r="Y40" s="222"/>
      <c r="Z40" s="222"/>
      <c r="AA40" s="223">
        <f t="shared" ref="AA40:AA47" si="2">X40-Z40</f>
        <v>165000</v>
      </c>
      <c r="AE40">
        <v>5661</v>
      </c>
      <c r="AF40">
        <v>58000</v>
      </c>
    </row>
    <row r="41" spans="11:34" x14ac:dyDescent="0.3">
      <c r="V41" s="221">
        <v>45497</v>
      </c>
      <c r="W41" s="43" t="s">
        <v>545</v>
      </c>
      <c r="X41" s="222">
        <v>250000</v>
      </c>
      <c r="Y41" s="222"/>
      <c r="Z41" s="222"/>
      <c r="AA41" s="223">
        <f t="shared" si="2"/>
        <v>250000</v>
      </c>
      <c r="AE41">
        <v>5702</v>
      </c>
      <c r="AF41">
        <v>57959</v>
      </c>
    </row>
    <row r="42" spans="11:34" x14ac:dyDescent="0.3">
      <c r="V42" s="221">
        <v>45497</v>
      </c>
      <c r="W42" s="43" t="s">
        <v>552</v>
      </c>
      <c r="X42" s="222">
        <v>100000</v>
      </c>
      <c r="Y42" s="222"/>
      <c r="Z42" s="222">
        <v>100000</v>
      </c>
      <c r="AA42" s="223">
        <f t="shared" si="2"/>
        <v>0</v>
      </c>
      <c r="AE42">
        <v>5743</v>
      </c>
      <c r="AF42">
        <v>57918</v>
      </c>
    </row>
    <row r="43" spans="11:34" x14ac:dyDescent="0.3">
      <c r="V43" s="221">
        <v>45498</v>
      </c>
      <c r="W43" s="43" t="s">
        <v>553</v>
      </c>
      <c r="X43" s="222">
        <v>50000</v>
      </c>
      <c r="Y43" s="222"/>
      <c r="Z43" s="222">
        <v>50000</v>
      </c>
      <c r="AA43" s="223">
        <f t="shared" si="2"/>
        <v>0</v>
      </c>
      <c r="AE43">
        <v>5785</v>
      </c>
      <c r="AF43">
        <v>57876</v>
      </c>
    </row>
    <row r="44" spans="11:34" x14ac:dyDescent="0.3">
      <c r="V44" s="221">
        <v>45500</v>
      </c>
      <c r="W44" s="43" t="s">
        <v>554</v>
      </c>
      <c r="X44" s="222">
        <v>120000</v>
      </c>
      <c r="Y44" s="222"/>
      <c r="Z44" s="222">
        <v>120000</v>
      </c>
      <c r="AA44" s="223">
        <f t="shared" si="2"/>
        <v>0</v>
      </c>
      <c r="AE44">
        <v>5827</v>
      </c>
      <c r="AF44">
        <v>57834</v>
      </c>
    </row>
    <row r="45" spans="11:34" x14ac:dyDescent="0.3">
      <c r="V45" s="221">
        <v>45500</v>
      </c>
      <c r="W45" s="43" t="s">
        <v>553</v>
      </c>
      <c r="X45" s="234">
        <v>240000</v>
      </c>
      <c r="Y45" s="234"/>
      <c r="Z45" s="222">
        <v>225000</v>
      </c>
      <c r="AA45" s="223">
        <f t="shared" si="2"/>
        <v>15000</v>
      </c>
      <c r="AE45">
        <v>5869</v>
      </c>
      <c r="AF45">
        <v>57792</v>
      </c>
    </row>
    <row r="46" spans="11:34" x14ac:dyDescent="0.3">
      <c r="V46" s="221">
        <v>45500</v>
      </c>
      <c r="W46" s="43" t="s">
        <v>555</v>
      </c>
      <c r="X46" s="222">
        <v>600000</v>
      </c>
      <c r="Y46" s="222"/>
      <c r="Z46" s="222">
        <v>400000</v>
      </c>
      <c r="AA46" s="223">
        <f>X46-Z46</f>
        <v>200000</v>
      </c>
      <c r="AE46">
        <v>5912</v>
      </c>
      <c r="AF46">
        <v>57749</v>
      </c>
    </row>
    <row r="47" spans="11:34" x14ac:dyDescent="0.3">
      <c r="V47" s="221">
        <v>45517</v>
      </c>
      <c r="W47" s="178" t="s">
        <v>554</v>
      </c>
      <c r="X47" s="249">
        <v>100000</v>
      </c>
      <c r="Y47" s="43"/>
      <c r="Z47" s="43"/>
      <c r="AA47" s="223">
        <f t="shared" si="2"/>
        <v>100000</v>
      </c>
      <c r="AE47">
        <v>5955</v>
      </c>
      <c r="AF47">
        <v>57706</v>
      </c>
    </row>
    <row r="48" spans="11:34" x14ac:dyDescent="0.3">
      <c r="V48" s="221">
        <v>45517</v>
      </c>
      <c r="W48" s="43" t="s">
        <v>555</v>
      </c>
      <c r="X48" s="234">
        <v>200000</v>
      </c>
      <c r="Y48" s="43"/>
      <c r="Z48" s="234">
        <v>100000</v>
      </c>
      <c r="AA48" s="223">
        <f>X48-Z48</f>
        <v>100000</v>
      </c>
    </row>
    <row r="49" spans="22:32" x14ac:dyDescent="0.3">
      <c r="V49" s="221">
        <v>45528</v>
      </c>
      <c r="W49" s="43" t="s">
        <v>545</v>
      </c>
      <c r="X49" s="234">
        <v>250000</v>
      </c>
      <c r="Y49" s="43"/>
      <c r="Z49" s="234">
        <v>17999</v>
      </c>
      <c r="AA49" s="223">
        <f>X49-Z49</f>
        <v>232001</v>
      </c>
      <c r="AE49" s="246">
        <f>SUM(AE40:AE47)</f>
        <v>46454</v>
      </c>
      <c r="AF49" s="246">
        <f>SUM(AF40:AF47)</f>
        <v>462834</v>
      </c>
    </row>
    <row r="50" spans="22:32" x14ac:dyDescent="0.3">
      <c r="V50" s="221">
        <v>45531</v>
      </c>
      <c r="W50" s="43" t="s">
        <v>545</v>
      </c>
      <c r="X50" s="222">
        <v>232001</v>
      </c>
      <c r="Y50" s="43"/>
      <c r="Z50" s="234">
        <v>30000</v>
      </c>
      <c r="AA50" s="223">
        <f>X50-Z50</f>
        <v>202001</v>
      </c>
    </row>
    <row r="52" spans="22:32" x14ac:dyDescent="0.3">
      <c r="X52" s="223">
        <f>SUM(X40:X45)</f>
        <v>925000</v>
      </c>
      <c r="Y52" s="223"/>
      <c r="Z52" s="223">
        <f>SUM(Z40:Z50)</f>
        <v>1042999</v>
      </c>
      <c r="AA52" s="223">
        <f>SUM(AA45,AA47,AA50)</f>
        <v>317001</v>
      </c>
    </row>
  </sheetData>
  <mergeCells count="8">
    <mergeCell ref="V19:W19"/>
    <mergeCell ref="V30:W30"/>
    <mergeCell ref="E1:F1"/>
    <mergeCell ref="I1:L1"/>
    <mergeCell ref="V3:W3"/>
    <mergeCell ref="J4:L4"/>
    <mergeCell ref="V5:V7"/>
    <mergeCell ref="V13:W13"/>
  </mergeCells>
  <pageMargins left="0.7" right="0.7" top="0.75" bottom="0.75" header="0.3" footer="0.3"/>
  <pageSetup paperSize="9"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48E60-BAE6-473E-80C7-881AF8C75D12}">
  <dimension ref="A1:AI52"/>
  <sheetViews>
    <sheetView workbookViewId="0">
      <selection activeCell="F14" sqref="F14"/>
    </sheetView>
  </sheetViews>
  <sheetFormatPr defaultRowHeight="14.4" x14ac:dyDescent="0.3"/>
  <cols>
    <col min="1" max="1" width="16.5546875" customWidth="1"/>
    <col min="2" max="2" width="9.6640625" style="250" bestFit="1" customWidth="1"/>
    <col min="3" max="3" width="11.44140625" bestFit="1" customWidth="1"/>
    <col min="4" max="4" width="14.44140625" bestFit="1" customWidth="1"/>
    <col min="5" max="5" width="16.88671875" bestFit="1" customWidth="1"/>
    <col min="6" max="6" width="10.6640625" bestFit="1" customWidth="1"/>
    <col min="7" max="7" width="17.44140625" bestFit="1" customWidth="1"/>
    <col min="8" max="8" width="8.44140625" bestFit="1" customWidth="1"/>
    <col min="9" max="9" width="14.6640625" bestFit="1" customWidth="1"/>
    <col min="10" max="10" width="4.109375" bestFit="1" customWidth="1"/>
    <col min="11" max="11" width="15.109375" bestFit="1" customWidth="1"/>
    <col min="12" max="12" width="8.88671875" bestFit="1" customWidth="1"/>
    <col min="13" max="14" width="7.44140625" bestFit="1" customWidth="1"/>
    <col min="15" max="15" width="13.5546875" bestFit="1" customWidth="1"/>
    <col min="16" max="16" width="9.109375" bestFit="1" customWidth="1"/>
    <col min="17" max="17" width="8.109375" bestFit="1" customWidth="1"/>
    <col min="18" max="18" width="12.33203125" bestFit="1" customWidth="1"/>
    <col min="19" max="19" width="9.109375" bestFit="1" customWidth="1"/>
    <col min="22" max="22" width="15" bestFit="1" customWidth="1"/>
    <col min="23" max="23" width="36.44140625" bestFit="1" customWidth="1"/>
    <col min="24" max="24" width="14.6640625" bestFit="1" customWidth="1"/>
    <col min="25" max="25" width="12.44140625" bestFit="1" customWidth="1"/>
    <col min="26" max="26" width="12.6640625" bestFit="1" customWidth="1"/>
    <col min="27" max="27" width="14.44140625" bestFit="1" customWidth="1"/>
    <col min="28" max="28" width="13" bestFit="1" customWidth="1"/>
    <col min="29" max="29" width="8.33203125" bestFit="1" customWidth="1"/>
    <col min="30" max="30" width="6.88671875" bestFit="1" customWidth="1"/>
    <col min="31" max="31" width="10.109375" bestFit="1" customWidth="1"/>
    <col min="32" max="32" width="11.6640625" bestFit="1" customWidth="1"/>
    <col min="33" max="33" width="8.33203125" bestFit="1" customWidth="1"/>
    <col min="34" max="34" width="12.6640625" bestFit="1" customWidth="1"/>
    <col min="35" max="35" width="7.33203125" bestFit="1" customWidth="1"/>
  </cols>
  <sheetData>
    <row r="1" spans="1:35" ht="15" thickBot="1" x14ac:dyDescent="0.35">
      <c r="A1" s="43" t="s">
        <v>6</v>
      </c>
      <c r="B1" s="186">
        <v>6000</v>
      </c>
      <c r="C1" s="186"/>
      <c r="D1" s="43" t="s">
        <v>450</v>
      </c>
      <c r="E1" s="264" t="s">
        <v>277</v>
      </c>
      <c r="F1" s="265"/>
      <c r="I1" s="279" t="s">
        <v>361</v>
      </c>
      <c r="J1" s="280"/>
      <c r="K1" s="280"/>
      <c r="L1" s="281"/>
      <c r="AA1" s="241" t="s">
        <v>563</v>
      </c>
      <c r="AB1" s="240">
        <v>8300000</v>
      </c>
    </row>
    <row r="2" spans="1:35" x14ac:dyDescent="0.3">
      <c r="A2" s="43" t="s">
        <v>0</v>
      </c>
      <c r="B2" s="186">
        <v>43000</v>
      </c>
      <c r="C2" s="186"/>
      <c r="D2" s="186" t="s">
        <v>579</v>
      </c>
      <c r="E2" s="43" t="s">
        <v>576</v>
      </c>
      <c r="F2" s="73">
        <v>2070</v>
      </c>
      <c r="I2" s="110" t="s">
        <v>365</v>
      </c>
      <c r="J2" s="159">
        <v>4</v>
      </c>
      <c r="K2" s="159">
        <v>2200</v>
      </c>
      <c r="L2" s="174">
        <f>(J2*K2)</f>
        <v>8800</v>
      </c>
      <c r="N2" s="73" t="s">
        <v>397</v>
      </c>
      <c r="O2" s="73">
        <f>(P3/40)</f>
        <v>53750</v>
      </c>
      <c r="P2" s="43"/>
    </row>
    <row r="3" spans="1:35" x14ac:dyDescent="0.3">
      <c r="A3" s="43" t="s">
        <v>575</v>
      </c>
      <c r="B3" s="186">
        <v>5000</v>
      </c>
      <c r="C3" s="186"/>
      <c r="D3" s="43"/>
      <c r="E3" s="43" t="s">
        <v>265</v>
      </c>
      <c r="F3" s="73">
        <v>18</v>
      </c>
      <c r="G3" s="73"/>
      <c r="H3" s="30"/>
      <c r="I3" s="110" t="s">
        <v>382</v>
      </c>
      <c r="J3" s="159">
        <v>10</v>
      </c>
      <c r="K3" s="159">
        <v>999</v>
      </c>
      <c r="L3" s="211">
        <f t="shared" ref="L3" si="0">(J3*K3)</f>
        <v>9990</v>
      </c>
      <c r="M3" s="192">
        <v>44621</v>
      </c>
      <c r="N3" s="43" t="s">
        <v>395</v>
      </c>
      <c r="O3" s="43" t="s">
        <v>396</v>
      </c>
      <c r="P3" s="73">
        <v>2150000</v>
      </c>
      <c r="R3" s="43" t="s">
        <v>399</v>
      </c>
      <c r="S3" s="73">
        <f>(23*O2)</f>
        <v>1236250</v>
      </c>
      <c r="V3" s="293" t="s">
        <v>525</v>
      </c>
      <c r="W3" s="293"/>
    </row>
    <row r="4" spans="1:35" x14ac:dyDescent="0.3">
      <c r="A4" s="43" t="s">
        <v>89</v>
      </c>
      <c r="B4" s="186">
        <v>33953</v>
      </c>
      <c r="C4" s="186"/>
      <c r="D4" s="43" t="s">
        <v>450</v>
      </c>
      <c r="E4" s="43" t="s">
        <v>204</v>
      </c>
      <c r="F4" s="73">
        <v>216</v>
      </c>
      <c r="G4" s="73"/>
      <c r="I4" s="110" t="s">
        <v>379</v>
      </c>
      <c r="J4" s="290" t="s">
        <v>473</v>
      </c>
      <c r="K4" s="291"/>
      <c r="L4" s="292"/>
      <c r="M4" s="192">
        <v>44682</v>
      </c>
      <c r="N4" s="43"/>
      <c r="O4" s="43"/>
      <c r="P4" s="73"/>
      <c r="R4" s="43"/>
      <c r="S4" s="73"/>
      <c r="V4" s="157"/>
      <c r="W4" s="157" t="s">
        <v>559</v>
      </c>
      <c r="X4" s="230">
        <v>100000</v>
      </c>
      <c r="Y4" s="230">
        <v>100000</v>
      </c>
      <c r="Z4" s="198">
        <v>45485</v>
      </c>
    </row>
    <row r="5" spans="1:35" ht="14.4" customHeight="1" x14ac:dyDescent="0.3">
      <c r="A5" s="43" t="s">
        <v>3</v>
      </c>
      <c r="B5" s="186">
        <v>2500</v>
      </c>
      <c r="C5" s="186"/>
      <c r="D5" s="43"/>
      <c r="E5" s="43" t="s">
        <v>205</v>
      </c>
      <c r="F5" s="73">
        <v>810</v>
      </c>
      <c r="I5" s="110" t="s">
        <v>19</v>
      </c>
      <c r="J5" s="159">
        <v>22</v>
      </c>
      <c r="K5" s="159">
        <v>1321.63</v>
      </c>
      <c r="L5" s="211">
        <f t="shared" ref="L5:L14" si="1">(J5*K5)</f>
        <v>29075.86</v>
      </c>
      <c r="N5" s="43"/>
      <c r="O5" s="43" t="s">
        <v>398</v>
      </c>
      <c r="P5" s="73">
        <v>40000</v>
      </c>
      <c r="R5" s="43" t="s">
        <v>398</v>
      </c>
      <c r="S5" s="73">
        <f>(S3*0.02)</f>
        <v>24725</v>
      </c>
      <c r="V5" s="294" t="s">
        <v>529</v>
      </c>
      <c r="W5" s="43" t="s">
        <v>550</v>
      </c>
      <c r="X5" s="231">
        <v>18000</v>
      </c>
      <c r="Y5" s="231">
        <v>18000</v>
      </c>
      <c r="Z5" s="198">
        <v>45492</v>
      </c>
      <c r="AC5">
        <v>34000</v>
      </c>
    </row>
    <row r="6" spans="1:35" x14ac:dyDescent="0.3">
      <c r="A6" s="43" t="s">
        <v>9</v>
      </c>
      <c r="B6" s="186">
        <v>588</v>
      </c>
      <c r="C6" s="186"/>
      <c r="D6" s="43"/>
      <c r="E6" s="43" t="s">
        <v>6</v>
      </c>
      <c r="F6" s="73">
        <f>SUM(F2:F5)</f>
        <v>3114</v>
      </c>
      <c r="I6" s="110" t="s">
        <v>362</v>
      </c>
      <c r="J6" s="159">
        <v>6</v>
      </c>
      <c r="K6" s="159">
        <v>1918.68</v>
      </c>
      <c r="L6" s="211">
        <f t="shared" si="1"/>
        <v>11512.08</v>
      </c>
      <c r="N6" s="43"/>
      <c r="O6" s="43" t="s">
        <v>400</v>
      </c>
      <c r="P6" s="73">
        <v>50000</v>
      </c>
      <c r="R6" s="43" t="s">
        <v>400</v>
      </c>
      <c r="S6" s="73">
        <v>30000</v>
      </c>
      <c r="V6" s="294"/>
      <c r="W6" s="43" t="s">
        <v>528</v>
      </c>
      <c r="X6" s="231">
        <v>41000</v>
      </c>
      <c r="Y6" s="231">
        <v>41000</v>
      </c>
      <c r="Z6" s="198">
        <v>45498</v>
      </c>
      <c r="AC6">
        <v>65000</v>
      </c>
    </row>
    <row r="7" spans="1:35" x14ac:dyDescent="0.3">
      <c r="A7" s="43" t="s">
        <v>107</v>
      </c>
      <c r="B7" s="186">
        <v>619</v>
      </c>
      <c r="C7" s="186"/>
      <c r="D7" s="43"/>
      <c r="E7" s="43" t="s">
        <v>429</v>
      </c>
      <c r="F7" s="44">
        <f>B20</f>
        <v>251716</v>
      </c>
      <c r="I7" s="110" t="s">
        <v>363</v>
      </c>
      <c r="J7" s="159">
        <v>5</v>
      </c>
      <c r="K7" s="159">
        <v>1049.19</v>
      </c>
      <c r="L7" s="211">
        <f t="shared" si="1"/>
        <v>5245.9500000000007</v>
      </c>
      <c r="M7" s="192">
        <v>45108</v>
      </c>
      <c r="N7" s="43"/>
      <c r="O7" s="43"/>
      <c r="P7" s="73"/>
      <c r="R7" s="43"/>
      <c r="S7" s="73"/>
      <c r="V7" s="294"/>
      <c r="W7" s="43" t="s">
        <v>530</v>
      </c>
      <c r="X7" s="231">
        <v>7000</v>
      </c>
      <c r="Y7" s="231">
        <v>7000</v>
      </c>
      <c r="Z7" s="198">
        <v>45498</v>
      </c>
      <c r="AC7">
        <v>11418</v>
      </c>
    </row>
    <row r="8" spans="1:35" x14ac:dyDescent="0.3">
      <c r="A8" s="43" t="s">
        <v>174</v>
      </c>
      <c r="B8" s="186">
        <v>5000</v>
      </c>
      <c r="C8" s="186"/>
      <c r="D8" s="43"/>
      <c r="E8" s="43"/>
      <c r="F8" s="43"/>
      <c r="I8" s="110" t="s">
        <v>364</v>
      </c>
      <c r="J8" s="159">
        <v>11</v>
      </c>
      <c r="K8" s="159">
        <v>470.99</v>
      </c>
      <c r="L8" s="211">
        <f t="shared" si="1"/>
        <v>5180.8900000000003</v>
      </c>
      <c r="M8" s="192">
        <v>45108</v>
      </c>
      <c r="N8" s="43"/>
      <c r="O8" s="43"/>
      <c r="P8" s="108">
        <f>SUM(P3:P6)</f>
        <v>2240000</v>
      </c>
      <c r="R8" s="43"/>
      <c r="S8" s="73">
        <f>SUM(S3:S6)</f>
        <v>1290975</v>
      </c>
      <c r="V8" s="43"/>
      <c r="W8" s="43" t="s">
        <v>527</v>
      </c>
      <c r="X8" s="231">
        <v>547579.80000000005</v>
      </c>
      <c r="Y8" s="231">
        <v>547579.80000000005</v>
      </c>
      <c r="Z8" s="198">
        <v>45498</v>
      </c>
      <c r="AC8">
        <v>25000</v>
      </c>
      <c r="AE8">
        <f>133000+80000</f>
        <v>213000</v>
      </c>
    </row>
    <row r="9" spans="1:35" x14ac:dyDescent="0.3">
      <c r="A9" s="43" t="s">
        <v>564</v>
      </c>
      <c r="B9" s="186">
        <v>66800</v>
      </c>
      <c r="C9" s="186"/>
      <c r="D9" s="43" t="s">
        <v>449</v>
      </c>
      <c r="E9" s="43"/>
      <c r="F9" s="43"/>
      <c r="I9" s="110" t="s">
        <v>377</v>
      </c>
      <c r="J9" s="159">
        <v>4</v>
      </c>
      <c r="K9" s="159">
        <v>1376.72</v>
      </c>
      <c r="L9" s="211">
        <f t="shared" si="1"/>
        <v>5506.88</v>
      </c>
      <c r="N9" s="43"/>
      <c r="O9" s="43"/>
      <c r="P9" s="73"/>
      <c r="R9" s="43"/>
      <c r="S9" s="73"/>
      <c r="AC9">
        <v>6000</v>
      </c>
      <c r="AE9">
        <f>AE8-AC18</f>
        <v>-7418</v>
      </c>
      <c r="AH9" t="s">
        <v>536</v>
      </c>
      <c r="AI9">
        <v>485000</v>
      </c>
    </row>
    <row r="10" spans="1:35" x14ac:dyDescent="0.3">
      <c r="A10" s="43" t="s">
        <v>285</v>
      </c>
      <c r="B10" s="186">
        <v>2500</v>
      </c>
      <c r="C10" s="186"/>
      <c r="D10" s="85"/>
      <c r="E10" s="43"/>
      <c r="F10" s="73"/>
      <c r="I10" s="110" t="s">
        <v>387</v>
      </c>
      <c r="J10" s="159">
        <v>5</v>
      </c>
      <c r="K10" s="159">
        <v>936.51</v>
      </c>
      <c r="L10" s="211">
        <f t="shared" si="1"/>
        <v>4682.55</v>
      </c>
      <c r="M10" s="192">
        <v>45108</v>
      </c>
      <c r="N10" s="43"/>
      <c r="O10" s="43" t="s">
        <v>339</v>
      </c>
      <c r="P10" s="134">
        <v>500000</v>
      </c>
      <c r="S10" s="30"/>
      <c r="W10" s="226" t="s">
        <v>535</v>
      </c>
      <c r="X10" s="243">
        <f>SUM(X4:X8)</f>
        <v>713579.8</v>
      </c>
      <c r="Y10" s="243">
        <f>SUM(Y4:Y8)</f>
        <v>713579.8</v>
      </c>
      <c r="AC10">
        <v>50000</v>
      </c>
      <c r="AH10" t="s">
        <v>537</v>
      </c>
      <c r="AI10">
        <f>2*108675</f>
        <v>217350</v>
      </c>
    </row>
    <row r="11" spans="1:35" x14ac:dyDescent="0.3">
      <c r="A11" s="43" t="s">
        <v>414</v>
      </c>
      <c r="B11" s="186">
        <v>18054</v>
      </c>
      <c r="C11" s="186"/>
      <c r="D11" s="221" t="s">
        <v>449</v>
      </c>
      <c r="E11" s="43"/>
      <c r="F11" s="73"/>
      <c r="I11" s="110" t="s">
        <v>380</v>
      </c>
      <c r="J11" s="159">
        <v>5</v>
      </c>
      <c r="K11" s="159">
        <v>959.34</v>
      </c>
      <c r="L11" s="211">
        <f t="shared" si="1"/>
        <v>4796.7</v>
      </c>
      <c r="N11" s="43"/>
      <c r="O11" s="43" t="s">
        <v>401</v>
      </c>
      <c r="P11" s="73">
        <v>250000</v>
      </c>
      <c r="Q11" s="30">
        <v>240975</v>
      </c>
      <c r="S11" s="30"/>
      <c r="AC11">
        <v>5000</v>
      </c>
    </row>
    <row r="12" spans="1:35" x14ac:dyDescent="0.3">
      <c r="A12" s="43" t="s">
        <v>109</v>
      </c>
      <c r="B12" s="186">
        <f>18195*3</f>
        <v>54585</v>
      </c>
      <c r="C12" s="186"/>
      <c r="D12" s="248"/>
      <c r="E12" s="43"/>
      <c r="F12" s="73"/>
      <c r="I12" s="110" t="s">
        <v>385</v>
      </c>
      <c r="J12" s="159">
        <v>50</v>
      </c>
      <c r="K12" s="159">
        <v>43.35</v>
      </c>
      <c r="L12" s="211">
        <f t="shared" si="1"/>
        <v>2167.5</v>
      </c>
      <c r="N12" s="43"/>
      <c r="O12" s="43" t="s">
        <v>6</v>
      </c>
      <c r="P12" s="134">
        <v>50000</v>
      </c>
      <c r="AC12">
        <v>10000</v>
      </c>
    </row>
    <row r="13" spans="1:35" x14ac:dyDescent="0.3">
      <c r="A13" s="43" t="s">
        <v>256</v>
      </c>
      <c r="B13" s="186">
        <v>13117</v>
      </c>
      <c r="C13" s="234"/>
      <c r="D13" s="43"/>
      <c r="E13" s="43"/>
      <c r="F13" s="73"/>
      <c r="I13" s="110" t="s">
        <v>438</v>
      </c>
      <c r="J13" s="157">
        <v>102</v>
      </c>
      <c r="K13" s="157">
        <v>19.75</v>
      </c>
      <c r="L13" s="194">
        <f t="shared" si="1"/>
        <v>2014.5</v>
      </c>
      <c r="N13" s="43"/>
      <c r="O13" s="43" t="s">
        <v>407</v>
      </c>
      <c r="P13" s="134">
        <v>5000</v>
      </c>
      <c r="V13" s="293" t="s">
        <v>562</v>
      </c>
      <c r="W13" s="293"/>
      <c r="AC13">
        <v>5000</v>
      </c>
      <c r="AI13">
        <f>SUM(AI9:AI10)</f>
        <v>702350</v>
      </c>
    </row>
    <row r="14" spans="1:35" ht="15" thickBot="1" x14ac:dyDescent="0.35">
      <c r="A14" s="73"/>
      <c r="B14" s="186"/>
      <c r="C14" s="73"/>
      <c r="D14" s="202"/>
      <c r="E14" s="43"/>
      <c r="F14" s="73"/>
      <c r="I14" s="169" t="s">
        <v>447</v>
      </c>
      <c r="J14" s="209">
        <v>4</v>
      </c>
      <c r="K14" s="209">
        <v>507.02</v>
      </c>
      <c r="L14" s="210">
        <f t="shared" si="1"/>
        <v>2028.08</v>
      </c>
      <c r="N14" s="43"/>
      <c r="O14" s="43" t="s">
        <v>408</v>
      </c>
      <c r="P14" s="134">
        <v>10000</v>
      </c>
      <c r="V14" s="239"/>
      <c r="W14" s="43" t="s">
        <v>557</v>
      </c>
      <c r="X14" s="231">
        <v>323461</v>
      </c>
      <c r="Y14" s="231">
        <v>323461</v>
      </c>
      <c r="Z14" s="198">
        <v>45500</v>
      </c>
      <c r="AC14">
        <v>2000</v>
      </c>
      <c r="AH14" t="s">
        <v>538</v>
      </c>
      <c r="AI14">
        <v>639000</v>
      </c>
    </row>
    <row r="15" spans="1:35" x14ac:dyDescent="0.3">
      <c r="A15" s="123" t="s">
        <v>123</v>
      </c>
      <c r="B15" s="189">
        <v>2600</v>
      </c>
      <c r="C15" s="73"/>
      <c r="D15" s="202"/>
      <c r="E15" s="43"/>
      <c r="F15" s="73"/>
      <c r="L15" s="193">
        <f>SUM(L4:L14)</f>
        <v>72210.990000000005</v>
      </c>
      <c r="N15" s="43"/>
      <c r="O15" s="43"/>
      <c r="P15" s="134">
        <f>SUM(P10:P14)</f>
        <v>815000</v>
      </c>
      <c r="V15" s="43"/>
      <c r="W15" s="43" t="s">
        <v>561</v>
      </c>
      <c r="X15" s="231">
        <v>8500</v>
      </c>
      <c r="Y15" s="231">
        <v>8500</v>
      </c>
      <c r="Z15" s="198">
        <v>45500</v>
      </c>
      <c r="AC15">
        <v>4000</v>
      </c>
      <c r="AI15">
        <f>AI13-AI14</f>
        <v>63350</v>
      </c>
    </row>
    <row r="16" spans="1:35" x14ac:dyDescent="0.3">
      <c r="A16" s="123" t="s">
        <v>81</v>
      </c>
      <c r="B16" s="189">
        <v>50000</v>
      </c>
      <c r="C16" s="186"/>
      <c r="D16" s="72"/>
      <c r="E16" s="43"/>
      <c r="F16" s="73"/>
      <c r="G16" s="167" t="s">
        <v>273</v>
      </c>
      <c r="H16" s="116">
        <v>150000</v>
      </c>
      <c r="I16" s="180">
        <v>44986</v>
      </c>
      <c r="N16" s="43"/>
      <c r="O16" s="43"/>
      <c r="P16" s="73">
        <f>(P8-P15)</f>
        <v>1425000</v>
      </c>
      <c r="V16" s="43"/>
      <c r="W16" s="226" t="s">
        <v>535</v>
      </c>
      <c r="X16" s="243">
        <f>SUM(X14:X15)</f>
        <v>331961</v>
      </c>
      <c r="Y16" s="243">
        <f>SUM(Y14:Y15)</f>
        <v>331961</v>
      </c>
      <c r="AC16">
        <v>3000</v>
      </c>
    </row>
    <row r="17" spans="1:34" x14ac:dyDescent="0.3">
      <c r="A17" s="123" t="s">
        <v>475</v>
      </c>
      <c r="B17" s="189">
        <v>10000</v>
      </c>
      <c r="C17" s="73"/>
      <c r="D17" s="43" t="s">
        <v>511</v>
      </c>
      <c r="E17" s="43"/>
      <c r="F17" s="73"/>
      <c r="G17" s="167" t="s">
        <v>306</v>
      </c>
      <c r="H17" s="116">
        <v>150000</v>
      </c>
      <c r="I17" s="113">
        <v>44986</v>
      </c>
      <c r="N17" s="43"/>
      <c r="O17" s="43" t="s">
        <v>409</v>
      </c>
      <c r="P17" s="73">
        <v>1274000</v>
      </c>
      <c r="R17" t="s">
        <v>400</v>
      </c>
      <c r="S17" s="73">
        <v>54000</v>
      </c>
    </row>
    <row r="18" spans="1:34" ht="15" thickBot="1" x14ac:dyDescent="0.35">
      <c r="A18" s="116" t="s">
        <v>203</v>
      </c>
      <c r="B18" s="190">
        <v>13000</v>
      </c>
      <c r="C18" s="186"/>
      <c r="D18" s="145"/>
      <c r="E18" s="43"/>
      <c r="F18" s="73"/>
      <c r="G18" s="167" t="s">
        <v>109</v>
      </c>
      <c r="H18" s="116">
        <v>18195</v>
      </c>
      <c r="I18" s="113" t="s">
        <v>522</v>
      </c>
      <c r="N18" s="43"/>
      <c r="O18" s="43"/>
      <c r="R18" t="s">
        <v>412</v>
      </c>
      <c r="S18" s="73">
        <v>93000</v>
      </c>
      <c r="AC18">
        <f>SUM(AC5:AC16)</f>
        <v>220418</v>
      </c>
    </row>
    <row r="19" spans="1:34" ht="15" thickBot="1" x14ac:dyDescent="0.35">
      <c r="A19" s="115" t="s">
        <v>381</v>
      </c>
      <c r="B19" s="190">
        <v>23000</v>
      </c>
      <c r="C19" s="186"/>
      <c r="D19" s="43"/>
      <c r="E19" s="43"/>
      <c r="F19" s="73"/>
      <c r="G19" s="181" t="s">
        <v>268</v>
      </c>
      <c r="H19" s="112">
        <v>10526</v>
      </c>
      <c r="I19" s="113" t="s">
        <v>522</v>
      </c>
      <c r="N19" s="43"/>
      <c r="O19" s="104" t="s">
        <v>410</v>
      </c>
      <c r="P19" s="177">
        <f>(P17-P16)</f>
        <v>-151000</v>
      </c>
      <c r="S19" s="73">
        <f>SUM(S17:S18)</f>
        <v>147000</v>
      </c>
      <c r="V19" s="295" t="s">
        <v>526</v>
      </c>
      <c r="W19" s="293"/>
    </row>
    <row r="20" spans="1:34" x14ac:dyDescent="0.3">
      <c r="A20" s="64" t="s">
        <v>5</v>
      </c>
      <c r="B20" s="186">
        <f>SUM(B1:B13)</f>
        <v>251716</v>
      </c>
      <c r="C20" s="186">
        <f>SUM(C1:C14)</f>
        <v>0</v>
      </c>
      <c r="D20" s="72"/>
      <c r="E20" s="43"/>
      <c r="F20" s="73"/>
      <c r="G20" s="181"/>
      <c r="H20" s="112"/>
      <c r="I20" s="113"/>
      <c r="N20" s="43"/>
      <c r="O20" s="104"/>
      <c r="P20" s="30"/>
      <c r="S20" s="73"/>
      <c r="V20" s="43"/>
      <c r="W20" s="43" t="s">
        <v>539</v>
      </c>
      <c r="X20" s="223">
        <f>AB1-X4</f>
        <v>8200000</v>
      </c>
      <c r="Y20" s="233"/>
      <c r="AC20">
        <v>8300000</v>
      </c>
      <c r="AE20" t="s">
        <v>542</v>
      </c>
      <c r="AF20">
        <v>750000</v>
      </c>
    </row>
    <row r="21" spans="1:34" x14ac:dyDescent="0.3">
      <c r="A21" s="43"/>
      <c r="B21" s="186"/>
      <c r="C21" s="43"/>
      <c r="D21" s="72"/>
      <c r="E21" s="43"/>
      <c r="F21" s="73"/>
      <c r="G21" s="80" t="s">
        <v>298</v>
      </c>
      <c r="H21" s="80">
        <v>5000</v>
      </c>
      <c r="I21" s="113">
        <v>44896</v>
      </c>
      <c r="N21" s="43"/>
      <c r="O21" s="43"/>
      <c r="P21" s="89"/>
      <c r="R21" t="s">
        <v>411</v>
      </c>
      <c r="S21" s="73">
        <v>90000</v>
      </c>
      <c r="V21" s="43"/>
      <c r="W21" s="43" t="s">
        <v>531</v>
      </c>
      <c r="X21" s="245">
        <v>1000000</v>
      </c>
      <c r="Y21" s="235"/>
      <c r="AB21" t="s">
        <v>540</v>
      </c>
      <c r="AC21">
        <v>100000</v>
      </c>
      <c r="AE21" t="s">
        <v>545</v>
      </c>
      <c r="AF21">
        <v>200000</v>
      </c>
    </row>
    <row r="22" spans="1:34" x14ac:dyDescent="0.3">
      <c r="A22" s="64" t="s">
        <v>228</v>
      </c>
      <c r="B22" s="186"/>
      <c r="C22" s="62">
        <f>(C20-B20)</f>
        <v>-251716</v>
      </c>
      <c r="D22" s="43" t="s">
        <v>227</v>
      </c>
      <c r="E22" s="43"/>
      <c r="F22" s="73"/>
      <c r="G22" s="80" t="s">
        <v>256</v>
      </c>
      <c r="H22" s="80">
        <v>7600</v>
      </c>
      <c r="I22" s="113" t="s">
        <v>523</v>
      </c>
      <c r="K22" s="43" t="s">
        <v>479</v>
      </c>
      <c r="L22" s="43" t="s">
        <v>480</v>
      </c>
      <c r="S22" s="73">
        <f>(S19-S21)</f>
        <v>57000</v>
      </c>
      <c r="V22" s="43"/>
      <c r="W22" s="244" t="s">
        <v>560</v>
      </c>
      <c r="X22" s="231">
        <v>200000</v>
      </c>
      <c r="Y22" s="231">
        <v>200000</v>
      </c>
      <c r="Z22" s="198">
        <v>45502</v>
      </c>
      <c r="AC22">
        <f>AC20-AC21</f>
        <v>8200000</v>
      </c>
      <c r="AE22" t="s">
        <v>544</v>
      </c>
      <c r="AF22">
        <v>300000</v>
      </c>
    </row>
    <row r="23" spans="1:34" x14ac:dyDescent="0.3">
      <c r="A23" s="64"/>
      <c r="B23" s="186"/>
      <c r="C23" s="43"/>
      <c r="D23" s="43"/>
      <c r="E23" s="43"/>
      <c r="F23" s="73"/>
      <c r="G23" s="115" t="s">
        <v>431</v>
      </c>
      <c r="H23" s="116">
        <v>20481</v>
      </c>
      <c r="I23" s="113" t="s">
        <v>521</v>
      </c>
      <c r="K23" s="43"/>
      <c r="L23" s="43" t="s">
        <v>481</v>
      </c>
      <c r="R23" s="65"/>
      <c r="S23" s="73"/>
      <c r="V23" s="43"/>
      <c r="W23" s="104" t="s">
        <v>558</v>
      </c>
      <c r="X23" s="242">
        <v>400000</v>
      </c>
      <c r="Y23" s="242">
        <v>100000</v>
      </c>
      <c r="Z23" s="198">
        <v>45502</v>
      </c>
      <c r="AB23" t="s">
        <v>541</v>
      </c>
      <c r="AC23">
        <v>500000</v>
      </c>
      <c r="AD23" t="s">
        <v>543</v>
      </c>
      <c r="AF23">
        <f>SUM(AF21:AF22)</f>
        <v>500000</v>
      </c>
    </row>
    <row r="24" spans="1:34" x14ac:dyDescent="0.3">
      <c r="A24" s="64" t="s">
        <v>225</v>
      </c>
      <c r="B24" s="186"/>
      <c r="C24" s="62">
        <f>(F6+C22)</f>
        <v>-248602</v>
      </c>
      <c r="D24" s="43"/>
      <c r="E24" s="43"/>
      <c r="F24" s="73"/>
      <c r="G24" s="115"/>
      <c r="H24" s="116"/>
      <c r="I24" s="113"/>
      <c r="K24" s="43"/>
      <c r="L24" s="43" t="s">
        <v>482</v>
      </c>
      <c r="R24" t="s">
        <v>142</v>
      </c>
      <c r="S24" s="73">
        <v>200000</v>
      </c>
      <c r="V24" s="43"/>
      <c r="W24" s="43" t="s">
        <v>571</v>
      </c>
      <c r="X24" s="231">
        <v>7500</v>
      </c>
      <c r="Y24" s="231">
        <v>7500</v>
      </c>
      <c r="AC24">
        <f>AC22-AC23</f>
        <v>7700000</v>
      </c>
      <c r="AF24">
        <f>AF23-AF20</f>
        <v>-250000</v>
      </c>
    </row>
    <row r="25" spans="1:34" x14ac:dyDescent="0.3">
      <c r="E25" s="250"/>
      <c r="F25" s="250"/>
      <c r="G25" s="124"/>
      <c r="H25" s="118"/>
      <c r="I25" s="113"/>
      <c r="K25" s="43"/>
      <c r="L25" s="43" t="s">
        <v>483</v>
      </c>
      <c r="R25" t="s">
        <v>206</v>
      </c>
      <c r="S25" s="73">
        <f>(S22+S24)</f>
        <v>257000</v>
      </c>
      <c r="AB25" t="s">
        <v>546</v>
      </c>
      <c r="AC25">
        <v>8000000</v>
      </c>
    </row>
    <row r="26" spans="1:34" x14ac:dyDescent="0.3">
      <c r="E26" s="250"/>
      <c r="F26" s="250"/>
      <c r="G26" s="43"/>
      <c r="H26" s="106"/>
      <c r="I26" s="114"/>
      <c r="K26" s="199"/>
      <c r="L26" s="43">
        <v>1270</v>
      </c>
      <c r="O26">
        <v>176000</v>
      </c>
      <c r="S26" s="73"/>
      <c r="V26" s="43"/>
      <c r="W26" s="226" t="s">
        <v>535</v>
      </c>
      <c r="X26" s="225">
        <f>SUM(X22:X24)</f>
        <v>607500</v>
      </c>
      <c r="Y26" s="225">
        <f>SUM(Y22:Y24)</f>
        <v>307500</v>
      </c>
    </row>
    <row r="27" spans="1:34" x14ac:dyDescent="0.3">
      <c r="E27" s="250"/>
      <c r="F27" s="250"/>
      <c r="K27" s="73" t="s">
        <v>485</v>
      </c>
      <c r="L27" s="43" t="s">
        <v>484</v>
      </c>
      <c r="O27">
        <v>152000</v>
      </c>
      <c r="R27" t="s">
        <v>413</v>
      </c>
      <c r="S27" s="73">
        <v>260000</v>
      </c>
      <c r="V27" s="43"/>
      <c r="W27" s="43" t="s">
        <v>5</v>
      </c>
      <c r="X27" s="224">
        <f>SUM(X10,X16,X26)</f>
        <v>1653040.8</v>
      </c>
      <c r="Y27" s="236"/>
    </row>
    <row r="28" spans="1:34" x14ac:dyDescent="0.3">
      <c r="E28" s="250"/>
      <c r="F28" s="250"/>
      <c r="H28">
        <f>55000-110000</f>
        <v>-55000</v>
      </c>
      <c r="K28" s="43" t="s">
        <v>486</v>
      </c>
      <c r="L28" s="43">
        <v>1250</v>
      </c>
      <c r="O28">
        <f>O26-O27</f>
        <v>24000</v>
      </c>
      <c r="S28" s="30">
        <f>(S27-S25)</f>
        <v>3000</v>
      </c>
      <c r="AG28" t="s">
        <v>569</v>
      </c>
      <c r="AH28" t="s">
        <v>568</v>
      </c>
    </row>
    <row r="29" spans="1:34" x14ac:dyDescent="0.3">
      <c r="E29" s="250"/>
      <c r="F29" s="250"/>
      <c r="K29" s="43" t="s">
        <v>487</v>
      </c>
      <c r="L29" s="43">
        <v>91</v>
      </c>
      <c r="AE29">
        <v>619000</v>
      </c>
      <c r="AF29" s="247">
        <f>AG29/AE29</f>
        <v>2.4232633279483036E-3</v>
      </c>
      <c r="AG29">
        <f>AH29/12</f>
        <v>1500</v>
      </c>
      <c r="AH29">
        <v>18000</v>
      </c>
    </row>
    <row r="30" spans="1:34" x14ac:dyDescent="0.3">
      <c r="E30" s="250"/>
      <c r="F30" s="250"/>
      <c r="K30" s="43"/>
      <c r="L30" s="43">
        <f>L28*L29</f>
        <v>113750</v>
      </c>
      <c r="V30" s="293" t="s">
        <v>532</v>
      </c>
      <c r="W30" s="293"/>
      <c r="AE30">
        <v>100000</v>
      </c>
      <c r="AF30">
        <v>0.02</v>
      </c>
      <c r="AG30">
        <f>AE30*AF30</f>
        <v>2000</v>
      </c>
      <c r="AH30">
        <f>AG30*12</f>
        <v>24000</v>
      </c>
    </row>
    <row r="31" spans="1:34" x14ac:dyDescent="0.3">
      <c r="E31" s="250"/>
      <c r="F31" s="250"/>
      <c r="K31" s="43" t="s">
        <v>488</v>
      </c>
      <c r="L31" s="73">
        <v>99130</v>
      </c>
      <c r="V31" s="43"/>
      <c r="W31" s="43" t="s">
        <v>89</v>
      </c>
      <c r="X31" s="222">
        <v>8000000</v>
      </c>
      <c r="Y31" s="235"/>
      <c r="Z31" s="198">
        <v>45509</v>
      </c>
      <c r="AA31" t="s">
        <v>566</v>
      </c>
      <c r="AE31">
        <v>619000</v>
      </c>
      <c r="AF31">
        <v>2.4299999999999999E-3</v>
      </c>
      <c r="AG31">
        <f>AE31*AF31</f>
        <v>1504.1699999999998</v>
      </c>
      <c r="AH31">
        <f>AG31*12</f>
        <v>18050.039999999997</v>
      </c>
    </row>
    <row r="32" spans="1:34" x14ac:dyDescent="0.3">
      <c r="E32" s="250"/>
      <c r="F32" s="250"/>
      <c r="K32" s="43"/>
      <c r="L32" s="106">
        <f>L30+L31</f>
        <v>212880</v>
      </c>
      <c r="O32">
        <f>5000/40</f>
        <v>125</v>
      </c>
      <c r="V32" s="43"/>
      <c r="W32" s="43" t="s">
        <v>533</v>
      </c>
      <c r="X32" s="222">
        <v>578957</v>
      </c>
      <c r="Y32" s="235">
        <v>18500</v>
      </c>
      <c r="Z32" s="198">
        <v>45540</v>
      </c>
      <c r="AA32" t="s">
        <v>566</v>
      </c>
      <c r="AE32">
        <v>3500000</v>
      </c>
      <c r="AF32">
        <v>0.09</v>
      </c>
      <c r="AG32">
        <f>AE32*AF32</f>
        <v>315000</v>
      </c>
      <c r="AH32" s="246">
        <f>AG32*12</f>
        <v>3780000</v>
      </c>
    </row>
    <row r="33" spans="5:34" x14ac:dyDescent="0.3">
      <c r="E33" s="250"/>
      <c r="F33" s="250"/>
      <c r="K33" s="178" t="s">
        <v>490</v>
      </c>
      <c r="L33" s="91">
        <v>-109464</v>
      </c>
      <c r="O33">
        <v>23</v>
      </c>
      <c r="P33">
        <f>O32*O33</f>
        <v>2875</v>
      </c>
      <c r="V33" s="43"/>
      <c r="W33" s="43" t="s">
        <v>556</v>
      </c>
      <c r="X33" s="222">
        <v>300000</v>
      </c>
      <c r="Y33" s="235"/>
      <c r="AE33">
        <v>8000000</v>
      </c>
      <c r="AF33">
        <v>0.09</v>
      </c>
      <c r="AG33">
        <f>AE33*AF33</f>
        <v>720000</v>
      </c>
      <c r="AH33" s="246">
        <f>AG33*12</f>
        <v>8640000</v>
      </c>
    </row>
    <row r="34" spans="5:34" x14ac:dyDescent="0.3">
      <c r="K34" s="43" t="s">
        <v>488</v>
      </c>
      <c r="L34" s="200">
        <v>-25000</v>
      </c>
      <c r="P34">
        <v>2875</v>
      </c>
      <c r="V34" s="43"/>
      <c r="W34" s="43" t="s">
        <v>551</v>
      </c>
      <c r="X34" s="43"/>
    </row>
    <row r="35" spans="5:34" x14ac:dyDescent="0.3">
      <c r="K35" s="43" t="s">
        <v>143</v>
      </c>
      <c r="L35" s="73">
        <f>L32+L33+L34</f>
        <v>78416</v>
      </c>
      <c r="P35">
        <v>6000</v>
      </c>
      <c r="V35" s="43"/>
      <c r="W35" s="226" t="s">
        <v>535</v>
      </c>
      <c r="X35" s="227">
        <f>SUM(X31:X33)</f>
        <v>8878957</v>
      </c>
      <c r="Y35" s="237"/>
    </row>
    <row r="36" spans="5:34" x14ac:dyDescent="0.3">
      <c r="V36" s="43"/>
      <c r="W36" s="43" t="s">
        <v>534</v>
      </c>
      <c r="X36" s="228">
        <f>X27+X35</f>
        <v>10531997.800000001</v>
      </c>
      <c r="Y36" s="238"/>
    </row>
    <row r="37" spans="5:34" x14ac:dyDescent="0.3">
      <c r="X37" s="233"/>
      <c r="Y37" s="233"/>
    </row>
    <row r="39" spans="5:34" x14ac:dyDescent="0.3">
      <c r="V39" s="229" t="s">
        <v>551</v>
      </c>
      <c r="W39" s="229"/>
      <c r="X39" s="229"/>
      <c r="Y39" s="229"/>
      <c r="Z39" s="232" t="s">
        <v>26</v>
      </c>
      <c r="AA39" s="232" t="s">
        <v>214</v>
      </c>
    </row>
    <row r="40" spans="5:34" x14ac:dyDescent="0.3">
      <c r="V40" s="43"/>
      <c r="W40" s="43" t="s">
        <v>494</v>
      </c>
      <c r="X40" s="222">
        <v>165000</v>
      </c>
      <c r="Y40" s="222"/>
      <c r="Z40" s="222"/>
      <c r="AA40" s="223">
        <f t="shared" ref="AA40:AA47" si="2">X40-Z40</f>
        <v>165000</v>
      </c>
      <c r="AE40">
        <v>5661</v>
      </c>
      <c r="AF40">
        <v>58000</v>
      </c>
    </row>
    <row r="41" spans="5:34" x14ac:dyDescent="0.3">
      <c r="V41" s="221">
        <v>45497</v>
      </c>
      <c r="W41" s="43" t="s">
        <v>545</v>
      </c>
      <c r="X41" s="222">
        <v>250000</v>
      </c>
      <c r="Y41" s="222"/>
      <c r="Z41" s="222"/>
      <c r="AA41" s="223">
        <f t="shared" si="2"/>
        <v>250000</v>
      </c>
      <c r="AE41">
        <v>5702</v>
      </c>
      <c r="AF41">
        <v>57959</v>
      </c>
    </row>
    <row r="42" spans="5:34" x14ac:dyDescent="0.3">
      <c r="V42" s="221">
        <v>45497</v>
      </c>
      <c r="W42" s="43" t="s">
        <v>552</v>
      </c>
      <c r="X42" s="222">
        <v>100000</v>
      </c>
      <c r="Y42" s="222"/>
      <c r="Z42" s="222">
        <v>100000</v>
      </c>
      <c r="AA42" s="223">
        <f t="shared" si="2"/>
        <v>0</v>
      </c>
      <c r="AE42">
        <v>5743</v>
      </c>
      <c r="AF42">
        <v>57918</v>
      </c>
    </row>
    <row r="43" spans="5:34" x14ac:dyDescent="0.3">
      <c r="V43" s="221">
        <v>45498</v>
      </c>
      <c r="W43" s="43" t="s">
        <v>553</v>
      </c>
      <c r="X43" s="222">
        <v>50000</v>
      </c>
      <c r="Y43" s="222"/>
      <c r="Z43" s="222">
        <v>50000</v>
      </c>
      <c r="AA43" s="223">
        <f t="shared" si="2"/>
        <v>0</v>
      </c>
      <c r="AE43">
        <v>5785</v>
      </c>
      <c r="AF43">
        <v>57876</v>
      </c>
    </row>
    <row r="44" spans="5:34" x14ac:dyDescent="0.3">
      <c r="V44" s="221">
        <v>45500</v>
      </c>
      <c r="W44" s="43" t="s">
        <v>554</v>
      </c>
      <c r="X44" s="222">
        <v>120000</v>
      </c>
      <c r="Y44" s="222"/>
      <c r="Z44" s="222">
        <v>120000</v>
      </c>
      <c r="AA44" s="223">
        <f t="shared" si="2"/>
        <v>0</v>
      </c>
      <c r="AE44">
        <v>5827</v>
      </c>
      <c r="AF44">
        <v>57834</v>
      </c>
    </row>
    <row r="45" spans="5:34" x14ac:dyDescent="0.3">
      <c r="V45" s="221">
        <v>45500</v>
      </c>
      <c r="W45" s="43" t="s">
        <v>553</v>
      </c>
      <c r="X45" s="234">
        <v>240000</v>
      </c>
      <c r="Y45" s="234"/>
      <c r="Z45" s="222">
        <v>225000</v>
      </c>
      <c r="AA45" s="223">
        <f t="shared" si="2"/>
        <v>15000</v>
      </c>
      <c r="AE45">
        <v>5869</v>
      </c>
      <c r="AF45">
        <v>57792</v>
      </c>
    </row>
    <row r="46" spans="5:34" x14ac:dyDescent="0.3">
      <c r="V46" s="221">
        <v>45500</v>
      </c>
      <c r="W46" s="43" t="s">
        <v>555</v>
      </c>
      <c r="X46" s="222">
        <v>600000</v>
      </c>
      <c r="Y46" s="222"/>
      <c r="Z46" s="222">
        <v>400000</v>
      </c>
      <c r="AA46" s="223">
        <f>X46-Z46</f>
        <v>200000</v>
      </c>
      <c r="AE46">
        <v>5912</v>
      </c>
      <c r="AF46">
        <v>57749</v>
      </c>
    </row>
    <row r="47" spans="5:34" x14ac:dyDescent="0.3">
      <c r="V47" s="221">
        <v>45517</v>
      </c>
      <c r="W47" s="178" t="s">
        <v>554</v>
      </c>
      <c r="X47" s="249">
        <v>100000</v>
      </c>
      <c r="Y47" s="43"/>
      <c r="Z47" s="43"/>
      <c r="AA47" s="223">
        <f t="shared" si="2"/>
        <v>100000</v>
      </c>
      <c r="AE47">
        <v>5955</v>
      </c>
      <c r="AF47">
        <v>57706</v>
      </c>
    </row>
    <row r="48" spans="5:34" x14ac:dyDescent="0.3">
      <c r="V48" s="221">
        <v>45517</v>
      </c>
      <c r="W48" s="43" t="s">
        <v>555</v>
      </c>
      <c r="X48" s="234">
        <v>200000</v>
      </c>
      <c r="Y48" s="43"/>
      <c r="Z48" s="234">
        <v>100000</v>
      </c>
      <c r="AA48" s="223">
        <f>X48-Z48</f>
        <v>100000</v>
      </c>
    </row>
    <row r="49" spans="22:32" x14ac:dyDescent="0.3">
      <c r="V49" s="221">
        <v>45528</v>
      </c>
      <c r="W49" s="43" t="s">
        <v>545</v>
      </c>
      <c r="X49" s="234">
        <v>250000</v>
      </c>
      <c r="Y49" s="43"/>
      <c r="Z49" s="234">
        <v>17999</v>
      </c>
      <c r="AA49" s="223">
        <f>X49-Z49</f>
        <v>232001</v>
      </c>
      <c r="AE49" s="246">
        <f>SUM(AE40:AE47)</f>
        <v>46454</v>
      </c>
      <c r="AF49" s="246">
        <f>SUM(AF40:AF47)</f>
        <v>462834</v>
      </c>
    </row>
    <row r="50" spans="22:32" x14ac:dyDescent="0.3">
      <c r="V50" s="221">
        <v>45531</v>
      </c>
      <c r="W50" s="43" t="s">
        <v>545</v>
      </c>
      <c r="X50" s="222">
        <v>232001</v>
      </c>
      <c r="Y50" s="43"/>
      <c r="Z50" s="234">
        <v>30000</v>
      </c>
      <c r="AA50" s="223">
        <f>X50-Z50</f>
        <v>202001</v>
      </c>
    </row>
    <row r="52" spans="22:32" x14ac:dyDescent="0.3">
      <c r="X52" s="223">
        <f>SUM(X40:X45)</f>
        <v>925000</v>
      </c>
      <c r="Y52" s="223"/>
      <c r="Z52" s="223">
        <f>SUM(Z40:Z50)</f>
        <v>1042999</v>
      </c>
      <c r="AA52" s="223">
        <f>SUM(AA45,AA47,AA50)</f>
        <v>317001</v>
      </c>
    </row>
  </sheetData>
  <mergeCells count="8">
    <mergeCell ref="V19:W19"/>
    <mergeCell ref="V30:W30"/>
    <mergeCell ref="E1:F1"/>
    <mergeCell ref="I1:L1"/>
    <mergeCell ref="V3:W3"/>
    <mergeCell ref="J4:L4"/>
    <mergeCell ref="V5:V7"/>
    <mergeCell ref="V13:W1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4"/>
  <sheetViews>
    <sheetView zoomScaleNormal="100" zoomScaleSheetLayoutView="100" workbookViewId="0">
      <selection activeCell="G27" sqref="G27"/>
    </sheetView>
  </sheetViews>
  <sheetFormatPr defaultRowHeight="14.4" x14ac:dyDescent="0.3"/>
  <cols>
    <col min="1" max="1" width="23.44140625" bestFit="1" customWidth="1"/>
    <col min="2" max="2" width="10.6640625" bestFit="1" customWidth="1"/>
    <col min="3" max="3" width="11.33203125" bestFit="1" customWidth="1"/>
    <col min="4" max="4" width="14.109375" bestFit="1" customWidth="1"/>
    <col min="5" max="5" width="9.6640625" bestFit="1" customWidth="1"/>
    <col min="7" max="7" width="12.88671875" bestFit="1" customWidth="1"/>
    <col min="8" max="8" width="5.6640625" bestFit="1" customWidth="1"/>
  </cols>
  <sheetData>
    <row r="1" spans="1:8" x14ac:dyDescent="0.3">
      <c r="A1" s="2" t="s">
        <v>6</v>
      </c>
      <c r="B1" s="4">
        <v>21000</v>
      </c>
      <c r="C1" s="2">
        <v>21000</v>
      </c>
    </row>
    <row r="2" spans="1:8" x14ac:dyDescent="0.3">
      <c r="A2" s="2" t="s">
        <v>0</v>
      </c>
      <c r="B2" s="5">
        <v>3079.88</v>
      </c>
      <c r="C2" s="2">
        <v>3079.88</v>
      </c>
      <c r="D2">
        <v>4907.43</v>
      </c>
    </row>
    <row r="3" spans="1:8" x14ac:dyDescent="0.3">
      <c r="A3" s="2" t="s">
        <v>1</v>
      </c>
      <c r="B3" s="4">
        <v>10000</v>
      </c>
      <c r="C3" s="2">
        <v>10000</v>
      </c>
      <c r="G3" s="2" t="s">
        <v>74</v>
      </c>
      <c r="H3" s="2">
        <v>650</v>
      </c>
    </row>
    <row r="4" spans="1:8" x14ac:dyDescent="0.3">
      <c r="A4" s="2" t="s">
        <v>2</v>
      </c>
      <c r="B4" s="4">
        <v>16500</v>
      </c>
      <c r="C4" s="2">
        <v>16500</v>
      </c>
      <c r="G4" s="2" t="s">
        <v>75</v>
      </c>
      <c r="H4" s="2">
        <v>1780</v>
      </c>
    </row>
    <row r="5" spans="1:8" x14ac:dyDescent="0.3">
      <c r="A5" s="2" t="s">
        <v>89</v>
      </c>
      <c r="B5" s="13">
        <v>29706</v>
      </c>
      <c r="C5" s="14">
        <v>29706</v>
      </c>
      <c r="G5" s="17" t="s">
        <v>77</v>
      </c>
      <c r="H5" s="17">
        <v>1090</v>
      </c>
    </row>
    <row r="6" spans="1:8" x14ac:dyDescent="0.3">
      <c r="A6" s="2" t="s">
        <v>3</v>
      </c>
      <c r="B6" s="4">
        <v>750</v>
      </c>
      <c r="C6" s="2">
        <v>750</v>
      </c>
      <c r="G6" s="2" t="s">
        <v>78</v>
      </c>
      <c r="H6" s="2">
        <v>400</v>
      </c>
    </row>
    <row r="7" spans="1:8" x14ac:dyDescent="0.3">
      <c r="A7" s="2" t="s">
        <v>9</v>
      </c>
      <c r="B7" s="4">
        <v>537</v>
      </c>
      <c r="C7" s="2">
        <v>537</v>
      </c>
    </row>
    <row r="8" spans="1:8" x14ac:dyDescent="0.3">
      <c r="A8" s="2" t="s">
        <v>15</v>
      </c>
      <c r="B8" s="4">
        <v>7500</v>
      </c>
      <c r="C8" s="2">
        <v>7500</v>
      </c>
    </row>
    <row r="9" spans="1:8" x14ac:dyDescent="0.3">
      <c r="A9" s="2" t="s">
        <v>70</v>
      </c>
      <c r="B9" s="4">
        <v>2209</v>
      </c>
      <c r="C9" s="2">
        <v>2209</v>
      </c>
      <c r="D9" t="s">
        <v>71</v>
      </c>
      <c r="G9" s="2" t="s">
        <v>5</v>
      </c>
      <c r="H9" s="2">
        <f>SUM(H3:H6)</f>
        <v>3920</v>
      </c>
    </row>
    <row r="10" spans="1:8" x14ac:dyDescent="0.3">
      <c r="A10" s="2" t="s">
        <v>72</v>
      </c>
      <c r="B10" s="2">
        <v>20000</v>
      </c>
      <c r="C10" s="2"/>
      <c r="D10" t="s">
        <v>73</v>
      </c>
    </row>
    <row r="11" spans="1:8" x14ac:dyDescent="0.3">
      <c r="A11" s="2" t="s">
        <v>43</v>
      </c>
      <c r="B11" s="4">
        <v>2807.25</v>
      </c>
      <c r="C11" s="2">
        <v>2807.25</v>
      </c>
    </row>
    <row r="12" spans="1:8" x14ac:dyDescent="0.3">
      <c r="A12" s="2" t="s">
        <v>76</v>
      </c>
      <c r="B12" s="4">
        <v>3920</v>
      </c>
      <c r="C12" s="2">
        <v>3920</v>
      </c>
    </row>
    <row r="13" spans="1:8" x14ac:dyDescent="0.3">
      <c r="A13" s="2" t="s">
        <v>80</v>
      </c>
      <c r="B13" s="4">
        <v>6600</v>
      </c>
      <c r="C13" s="2">
        <v>6600</v>
      </c>
    </row>
    <row r="14" spans="1:8" x14ac:dyDescent="0.3">
      <c r="A14" s="2" t="s">
        <v>81</v>
      </c>
      <c r="B14" s="4">
        <v>50000</v>
      </c>
      <c r="C14" s="2">
        <v>50000</v>
      </c>
    </row>
    <row r="15" spans="1:8" x14ac:dyDescent="0.3">
      <c r="A15" s="2" t="s">
        <v>82</v>
      </c>
      <c r="B15" s="4">
        <v>6000</v>
      </c>
      <c r="C15" s="2">
        <v>6000</v>
      </c>
    </row>
    <row r="16" spans="1:8" x14ac:dyDescent="0.3">
      <c r="A16" s="2" t="s">
        <v>83</v>
      </c>
      <c r="B16" s="4">
        <v>4787</v>
      </c>
      <c r="C16" s="2">
        <v>4787</v>
      </c>
    </row>
    <row r="17" spans="1:9" x14ac:dyDescent="0.3">
      <c r="A17" s="2" t="s">
        <v>84</v>
      </c>
      <c r="B17" s="4">
        <v>94800</v>
      </c>
      <c r="C17" s="2">
        <v>94800</v>
      </c>
    </row>
    <row r="18" spans="1:9" x14ac:dyDescent="0.3">
      <c r="A18" s="2" t="s">
        <v>85</v>
      </c>
      <c r="B18" s="4">
        <v>2000</v>
      </c>
      <c r="C18" s="2">
        <v>2000</v>
      </c>
    </row>
    <row r="19" spans="1:9" x14ac:dyDescent="0.3">
      <c r="A19" s="2"/>
      <c r="B19" s="2"/>
      <c r="C19" s="2"/>
    </row>
    <row r="20" spans="1:9" x14ac:dyDescent="0.3">
      <c r="A20" s="18" t="s">
        <v>5</v>
      </c>
      <c r="B20" s="28">
        <f>SUM(B1:B19)</f>
        <v>282196.13</v>
      </c>
      <c r="C20" s="18">
        <f>SUM(C1:C19)</f>
        <v>262196.13</v>
      </c>
    </row>
    <row r="21" spans="1:9" x14ac:dyDescent="0.3">
      <c r="B21" s="10"/>
    </row>
    <row r="22" spans="1:9" x14ac:dyDescent="0.3">
      <c r="A22" t="s">
        <v>29</v>
      </c>
      <c r="B22" s="10"/>
      <c r="C22" s="11">
        <f>(C20-B20)</f>
        <v>-20000</v>
      </c>
      <c r="D22" s="11">
        <f>SUM(C22,E29)</f>
        <v>75814.31</v>
      </c>
    </row>
    <row r="23" spans="1:9" x14ac:dyDescent="0.3">
      <c r="B23" s="10"/>
    </row>
    <row r="24" spans="1:9" x14ac:dyDescent="0.3">
      <c r="D24" s="8" t="s">
        <v>16</v>
      </c>
      <c r="E24" s="2">
        <v>10000</v>
      </c>
      <c r="F24" s="2"/>
      <c r="G24" s="2"/>
      <c r="H24" s="1" t="s">
        <v>22</v>
      </c>
      <c r="I24" s="1" t="s">
        <v>23</v>
      </c>
    </row>
    <row r="25" spans="1:9" x14ac:dyDescent="0.3">
      <c r="D25" s="8" t="s">
        <v>18</v>
      </c>
      <c r="E25" s="2">
        <v>6.04</v>
      </c>
      <c r="F25" s="2"/>
      <c r="G25" s="254" t="s">
        <v>21</v>
      </c>
      <c r="H25" s="2">
        <v>13.15</v>
      </c>
      <c r="I25" s="2"/>
    </row>
    <row r="26" spans="1:9" x14ac:dyDescent="0.3">
      <c r="D26" s="8" t="s">
        <v>19</v>
      </c>
      <c r="E26" s="2">
        <v>95808.27</v>
      </c>
      <c r="F26" s="2"/>
      <c r="G26" s="254"/>
      <c r="H26" s="2">
        <v>0</v>
      </c>
      <c r="I26" s="2"/>
    </row>
    <row r="27" spans="1:9" x14ac:dyDescent="0.3">
      <c r="D27" s="8" t="s">
        <v>20</v>
      </c>
      <c r="E27" s="2">
        <v>163.98</v>
      </c>
      <c r="F27" s="2"/>
      <c r="G27" s="8" t="s">
        <v>25</v>
      </c>
      <c r="H27" s="2">
        <v>32.840000000000003</v>
      </c>
      <c r="I27" s="2"/>
    </row>
    <row r="28" spans="1:9" x14ac:dyDescent="0.3">
      <c r="A28" t="s">
        <v>79</v>
      </c>
      <c r="B28">
        <v>10000</v>
      </c>
      <c r="D28" s="8"/>
      <c r="E28" s="2"/>
      <c r="F28" s="2"/>
      <c r="G28" s="8" t="s">
        <v>24</v>
      </c>
      <c r="H28" s="2"/>
      <c r="I28" s="2">
        <v>9.14</v>
      </c>
    </row>
    <row r="29" spans="1:9" x14ac:dyDescent="0.3">
      <c r="A29" t="s">
        <v>40</v>
      </c>
      <c r="B29">
        <v>450</v>
      </c>
      <c r="C29" t="s">
        <v>22</v>
      </c>
      <c r="D29" s="8" t="s">
        <v>10</v>
      </c>
      <c r="E29" s="2">
        <f>SUM(E25:E26)</f>
        <v>95814.31</v>
      </c>
      <c r="F29" s="2"/>
      <c r="G29" s="8" t="s">
        <v>10</v>
      </c>
      <c r="H29" s="2">
        <f>SUM(H25:H27)</f>
        <v>45.99</v>
      </c>
      <c r="I29" s="2">
        <f>(H29*I28)</f>
        <v>420.34860000000003</v>
      </c>
    </row>
    <row r="33" spans="4:7" ht="57.6" x14ac:dyDescent="0.3">
      <c r="D33" s="8" t="s">
        <v>28</v>
      </c>
      <c r="E33" s="2">
        <v>21000</v>
      </c>
      <c r="F33" s="2"/>
      <c r="G33" s="12" t="s">
        <v>44</v>
      </c>
    </row>
    <row r="34" spans="4:7" ht="57.6" x14ac:dyDescent="0.3">
      <c r="D34" s="8" t="s">
        <v>30</v>
      </c>
      <c r="E34" s="2">
        <v>7500</v>
      </c>
      <c r="F34" s="2"/>
      <c r="G34" s="12" t="s">
        <v>31</v>
      </c>
    </row>
  </sheetData>
  <mergeCells count="1">
    <mergeCell ref="G25:G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5"/>
  <sheetViews>
    <sheetView topLeftCell="A8" zoomScaleNormal="100" zoomScaleSheetLayoutView="100" workbookViewId="0">
      <selection activeCell="G27" sqref="G27"/>
    </sheetView>
  </sheetViews>
  <sheetFormatPr defaultRowHeight="14.4" x14ac:dyDescent="0.3"/>
  <cols>
    <col min="1" max="1" width="27.44140625" bestFit="1" customWidth="1"/>
    <col min="2" max="2" width="10.6640625" bestFit="1" customWidth="1"/>
    <col min="3" max="3" width="11.33203125" bestFit="1" customWidth="1"/>
    <col min="4" max="4" width="15.109375" bestFit="1" customWidth="1"/>
    <col min="5" max="5" width="8.6640625" bestFit="1" customWidth="1"/>
    <col min="7" max="7" width="12.88671875" bestFit="1" customWidth="1"/>
  </cols>
  <sheetData>
    <row r="1" spans="1:4" x14ac:dyDescent="0.3">
      <c r="A1" s="2" t="s">
        <v>6</v>
      </c>
      <c r="B1" s="4">
        <v>21000</v>
      </c>
      <c r="C1" s="17">
        <v>21000</v>
      </c>
    </row>
    <row r="2" spans="1:4" x14ac:dyDescent="0.3">
      <c r="A2" s="2" t="s">
        <v>0</v>
      </c>
      <c r="B2" s="23">
        <v>5098.43</v>
      </c>
      <c r="C2" s="2">
        <v>5098.43</v>
      </c>
      <c r="D2">
        <v>4907.43</v>
      </c>
    </row>
    <row r="3" spans="1:4" x14ac:dyDescent="0.3">
      <c r="A3" s="2" t="s">
        <v>1</v>
      </c>
      <c r="B3" s="4">
        <v>10000</v>
      </c>
      <c r="C3" s="18">
        <v>10000</v>
      </c>
    </row>
    <row r="4" spans="1:4" x14ac:dyDescent="0.3">
      <c r="A4" s="2" t="s">
        <v>2</v>
      </c>
      <c r="B4" s="4">
        <v>16500</v>
      </c>
      <c r="C4" s="2">
        <v>16500</v>
      </c>
    </row>
    <row r="5" spans="1:4" x14ac:dyDescent="0.3">
      <c r="A5" s="2" t="s">
        <v>89</v>
      </c>
      <c r="B5" s="13">
        <v>29706</v>
      </c>
      <c r="C5" s="29">
        <v>29706</v>
      </c>
    </row>
    <row r="6" spans="1:4" x14ac:dyDescent="0.3">
      <c r="A6" s="2" t="s">
        <v>3</v>
      </c>
      <c r="B6" s="4">
        <v>1500</v>
      </c>
      <c r="C6" s="2">
        <v>1500</v>
      </c>
      <c r="D6" t="s">
        <v>91</v>
      </c>
    </row>
    <row r="7" spans="1:4" x14ac:dyDescent="0.3">
      <c r="A7" s="2" t="s">
        <v>9</v>
      </c>
      <c r="B7" s="4">
        <v>684</v>
      </c>
      <c r="C7" s="2">
        <v>684</v>
      </c>
    </row>
    <row r="8" spans="1:4" x14ac:dyDescent="0.3">
      <c r="A8" s="2" t="s">
        <v>15</v>
      </c>
      <c r="B8" s="7">
        <v>7500</v>
      </c>
      <c r="C8" s="2"/>
    </row>
    <row r="9" spans="1:4" x14ac:dyDescent="0.3">
      <c r="A9" s="2" t="s">
        <v>70</v>
      </c>
      <c r="B9" s="4">
        <v>2209</v>
      </c>
      <c r="C9" s="2">
        <v>2209</v>
      </c>
      <c r="D9" t="s">
        <v>86</v>
      </c>
    </row>
    <row r="10" spans="1:4" x14ac:dyDescent="0.3">
      <c r="A10" s="2" t="s">
        <v>72</v>
      </c>
      <c r="B10" s="7">
        <v>23000</v>
      </c>
      <c r="C10" s="2"/>
      <c r="D10" t="s">
        <v>87</v>
      </c>
    </row>
    <row r="11" spans="1:4" x14ac:dyDescent="0.3">
      <c r="A11" s="2" t="s">
        <v>43</v>
      </c>
      <c r="B11" s="4">
        <v>2844.24</v>
      </c>
      <c r="C11" s="2">
        <v>2844.24</v>
      </c>
    </row>
    <row r="12" spans="1:4" x14ac:dyDescent="0.3">
      <c r="A12" s="2" t="s">
        <v>88</v>
      </c>
      <c r="B12" s="4">
        <v>2500</v>
      </c>
      <c r="C12" s="2">
        <v>2500</v>
      </c>
    </row>
    <row r="13" spans="1:4" x14ac:dyDescent="0.3">
      <c r="A13" s="2" t="s">
        <v>90</v>
      </c>
      <c r="B13" s="4">
        <v>3600</v>
      </c>
      <c r="C13" s="2">
        <v>3600</v>
      </c>
    </row>
    <row r="14" spans="1:4" x14ac:dyDescent="0.3">
      <c r="A14" s="2" t="s">
        <v>92</v>
      </c>
      <c r="B14" s="4">
        <v>6200</v>
      </c>
      <c r="C14" s="2">
        <v>6200</v>
      </c>
    </row>
    <row r="15" spans="1:4" x14ac:dyDescent="0.3">
      <c r="A15" s="2" t="s">
        <v>48</v>
      </c>
      <c r="B15" s="4">
        <v>769</v>
      </c>
      <c r="C15" s="2">
        <v>769</v>
      </c>
    </row>
    <row r="16" spans="1:4" x14ac:dyDescent="0.3">
      <c r="A16" s="2" t="s">
        <v>93</v>
      </c>
      <c r="B16" s="4">
        <v>1500</v>
      </c>
      <c r="C16" s="2">
        <v>1500</v>
      </c>
    </row>
    <row r="17" spans="1:9" x14ac:dyDescent="0.3">
      <c r="A17" s="2" t="s">
        <v>94</v>
      </c>
      <c r="B17" s="4">
        <v>3413</v>
      </c>
      <c r="C17" s="2">
        <v>3413</v>
      </c>
    </row>
    <row r="18" spans="1:9" x14ac:dyDescent="0.3">
      <c r="A18" s="2" t="s">
        <v>95</v>
      </c>
      <c r="B18" s="4">
        <v>1248.18</v>
      </c>
      <c r="C18" s="2">
        <v>1248.18</v>
      </c>
    </row>
    <row r="19" spans="1:9" x14ac:dyDescent="0.3">
      <c r="A19" s="2" t="s">
        <v>95</v>
      </c>
      <c r="B19" s="4">
        <v>369.97</v>
      </c>
      <c r="C19" s="2">
        <v>369.97</v>
      </c>
    </row>
    <row r="20" spans="1:9" x14ac:dyDescent="0.3">
      <c r="A20" s="2"/>
      <c r="B20" s="2"/>
      <c r="C20" s="2"/>
    </row>
    <row r="21" spans="1:9" x14ac:dyDescent="0.3">
      <c r="A21" s="18" t="s">
        <v>5</v>
      </c>
      <c r="B21" s="28">
        <f>SUM(B1:B20)</f>
        <v>139641.81999999998</v>
      </c>
      <c r="C21" s="18">
        <f>SUM(C1:C20)</f>
        <v>109141.81999999999</v>
      </c>
    </row>
    <row r="22" spans="1:9" x14ac:dyDescent="0.3">
      <c r="B22" s="10"/>
    </row>
    <row r="23" spans="1:9" x14ac:dyDescent="0.3">
      <c r="A23" t="s">
        <v>29</v>
      </c>
      <c r="B23" s="10"/>
      <c r="C23" s="11">
        <f>(C21-B21)</f>
        <v>-30499.999999999985</v>
      </c>
      <c r="D23" s="11">
        <f>SUM(C23,E30)</f>
        <v>41150.240000000005</v>
      </c>
    </row>
    <row r="24" spans="1:9" x14ac:dyDescent="0.3">
      <c r="B24" s="10"/>
    </row>
    <row r="25" spans="1:9" x14ac:dyDescent="0.3">
      <c r="D25" s="8" t="s">
        <v>16</v>
      </c>
      <c r="E25" s="2">
        <v>10000</v>
      </c>
      <c r="F25" s="2"/>
      <c r="G25" s="2"/>
      <c r="H25" s="1" t="s">
        <v>22</v>
      </c>
      <c r="I25" s="1" t="s">
        <v>23</v>
      </c>
    </row>
    <row r="26" spans="1:9" x14ac:dyDescent="0.3">
      <c r="D26" s="8" t="s">
        <v>18</v>
      </c>
      <c r="E26" s="2">
        <v>40.43</v>
      </c>
      <c r="F26" s="2"/>
      <c r="G26" s="254" t="s">
        <v>21</v>
      </c>
      <c r="H26" s="2">
        <v>13.15</v>
      </c>
      <c r="I26" s="2"/>
    </row>
    <row r="27" spans="1:9" x14ac:dyDescent="0.3">
      <c r="D27" s="8" t="s">
        <v>19</v>
      </c>
      <c r="E27" s="2">
        <v>71609.81</v>
      </c>
      <c r="F27" s="2"/>
      <c r="G27" s="254"/>
      <c r="H27" s="2">
        <v>0</v>
      </c>
      <c r="I27" s="2"/>
    </row>
    <row r="28" spans="1:9" x14ac:dyDescent="0.3">
      <c r="D28" s="8" t="s">
        <v>20</v>
      </c>
      <c r="E28" s="2">
        <v>100.98</v>
      </c>
      <c r="F28" s="2"/>
      <c r="G28" s="8" t="s">
        <v>25</v>
      </c>
      <c r="H28" s="2">
        <v>32.840000000000003</v>
      </c>
      <c r="I28" s="2"/>
    </row>
    <row r="29" spans="1:9" x14ac:dyDescent="0.3">
      <c r="A29" t="s">
        <v>79</v>
      </c>
      <c r="B29">
        <v>10000</v>
      </c>
      <c r="D29" s="8"/>
      <c r="E29" s="2"/>
      <c r="F29" s="2"/>
      <c r="G29" s="8" t="s">
        <v>24</v>
      </c>
      <c r="H29" s="2"/>
      <c r="I29" s="2">
        <v>9.14</v>
      </c>
    </row>
    <row r="30" spans="1:9" x14ac:dyDescent="0.3">
      <c r="A30" t="s">
        <v>40</v>
      </c>
      <c r="B30">
        <v>450</v>
      </c>
      <c r="C30" t="s">
        <v>22</v>
      </c>
      <c r="D30" s="8" t="s">
        <v>10</v>
      </c>
      <c r="E30" s="2">
        <f>SUM(E26:E27)</f>
        <v>71650.239999999991</v>
      </c>
      <c r="F30" s="2"/>
      <c r="G30" s="8" t="s">
        <v>10</v>
      </c>
      <c r="H30" s="2">
        <f>SUM(H26:H28)</f>
        <v>45.99</v>
      </c>
      <c r="I30" s="2">
        <f>(H30*I29)</f>
        <v>420.34860000000003</v>
      </c>
    </row>
    <row r="34" spans="4:7" ht="57.6" x14ac:dyDescent="0.3">
      <c r="D34" s="8" t="s">
        <v>28</v>
      </c>
      <c r="E34" s="2">
        <v>21000</v>
      </c>
      <c r="F34" s="2"/>
      <c r="G34" s="12" t="s">
        <v>44</v>
      </c>
    </row>
    <row r="35" spans="4:7" ht="57.6" x14ac:dyDescent="0.3">
      <c r="D35" s="8" t="s">
        <v>30</v>
      </c>
      <c r="E35" s="2">
        <v>7500</v>
      </c>
      <c r="F35" s="2"/>
      <c r="G35" s="12" t="s">
        <v>31</v>
      </c>
    </row>
  </sheetData>
  <mergeCells count="1">
    <mergeCell ref="G26:G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7"/>
  <sheetViews>
    <sheetView zoomScaleNormal="100" zoomScaleSheetLayoutView="100" workbookViewId="0">
      <selection activeCell="G27" sqref="G27"/>
    </sheetView>
  </sheetViews>
  <sheetFormatPr defaultRowHeight="14.4" x14ac:dyDescent="0.3"/>
  <cols>
    <col min="1" max="1" width="27.44140625" bestFit="1" customWidth="1"/>
    <col min="2" max="2" width="10.6640625" bestFit="1" customWidth="1"/>
    <col min="3" max="3" width="11.33203125" bestFit="1" customWidth="1"/>
    <col min="4" max="4" width="20.5546875" bestFit="1" customWidth="1"/>
    <col min="5" max="5" width="10.109375" bestFit="1" customWidth="1"/>
    <col min="7" max="7" width="15.6640625" bestFit="1" customWidth="1"/>
  </cols>
  <sheetData>
    <row r="1" spans="1:9" x14ac:dyDescent="0.3">
      <c r="A1" s="2" t="s">
        <v>6</v>
      </c>
      <c r="B1" s="4">
        <v>21000</v>
      </c>
      <c r="C1" s="17">
        <v>21000</v>
      </c>
    </row>
    <row r="2" spans="1:9" x14ac:dyDescent="0.3">
      <c r="A2" s="2" t="s">
        <v>0</v>
      </c>
      <c r="B2" s="23">
        <v>4017.28</v>
      </c>
      <c r="C2" s="2">
        <v>4017.28</v>
      </c>
      <c r="D2">
        <v>3073.8</v>
      </c>
    </row>
    <row r="3" spans="1:9" x14ac:dyDescent="0.3">
      <c r="A3" s="2" t="s">
        <v>1</v>
      </c>
      <c r="B3" s="4">
        <v>10000</v>
      </c>
      <c r="C3" s="18">
        <v>10000</v>
      </c>
    </row>
    <row r="4" spans="1:9" x14ac:dyDescent="0.3">
      <c r="A4" s="2" t="s">
        <v>2</v>
      </c>
      <c r="B4" s="4">
        <v>16500</v>
      </c>
      <c r="C4" s="2">
        <v>16500</v>
      </c>
      <c r="G4" s="17" t="s">
        <v>5</v>
      </c>
      <c r="H4" s="27">
        <v>7000</v>
      </c>
      <c r="I4" s="17"/>
    </row>
    <row r="5" spans="1:9" x14ac:dyDescent="0.3">
      <c r="A5" s="2" t="s">
        <v>89</v>
      </c>
      <c r="B5" s="13">
        <v>29706</v>
      </c>
      <c r="C5" s="29">
        <v>29706</v>
      </c>
      <c r="G5" s="2" t="s">
        <v>105</v>
      </c>
      <c r="H5" s="2">
        <v>375</v>
      </c>
      <c r="I5" s="2"/>
    </row>
    <row r="6" spans="1:9" x14ac:dyDescent="0.3">
      <c r="A6" s="2" t="s">
        <v>3</v>
      </c>
      <c r="B6" s="4">
        <v>1500</v>
      </c>
      <c r="C6" s="2">
        <v>1500</v>
      </c>
      <c r="D6" t="s">
        <v>91</v>
      </c>
      <c r="G6" s="2" t="s">
        <v>99</v>
      </c>
      <c r="H6" s="4">
        <v>2000</v>
      </c>
      <c r="I6" s="2"/>
    </row>
    <row r="7" spans="1:9" x14ac:dyDescent="0.3">
      <c r="A7" s="2" t="s">
        <v>9</v>
      </c>
      <c r="B7" s="4">
        <v>748</v>
      </c>
      <c r="C7" s="2">
        <v>748</v>
      </c>
      <c r="G7" s="2" t="s">
        <v>103</v>
      </c>
      <c r="H7" s="2">
        <v>185</v>
      </c>
      <c r="I7" s="2"/>
    </row>
    <row r="8" spans="1:9" x14ac:dyDescent="0.3">
      <c r="A8" s="2" t="s">
        <v>15</v>
      </c>
      <c r="B8" s="7"/>
      <c r="C8" s="2"/>
      <c r="D8" t="s">
        <v>113</v>
      </c>
      <c r="G8" s="2" t="s">
        <v>104</v>
      </c>
      <c r="H8" s="2">
        <v>50</v>
      </c>
      <c r="I8" s="2"/>
    </row>
    <row r="9" spans="1:9" x14ac:dyDescent="0.3">
      <c r="A9" s="2" t="s">
        <v>70</v>
      </c>
      <c r="B9" s="4">
        <v>2209</v>
      </c>
      <c r="C9" s="2">
        <v>2209</v>
      </c>
      <c r="D9" t="s">
        <v>96</v>
      </c>
      <c r="G9" s="2" t="s">
        <v>100</v>
      </c>
      <c r="H9" s="4">
        <v>2500</v>
      </c>
      <c r="I9" s="2"/>
    </row>
    <row r="10" spans="1:9" x14ac:dyDescent="0.3">
      <c r="A10" s="2" t="s">
        <v>72</v>
      </c>
      <c r="B10" s="7">
        <v>23000</v>
      </c>
      <c r="C10" s="2"/>
      <c r="D10" t="s">
        <v>97</v>
      </c>
      <c r="G10" s="2" t="s">
        <v>101</v>
      </c>
      <c r="H10" s="4">
        <v>962.69</v>
      </c>
      <c r="I10" s="2"/>
    </row>
    <row r="11" spans="1:9" x14ac:dyDescent="0.3">
      <c r="A11" s="2" t="s">
        <v>43</v>
      </c>
      <c r="B11" s="4">
        <v>1863.46</v>
      </c>
      <c r="C11" s="2">
        <v>1863.46</v>
      </c>
      <c r="G11" s="2" t="s">
        <v>102</v>
      </c>
      <c r="H11" s="4">
        <v>110</v>
      </c>
      <c r="I11" s="2"/>
    </row>
    <row r="12" spans="1:9" x14ac:dyDescent="0.3">
      <c r="A12" s="2" t="s">
        <v>90</v>
      </c>
      <c r="B12" s="4">
        <v>6400</v>
      </c>
      <c r="C12" s="2">
        <v>6400</v>
      </c>
      <c r="H12" s="30">
        <f>SUM(H5:H11)</f>
        <v>6182.6900000000005</v>
      </c>
      <c r="I12" s="30">
        <v>5620</v>
      </c>
    </row>
    <row r="13" spans="1:9" x14ac:dyDescent="0.3">
      <c r="A13" s="2" t="s">
        <v>98</v>
      </c>
      <c r="B13" s="4">
        <v>6183</v>
      </c>
      <c r="C13" s="2">
        <v>5808</v>
      </c>
    </row>
    <row r="14" spans="1:9" x14ac:dyDescent="0.3">
      <c r="A14" s="2" t="s">
        <v>106</v>
      </c>
      <c r="B14" s="4">
        <v>20000</v>
      </c>
      <c r="C14" s="2">
        <v>20000</v>
      </c>
    </row>
    <row r="15" spans="1:9" x14ac:dyDescent="0.3">
      <c r="A15" s="18" t="s">
        <v>107</v>
      </c>
      <c r="B15" s="31">
        <v>498.5</v>
      </c>
      <c r="C15" s="18">
        <v>498.5</v>
      </c>
    </row>
    <row r="16" spans="1:9" x14ac:dyDescent="0.3">
      <c r="A16" s="18" t="s">
        <v>108</v>
      </c>
      <c r="B16" s="31">
        <v>40000</v>
      </c>
      <c r="C16" s="18"/>
    </row>
    <row r="17" spans="1:9" x14ac:dyDescent="0.3">
      <c r="A17" s="18" t="s">
        <v>109</v>
      </c>
      <c r="B17" s="31">
        <v>18195</v>
      </c>
      <c r="C17" s="18">
        <v>18195</v>
      </c>
    </row>
    <row r="18" spans="1:9" x14ac:dyDescent="0.3">
      <c r="A18" s="18" t="s">
        <v>112</v>
      </c>
      <c r="B18" s="31">
        <v>10526</v>
      </c>
      <c r="C18" s="18">
        <v>10526</v>
      </c>
    </row>
    <row r="19" spans="1:9" x14ac:dyDescent="0.3">
      <c r="A19" s="18" t="s">
        <v>110</v>
      </c>
      <c r="B19" s="31">
        <v>750</v>
      </c>
      <c r="C19" s="18">
        <v>750</v>
      </c>
    </row>
    <row r="20" spans="1:9" x14ac:dyDescent="0.3">
      <c r="A20" s="18" t="s">
        <v>111</v>
      </c>
      <c r="B20" s="31">
        <v>500</v>
      </c>
      <c r="C20" s="18">
        <v>500</v>
      </c>
    </row>
    <row r="21" spans="1:9" x14ac:dyDescent="0.3">
      <c r="A21" s="18" t="s">
        <v>114</v>
      </c>
      <c r="B21" s="31">
        <v>9500</v>
      </c>
      <c r="C21" s="18">
        <v>9500</v>
      </c>
    </row>
    <row r="22" spans="1:9" x14ac:dyDescent="0.3">
      <c r="A22" s="18"/>
      <c r="B22" s="32"/>
      <c r="C22" s="18"/>
    </row>
    <row r="23" spans="1:9" x14ac:dyDescent="0.3">
      <c r="A23" s="18" t="s">
        <v>5</v>
      </c>
      <c r="B23" s="28">
        <f>SUM(B1:B21)</f>
        <v>223096.24</v>
      </c>
      <c r="C23" s="18">
        <f>SUM(C1:C22)</f>
        <v>159721.24</v>
      </c>
    </row>
    <row r="24" spans="1:9" x14ac:dyDescent="0.3">
      <c r="A24" t="s">
        <v>115</v>
      </c>
      <c r="B24" s="10">
        <v>101800</v>
      </c>
    </row>
    <row r="25" spans="1:9" x14ac:dyDescent="0.3">
      <c r="A25" t="s">
        <v>29</v>
      </c>
      <c r="B25" s="10"/>
      <c r="C25" s="11">
        <f>(C23-B23)</f>
        <v>-63375</v>
      </c>
      <c r="D25" s="11">
        <f>SUM(C25,E32)</f>
        <v>91075.520000000019</v>
      </c>
    </row>
    <row r="26" spans="1:9" x14ac:dyDescent="0.3">
      <c r="B26" s="10"/>
    </row>
    <row r="27" spans="1:9" x14ac:dyDescent="0.3">
      <c r="D27" s="8" t="s">
        <v>16</v>
      </c>
      <c r="E27" s="2">
        <v>10000</v>
      </c>
      <c r="F27" s="2"/>
      <c r="G27" s="2"/>
      <c r="H27" s="1" t="s">
        <v>22</v>
      </c>
      <c r="I27" s="1" t="s">
        <v>23</v>
      </c>
    </row>
    <row r="28" spans="1:9" x14ac:dyDescent="0.3">
      <c r="D28" s="8" t="s">
        <v>18</v>
      </c>
      <c r="E28" s="2">
        <v>9.17</v>
      </c>
      <c r="F28" s="2"/>
      <c r="G28" s="254" t="s">
        <v>21</v>
      </c>
      <c r="H28" s="2">
        <v>13.15</v>
      </c>
      <c r="I28" s="2"/>
    </row>
    <row r="29" spans="1:9" x14ac:dyDescent="0.3">
      <c r="D29" s="8" t="s">
        <v>19</v>
      </c>
      <c r="E29" s="2">
        <v>154441.35</v>
      </c>
      <c r="F29" s="2"/>
      <c r="G29" s="254"/>
      <c r="H29" s="2">
        <v>0</v>
      </c>
      <c r="I29" s="2"/>
    </row>
    <row r="30" spans="1:9" x14ac:dyDescent="0.3">
      <c r="D30" s="8" t="s">
        <v>20</v>
      </c>
      <c r="E30" s="2">
        <v>101.15</v>
      </c>
      <c r="F30" s="2"/>
      <c r="G30" s="8" t="s">
        <v>25</v>
      </c>
      <c r="H30" s="2">
        <v>32.840000000000003</v>
      </c>
      <c r="I30" s="2"/>
    </row>
    <row r="31" spans="1:9" x14ac:dyDescent="0.3">
      <c r="A31" t="s">
        <v>79</v>
      </c>
      <c r="B31">
        <v>10000</v>
      </c>
      <c r="D31" s="8"/>
      <c r="E31" s="2"/>
      <c r="F31" s="2"/>
      <c r="G31" s="8" t="s">
        <v>24</v>
      </c>
      <c r="H31" s="2"/>
      <c r="I31" s="2">
        <v>9.14</v>
      </c>
    </row>
    <row r="32" spans="1:9" x14ac:dyDescent="0.3">
      <c r="A32" t="s">
        <v>40</v>
      </c>
      <c r="B32">
        <v>450</v>
      </c>
      <c r="C32" t="s">
        <v>22</v>
      </c>
      <c r="D32" s="8" t="s">
        <v>10</v>
      </c>
      <c r="E32" s="2">
        <f>SUM(E28:E29)</f>
        <v>154450.52000000002</v>
      </c>
      <c r="F32" s="2"/>
      <c r="G32" s="8" t="s">
        <v>10</v>
      </c>
      <c r="H32" s="2">
        <f>SUM(H28:H30)</f>
        <v>45.99</v>
      </c>
      <c r="I32" s="2">
        <f>(H32*I31)</f>
        <v>420.34860000000003</v>
      </c>
    </row>
    <row r="36" spans="4:7" ht="43.2" x14ac:dyDescent="0.3">
      <c r="D36" s="8" t="s">
        <v>28</v>
      </c>
      <c r="E36" s="2">
        <v>21000</v>
      </c>
      <c r="F36" s="2"/>
      <c r="G36" s="12" t="s">
        <v>44</v>
      </c>
    </row>
    <row r="37" spans="4:7" ht="43.2" x14ac:dyDescent="0.3">
      <c r="D37" s="8" t="s">
        <v>30</v>
      </c>
      <c r="E37" s="2">
        <v>7500</v>
      </c>
      <c r="F37" s="2"/>
      <c r="G37" s="12" t="s">
        <v>31</v>
      </c>
    </row>
  </sheetData>
  <mergeCells count="1">
    <mergeCell ref="G28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Jun19</vt:lpstr>
      <vt:lpstr>July19</vt:lpstr>
      <vt:lpstr>August 19</vt:lpstr>
      <vt:lpstr>September19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Sheet1</vt:lpstr>
      <vt:lpstr>Sheet2</vt:lpstr>
      <vt:lpstr>January 21</vt:lpstr>
      <vt:lpstr>February 21</vt:lpstr>
      <vt:lpstr>March 21</vt:lpstr>
      <vt:lpstr>April 21</vt:lpstr>
      <vt:lpstr>May 21</vt:lpstr>
      <vt:lpstr>June 21</vt:lpstr>
      <vt:lpstr>July 21</vt:lpstr>
      <vt:lpstr>August 21</vt:lpstr>
      <vt:lpstr>September 21</vt:lpstr>
      <vt:lpstr>January 22</vt:lpstr>
      <vt:lpstr>Feburary 22</vt:lpstr>
      <vt:lpstr>March 22</vt:lpstr>
      <vt:lpstr>April 22</vt:lpstr>
      <vt:lpstr>May 22</vt:lpstr>
      <vt:lpstr>June 22</vt:lpstr>
      <vt:lpstr>July 22</vt:lpstr>
      <vt:lpstr>August 22</vt:lpstr>
      <vt:lpstr>September 22</vt:lpstr>
      <vt:lpstr>October 22</vt:lpstr>
      <vt:lpstr>November 22</vt:lpstr>
      <vt:lpstr>December 22</vt:lpstr>
      <vt:lpstr>January 23</vt:lpstr>
      <vt:lpstr>February 23</vt:lpstr>
      <vt:lpstr>March 23</vt:lpstr>
      <vt:lpstr>April 23</vt:lpstr>
      <vt:lpstr>May 23</vt:lpstr>
      <vt:lpstr>June 23</vt:lpstr>
      <vt:lpstr>July 23</vt:lpstr>
      <vt:lpstr>August 23</vt:lpstr>
      <vt:lpstr>September 23</vt:lpstr>
      <vt:lpstr>October 23</vt:lpstr>
      <vt:lpstr>November 23</vt:lpstr>
      <vt:lpstr>December 23</vt:lpstr>
      <vt:lpstr>January 24</vt:lpstr>
      <vt:lpstr>February 24</vt:lpstr>
      <vt:lpstr>March 24</vt:lpstr>
      <vt:lpstr>April 24</vt:lpstr>
      <vt:lpstr>May 24</vt:lpstr>
      <vt:lpstr>June 24</vt:lpstr>
      <vt:lpstr>July 24</vt:lpstr>
      <vt:lpstr>August 24</vt:lpstr>
      <vt:lpstr>September 24</vt:lpstr>
      <vt:lpstr>October 24</vt:lpstr>
      <vt:lpstr>November_24</vt:lpstr>
      <vt:lpstr>December_24</vt:lpstr>
      <vt:lpstr>January_25</vt:lpstr>
      <vt:lpstr>February_25</vt:lpstr>
      <vt:lpstr>March_25</vt:lpstr>
      <vt:lpstr>April_25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 Vanam</dc:creator>
  <cp:lastModifiedBy>Vanam, Prashanth</cp:lastModifiedBy>
  <dcterms:created xsi:type="dcterms:W3CDTF">2019-05-26T00:45:50Z</dcterms:created>
  <dcterms:modified xsi:type="dcterms:W3CDTF">2025-03-17T12:17:01Z</dcterms:modified>
</cp:coreProperties>
</file>