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prashanth_vanam_capgemini_com/Documents/Documents/Backup/Prashanth/"/>
    </mc:Choice>
  </mc:AlternateContent>
  <xr:revisionPtr revIDLastSave="2154" documentId="8_{56C2016D-F228-4FBF-A9BF-F22EA1AD90D4}" xr6:coauthVersionLast="47" xr6:coauthVersionMax="47" xr10:uidLastSave="{D3FDC84D-9880-44D2-BFA9-E71C7F270600}"/>
  <bookViews>
    <workbookView xWindow="-108" yWindow="-108" windowWidth="23256" windowHeight="12720" activeTab="1" xr2:uid="{A19B2647-9D75-4E2B-80A5-FF6A5FC2522B}"/>
  </bookViews>
  <sheets>
    <sheet name="UP-Vijaypura Stay" sheetId="1" r:id="rId1"/>
    <sheet name="Balance_sheet" sheetId="2" r:id="rId2"/>
    <sheet name="Sheet3" sheetId="3" r:id="rId3"/>
    <sheet name="Day wise plan" sheetId="4" r:id="rId4"/>
    <sheet name="Expenses" sheetId="5" r:id="rId5"/>
    <sheet name="Sheet1" sheetId="6" r:id="rId6"/>
  </sheets>
  <definedNames>
    <definedName name="_xlnm._FilterDatabase" localSheetId="4" hidden="1">Expenses!$A$1:$E$33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2" l="1"/>
  <c r="M29" i="2"/>
  <c r="M31" i="2" s="1"/>
  <c r="M24" i="2"/>
  <c r="M23" i="2"/>
  <c r="M19" i="2"/>
  <c r="M22" i="2" s="1"/>
  <c r="M18" i="2"/>
  <c r="M17" i="2"/>
  <c r="M16" i="2"/>
  <c r="M15" i="2"/>
  <c r="M14" i="2"/>
  <c r="E14" i="2"/>
  <c r="B14" i="2"/>
  <c r="J14" i="2"/>
  <c r="G14" i="2"/>
  <c r="I14" i="2"/>
  <c r="D14" i="2"/>
  <c r="J13" i="2"/>
  <c r="J12" i="2"/>
  <c r="M55" i="5"/>
  <c r="J17" i="5"/>
  <c r="E25" i="5"/>
  <c r="E24" i="5"/>
  <c r="E27" i="5"/>
  <c r="I28" i="5" s="1"/>
  <c r="E20" i="5"/>
  <c r="E2" i="5"/>
  <c r="E14" i="5"/>
  <c r="D32" i="5"/>
  <c r="K16" i="5"/>
  <c r="L12" i="5"/>
  <c r="E50" i="5"/>
  <c r="F48" i="5"/>
  <c r="F47" i="5"/>
  <c r="F46" i="5"/>
  <c r="F45" i="5"/>
  <c r="F44" i="5"/>
  <c r="F43" i="5"/>
  <c r="F42" i="5"/>
  <c r="F41" i="5"/>
  <c r="H11" i="6"/>
  <c r="F11" i="6"/>
  <c r="C11" i="6"/>
  <c r="B11" i="6"/>
  <c r="C13" i="6" s="1"/>
  <c r="J2" i="6"/>
  <c r="C50" i="5"/>
  <c r="B50" i="5"/>
  <c r="H50" i="5"/>
  <c r="U51" i="5"/>
  <c r="R20" i="5"/>
  <c r="U19" i="5"/>
  <c r="P37" i="5"/>
  <c r="P26" i="5"/>
  <c r="R13" i="5"/>
  <c r="P40" i="5"/>
  <c r="U38" i="5"/>
  <c r="U39" i="5" s="1"/>
  <c r="S18" i="5"/>
  <c r="S32" i="5"/>
  <c r="S33" i="5" s="1"/>
  <c r="P32" i="5"/>
  <c r="P33" i="5" s="1"/>
  <c r="O13" i="5"/>
  <c r="J6" i="2"/>
  <c r="H15" i="4"/>
  <c r="I15" i="4"/>
  <c r="E17" i="3"/>
  <c r="J20" i="3"/>
  <c r="F50" i="5" l="1"/>
  <c r="C52" i="5"/>
  <c r="T45" i="5"/>
  <c r="J15" i="4"/>
  <c r="J25" i="2"/>
  <c r="J27" i="2" s="1"/>
  <c r="H23" i="2"/>
  <c r="H25" i="2" s="1"/>
  <c r="H27" i="2" s="1"/>
  <c r="H29" i="2" s="1"/>
  <c r="H31" i="2" s="1"/>
  <c r="H33" i="2" s="1"/>
  <c r="J2" i="2"/>
  <c r="J3" i="2"/>
  <c r="J4" i="2"/>
  <c r="J5" i="2"/>
  <c r="J7" i="2"/>
  <c r="J8" i="2"/>
  <c r="T46" i="5" l="1"/>
  <c r="F23" i="2"/>
  <c r="I10" i="2" l="1"/>
  <c r="D44" i="5" s="1"/>
  <c r="G44" i="5" s="1"/>
  <c r="J44" i="5" s="1"/>
  <c r="I60" i="5" s="1"/>
  <c r="H10" i="2"/>
  <c r="D46" i="5" s="1"/>
  <c r="G46" i="5" s="1"/>
  <c r="J46" i="5" s="1"/>
  <c r="G10" i="2"/>
  <c r="D45" i="5" s="1"/>
  <c r="G45" i="5" s="1"/>
  <c r="J45" i="5" s="1"/>
  <c r="I62" i="5" s="1"/>
  <c r="F10" i="2"/>
  <c r="D42" i="5" s="1"/>
  <c r="G42" i="5" s="1"/>
  <c r="J42" i="5" s="1"/>
  <c r="E10" i="2"/>
  <c r="D48" i="5" s="1"/>
  <c r="G48" i="5" s="1"/>
  <c r="J48" i="5" s="1"/>
  <c r="D10" i="2"/>
  <c r="D41" i="5" s="1"/>
  <c r="C10" i="2"/>
  <c r="D47" i="5" s="1"/>
  <c r="G47" i="5" s="1"/>
  <c r="J47" i="5" s="1"/>
  <c r="B10" i="2"/>
  <c r="E26" i="3"/>
  <c r="E27" i="3" s="1"/>
  <c r="I9" i="4"/>
  <c r="I12" i="4"/>
  <c r="H9" i="4"/>
  <c r="G6" i="4"/>
  <c r="H6" i="4"/>
  <c r="J29" i="3"/>
  <c r="J30" i="3" s="1"/>
  <c r="J31" i="3" s="1"/>
  <c r="W43" i="5" l="1"/>
  <c r="I56" i="5"/>
  <c r="G41" i="5"/>
  <c r="D4" i="6"/>
  <c r="G4" i="6" s="1"/>
  <c r="D43" i="5"/>
  <c r="G43" i="5" s="1"/>
  <c r="J43" i="5" s="1"/>
  <c r="D11" i="2"/>
  <c r="D2" i="6"/>
  <c r="G2" i="6" s="1"/>
  <c r="K2" i="6" s="1"/>
  <c r="I15" i="6" s="1"/>
  <c r="I16" i="6" s="1"/>
  <c r="C11" i="2"/>
  <c r="C14" i="2" s="1"/>
  <c r="D8" i="6"/>
  <c r="G8" i="6" s="1"/>
  <c r="E11" i="2"/>
  <c r="D9" i="6"/>
  <c r="G9" i="6" s="1"/>
  <c r="F11" i="2"/>
  <c r="F14" i="2" s="1"/>
  <c r="D3" i="6"/>
  <c r="G3" i="6" s="1"/>
  <c r="G11" i="2"/>
  <c r="D6" i="6"/>
  <c r="G6" i="6" s="1"/>
  <c r="H11" i="2"/>
  <c r="H14" i="2" s="1"/>
  <c r="D7" i="6"/>
  <c r="G7" i="6" s="1"/>
  <c r="I11" i="2"/>
  <c r="D5" i="6"/>
  <c r="G5" i="6" s="1"/>
  <c r="J10" i="2"/>
  <c r="T7" i="5" s="1"/>
  <c r="F24" i="2"/>
  <c r="F25" i="2" s="1"/>
  <c r="F28" i="2" s="1"/>
  <c r="F30" i="2" s="1"/>
  <c r="F32" i="2" s="1"/>
  <c r="B11" i="2"/>
  <c r="M7" i="3"/>
  <c r="J12" i="4"/>
  <c r="J9" i="4"/>
  <c r="J6" i="4"/>
  <c r="I13" i="3"/>
  <c r="W44" i="5" l="1"/>
  <c r="I58" i="5"/>
  <c r="D50" i="5"/>
  <c r="J41" i="5"/>
  <c r="I53" i="5"/>
  <c r="G50" i="5"/>
  <c r="W48" i="5"/>
  <c r="D11" i="6"/>
  <c r="J3" i="6"/>
  <c r="J11" i="6" s="1"/>
  <c r="K3" i="6"/>
  <c r="I17" i="6" s="1"/>
  <c r="I18" i="6" s="1"/>
  <c r="K4" i="6"/>
  <c r="G11" i="6"/>
  <c r="J11" i="2"/>
  <c r="C21" i="2"/>
  <c r="C23" i="2" s="1"/>
  <c r="J17" i="4"/>
  <c r="M9" i="3"/>
  <c r="M14" i="3" s="1"/>
  <c r="M15" i="3" s="1"/>
  <c r="R14" i="1"/>
  <c r="R15" i="1"/>
  <c r="R13" i="1"/>
  <c r="I54" i="5" l="1"/>
  <c r="I55" i="5" s="1"/>
  <c r="I57" i="5" s="1"/>
  <c r="I59" i="5" s="1"/>
  <c r="I61" i="5" s="1"/>
  <c r="I63" i="5" s="1"/>
  <c r="J50" i="5"/>
  <c r="L4" i="6"/>
  <c r="K11" i="6"/>
  <c r="N14" i="1"/>
  <c r="N13" i="1"/>
  <c r="P5" i="1"/>
  <c r="P6" i="1" s="1"/>
  <c r="P8" i="1" s="1"/>
  <c r="P9" i="1" s="1"/>
  <c r="G3" i="1" s="1"/>
  <c r="I19" i="6" l="1"/>
  <c r="I20" i="6" s="1"/>
  <c r="L11" i="6"/>
</calcChain>
</file>

<file path=xl/sharedStrings.xml><?xml version="1.0" encoding="utf-8"?>
<sst xmlns="http://schemas.openxmlformats.org/spreadsheetml/2006/main" count="273" uniqueCount="155">
  <si>
    <t>Travelling Exp.</t>
  </si>
  <si>
    <t>Stay</t>
  </si>
  <si>
    <t>Food+drinks</t>
  </si>
  <si>
    <t>HYD</t>
  </si>
  <si>
    <t>GOA</t>
  </si>
  <si>
    <t>Total Kms</t>
  </si>
  <si>
    <t>Fuel lits</t>
  </si>
  <si>
    <t>Cost</t>
  </si>
  <si>
    <t>Tolls</t>
  </si>
  <si>
    <t>2 Cars</t>
  </si>
  <si>
    <t>Vijaypura</t>
  </si>
  <si>
    <t>Joureny Time</t>
  </si>
  <si>
    <t>KM</t>
  </si>
  <si>
    <t>5 hrs</t>
  </si>
  <si>
    <t>7 hrs</t>
  </si>
  <si>
    <t>By Bus</t>
  </si>
  <si>
    <t>Total</t>
  </si>
  <si>
    <t>Bus fares</t>
  </si>
  <si>
    <t>Activities</t>
  </si>
  <si>
    <t xml:space="preserve">local Commutation </t>
  </si>
  <si>
    <t>Budget limit</t>
  </si>
  <si>
    <t>Per person</t>
  </si>
  <si>
    <t>Day-1 (Saturday)</t>
  </si>
  <si>
    <t>Aguada fort</t>
  </si>
  <si>
    <t>Day-2 (Sunday)</t>
  </si>
  <si>
    <t>Sight seeing (old GOA)</t>
  </si>
  <si>
    <t>Calangute beach (Activities)</t>
  </si>
  <si>
    <t>Day-3 (Monday)</t>
  </si>
  <si>
    <t>Other Beaches</t>
  </si>
  <si>
    <t>Scooba diving activitities</t>
  </si>
  <si>
    <t>Return to HYD</t>
  </si>
  <si>
    <t>DOWN(2 full tank)</t>
  </si>
  <si>
    <t>UP (1 full tank)</t>
  </si>
  <si>
    <t>Bus</t>
  </si>
  <si>
    <t>to and flow</t>
  </si>
  <si>
    <t>1 room</t>
  </si>
  <si>
    <t>3 days 3 rooms</t>
  </si>
  <si>
    <t>fare</t>
  </si>
  <si>
    <t>3 Days</t>
  </si>
  <si>
    <t>Total for 1 person</t>
  </si>
  <si>
    <t>4000 per person</t>
  </si>
  <si>
    <t>Single person</t>
  </si>
  <si>
    <t>Start time</t>
  </si>
  <si>
    <t>Arrival time</t>
  </si>
  <si>
    <t>Stay (3 Rooms)</t>
  </si>
  <si>
    <t>Stay (1 Room)</t>
  </si>
  <si>
    <t>Food + drinks</t>
  </si>
  <si>
    <t>People</t>
  </si>
  <si>
    <t>Food</t>
  </si>
  <si>
    <t>Bf</t>
  </si>
  <si>
    <t>Lunch</t>
  </si>
  <si>
    <t>Dinner</t>
  </si>
  <si>
    <t>Per Day</t>
  </si>
  <si>
    <t>for 4 days</t>
  </si>
  <si>
    <t>1 Beach Nite Dinner</t>
  </si>
  <si>
    <t>Breakfast</t>
  </si>
  <si>
    <t>Total Food Expenses</t>
  </si>
  <si>
    <t xml:space="preserve">Drinks </t>
  </si>
  <si>
    <t>Total Itenery</t>
  </si>
  <si>
    <t>Prashanth</t>
  </si>
  <si>
    <t>Vasantha</t>
  </si>
  <si>
    <t>KC</t>
  </si>
  <si>
    <t>Sruthi</t>
  </si>
  <si>
    <t>Ravi</t>
  </si>
  <si>
    <t>Lalitha</t>
  </si>
  <si>
    <t>Akhila</t>
  </si>
  <si>
    <t>Due</t>
  </si>
  <si>
    <t>Commutation</t>
  </si>
  <si>
    <t>HDFC</t>
  </si>
  <si>
    <t>ICICI</t>
  </si>
  <si>
    <t>#</t>
  </si>
  <si>
    <t>Mislleneous</t>
  </si>
  <si>
    <t>Kanti</t>
  </si>
  <si>
    <t>for 8 persons</t>
  </si>
  <si>
    <t>Per Day (8 persons)</t>
  </si>
  <si>
    <t>Shopping</t>
  </si>
  <si>
    <t>Relax</t>
  </si>
  <si>
    <t>HYD to GOA</t>
  </si>
  <si>
    <t>GOA to HYD</t>
  </si>
  <si>
    <t>Day-4 (Tuesday)</t>
  </si>
  <si>
    <t>Till day end</t>
  </si>
  <si>
    <t>Bus Fares</t>
  </si>
  <si>
    <t>Shaan</t>
  </si>
  <si>
    <t>Expense Type</t>
  </si>
  <si>
    <t>Amount</t>
  </si>
  <si>
    <t>Accomidation Adv.</t>
  </si>
  <si>
    <t>Paid by</t>
  </si>
  <si>
    <t>Date</t>
  </si>
  <si>
    <t>Candle light dinner</t>
  </si>
  <si>
    <t>Beverages</t>
  </si>
  <si>
    <t>Ice Creams (Naturals)</t>
  </si>
  <si>
    <t>Scuba Diving Adv.</t>
  </si>
  <si>
    <t>4 Bikes Rent</t>
  </si>
  <si>
    <t>Boating</t>
  </si>
  <si>
    <t>Lassi</t>
  </si>
  <si>
    <t>Scuba Diving Balance pay</t>
  </si>
  <si>
    <t>Accomidation Balance Pay</t>
  </si>
  <si>
    <t>Lunch (Sai Krupa)</t>
  </si>
  <si>
    <t>Accomidation F &amp; F (Food bill-ordered from Hotel)</t>
  </si>
  <si>
    <t>Each one</t>
  </si>
  <si>
    <t>Beverage</t>
  </si>
  <si>
    <t>Candlelight</t>
  </si>
  <si>
    <t>Cabs</t>
  </si>
  <si>
    <t>Accomidation</t>
  </si>
  <si>
    <t>from Candlelighg</t>
  </si>
  <si>
    <t>Scuba Diving Suite</t>
  </si>
  <si>
    <t>Spent Amt</t>
  </si>
  <si>
    <t>Credit Amt</t>
  </si>
  <si>
    <t>Return Amt</t>
  </si>
  <si>
    <t>Refund Amount</t>
  </si>
  <si>
    <t>fromKC</t>
  </si>
  <si>
    <t>Paid Amt</t>
  </si>
  <si>
    <t>Trip Share</t>
  </si>
  <si>
    <t>Bal Pay</t>
  </si>
  <si>
    <t>Grand</t>
  </si>
  <si>
    <t>Returns</t>
  </si>
  <si>
    <t>Pays</t>
  </si>
  <si>
    <t>Total received amt</t>
  </si>
  <si>
    <t>toRavi</t>
  </si>
  <si>
    <t>Cleared</t>
  </si>
  <si>
    <t>toShaan</t>
  </si>
  <si>
    <t>Spent</t>
  </si>
  <si>
    <t>Share</t>
  </si>
  <si>
    <t>Initial Amt</t>
  </si>
  <si>
    <t>Bus fares and Accomidation Adv.</t>
  </si>
  <si>
    <t>Bal. Shared Amt</t>
  </si>
  <si>
    <t>Total Amount</t>
  </si>
  <si>
    <t>Snacks</t>
  </si>
  <si>
    <t>Charges on Beverages</t>
  </si>
  <si>
    <t>Beverages - Candle light dinner</t>
  </si>
  <si>
    <t>Balance</t>
  </si>
  <si>
    <t>toKanti</t>
  </si>
  <si>
    <t>toLalitha</t>
  </si>
  <si>
    <t>cleared</t>
  </si>
  <si>
    <t>Total Amt</t>
  </si>
  <si>
    <t>Spent during the trip</t>
  </si>
  <si>
    <t>Credit Amount</t>
  </si>
  <si>
    <t>`</t>
  </si>
  <si>
    <t>Pay/Receive Amount</t>
  </si>
  <si>
    <t>Trip Share Amount</t>
  </si>
  <si>
    <t>NA</t>
  </si>
  <si>
    <t>Accomidation Advance</t>
  </si>
  <si>
    <t>Fuel charges (4 Bikes)</t>
  </si>
  <si>
    <t>Cab - Panjim To Calangute</t>
  </si>
  <si>
    <t>Cab - Chapora Fort To Calangute</t>
  </si>
  <si>
    <t>Cab - Calangute To Panjim</t>
  </si>
  <si>
    <t>Cab - Calangute To Chapora Fort</t>
  </si>
  <si>
    <t>Received Amount</t>
  </si>
  <si>
    <t>Vasantha Prashanth</t>
  </si>
  <si>
    <t>toBro</t>
  </si>
  <si>
    <t>fromAkila</t>
  </si>
  <si>
    <t>fromKc Sruthi</t>
  </si>
  <si>
    <t>P Cleared</t>
  </si>
  <si>
    <t>Current Status</t>
  </si>
  <si>
    <r>
      <t>*</t>
    </r>
    <r>
      <rPr>
        <b/>
        <i/>
        <sz val="11"/>
        <color theme="1"/>
        <rFont val="Calibri"/>
        <family val="2"/>
        <scheme val="minor"/>
      </rPr>
      <t xml:space="preserve"> 456/-</t>
    </r>
    <r>
      <rPr>
        <i/>
        <sz val="11"/>
        <color theme="1"/>
        <rFont val="Calibri"/>
        <family val="2"/>
        <scheme val="minor"/>
      </rPr>
      <t xml:space="preserve"> having extra money, I will share the amount(57/-) to everyone.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</si>
</sst>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"/>
    <numFmt numFmtId="165" formatCode="&quot;₹&quot;\ #,##0.00"/>
    <numFmt numFmtId="166" formatCode="&quot;₹&quot;\ #,##0.0"/>
    <numFmt numFmtId="167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A7FF"/>
        <bgColor indexed="64"/>
      </patternFill>
    </fill>
    <fill>
      <patternFill patternType="solid">
        <fgColor rgb="FFFFC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1" xfId="0" applyBorder="1"/>
    <xf numFmtId="16" fontId="0" fillId="0" borderId="0" xfId="0" applyNumberFormat="1"/>
    <xf numFmtId="16" fontId="0" fillId="0" borderId="1" xfId="0" applyNumberFormat="1" applyBorder="1"/>
    <xf numFmtId="20" fontId="0" fillId="0" borderId="1" xfId="0" applyNumberFormat="1" applyBorder="1"/>
    <xf numFmtId="38" fontId="0" fillId="0" borderId="1" xfId="0" applyNumberFormat="1" applyBorder="1"/>
    <xf numFmtId="0" fontId="0" fillId="2" borderId="1" xfId="0" applyFill="1" applyBorder="1" applyAlignment="1">
      <alignment horizontal="center"/>
    </xf>
    <xf numFmtId="22" fontId="0" fillId="0" borderId="1" xfId="0" applyNumberFormat="1" applyBorder="1"/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0" fillId="0" borderId="6" xfId="0" applyBorder="1"/>
    <xf numFmtId="38" fontId="0" fillId="0" borderId="6" xfId="0" applyNumberFormat="1" applyBorder="1"/>
    <xf numFmtId="0" fontId="1" fillId="0" borderId="3" xfId="0" applyFont="1" applyFill="1" applyBorder="1" applyAlignment="1"/>
    <xf numFmtId="0" fontId="0" fillId="0" borderId="1" xfId="0" applyBorder="1" applyAlignment="1"/>
    <xf numFmtId="0" fontId="0" fillId="0" borderId="6" xfId="0" applyBorder="1" applyAlignment="1">
      <alignment vertical="center"/>
    </xf>
    <xf numFmtId="0" fontId="0" fillId="0" borderId="1" xfId="0" applyFill="1" applyBorder="1"/>
    <xf numFmtId="3" fontId="0" fillId="0" borderId="1" xfId="0" applyNumberFormat="1" applyBorder="1"/>
    <xf numFmtId="0" fontId="1" fillId="0" borderId="7" xfId="0" applyFont="1" applyFill="1" applyBorder="1"/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/>
    <xf numFmtId="164" fontId="0" fillId="0" borderId="1" xfId="0" applyNumberFormat="1" applyFont="1" applyFill="1" applyBorder="1"/>
    <xf numFmtId="165" fontId="0" fillId="0" borderId="0" xfId="0" applyNumberFormat="1"/>
    <xf numFmtId="16" fontId="0" fillId="7" borderId="1" xfId="0" applyNumberFormat="1" applyFill="1" applyBorder="1"/>
    <xf numFmtId="0" fontId="0" fillId="7" borderId="1" xfId="0" applyFill="1" applyBorder="1"/>
    <xf numFmtId="164" fontId="0" fillId="7" borderId="1" xfId="0" applyNumberFormat="1" applyFont="1" applyFill="1" applyBorder="1"/>
    <xf numFmtId="16" fontId="0" fillId="8" borderId="1" xfId="0" applyNumberFormat="1" applyFill="1" applyBorder="1"/>
    <xf numFmtId="0" fontId="0" fillId="8" borderId="1" xfId="0" applyFill="1" applyBorder="1"/>
    <xf numFmtId="164" fontId="0" fillId="8" borderId="1" xfId="0" applyNumberFormat="1" applyFont="1" applyFill="1" applyBorder="1"/>
    <xf numFmtId="16" fontId="0" fillId="9" borderId="1" xfId="0" applyNumberFormat="1" applyFill="1" applyBorder="1"/>
    <xf numFmtId="0" fontId="0" fillId="9" borderId="1" xfId="0" applyFill="1" applyBorder="1"/>
    <xf numFmtId="164" fontId="0" fillId="9" borderId="1" xfId="0" applyNumberFormat="1" applyFont="1" applyFill="1" applyBorder="1"/>
    <xf numFmtId="16" fontId="0" fillId="10" borderId="1" xfId="0" applyNumberFormat="1" applyFill="1" applyBorder="1"/>
    <xf numFmtId="0" fontId="0" fillId="10" borderId="1" xfId="0" applyFill="1" applyBorder="1"/>
    <xf numFmtId="164" fontId="0" fillId="10" borderId="1" xfId="0" applyNumberFormat="1" applyFont="1" applyFill="1" applyBorder="1"/>
    <xf numFmtId="164" fontId="0" fillId="0" borderId="0" xfId="0" applyNumberFormat="1"/>
    <xf numFmtId="0" fontId="1" fillId="10" borderId="1" xfId="0" applyFont="1" applyFill="1" applyBorder="1"/>
    <xf numFmtId="3" fontId="0" fillId="0" borderId="10" xfId="0" applyNumberFormat="1" applyFill="1" applyBorder="1"/>
    <xf numFmtId="0" fontId="1" fillId="0" borderId="1" xfId="0" applyFont="1" applyFill="1" applyBorder="1"/>
    <xf numFmtId="0" fontId="1" fillId="6" borderId="1" xfId="0" applyFont="1" applyFill="1" applyBorder="1"/>
    <xf numFmtId="0" fontId="0" fillId="6" borderId="1" xfId="0" applyFill="1" applyBorder="1"/>
    <xf numFmtId="3" fontId="1" fillId="11" borderId="1" xfId="0" applyNumberFormat="1" applyFont="1" applyFill="1" applyBorder="1"/>
    <xf numFmtId="0" fontId="0" fillId="11" borderId="1" xfId="0" applyFill="1" applyBorder="1"/>
    <xf numFmtId="0" fontId="0" fillId="12" borderId="1" xfId="0" applyFill="1" applyBorder="1"/>
    <xf numFmtId="3" fontId="1" fillId="0" borderId="1" xfId="0" applyNumberFormat="1" applyFont="1" applyBorder="1"/>
    <xf numFmtId="3" fontId="0" fillId="0" borderId="1" xfId="0" applyNumberFormat="1" applyFont="1" applyBorder="1"/>
    <xf numFmtId="3" fontId="0" fillId="11" borderId="1" xfId="0" applyNumberFormat="1" applyFont="1" applyFill="1" applyBorder="1"/>
    <xf numFmtId="166" fontId="0" fillId="0" borderId="1" xfId="0" applyNumberFormat="1" applyFill="1" applyBorder="1"/>
    <xf numFmtId="16" fontId="0" fillId="0" borderId="1" xfId="0" applyNumberFormat="1" applyFill="1" applyBorder="1"/>
    <xf numFmtId="16" fontId="0" fillId="13" borderId="1" xfId="0" applyNumberFormat="1" applyFill="1" applyBorder="1"/>
    <xf numFmtId="0" fontId="0" fillId="13" borderId="1" xfId="0" applyFill="1" applyBorder="1"/>
    <xf numFmtId="164" fontId="0" fillId="13" borderId="1" xfId="0" applyNumberFormat="1" applyFont="1" applyFill="1" applyBorder="1"/>
    <xf numFmtId="3" fontId="0" fillId="11" borderId="1" xfId="0" applyNumberFormat="1" applyFill="1" applyBorder="1"/>
    <xf numFmtId="3" fontId="0" fillId="12" borderId="1" xfId="0" applyNumberFormat="1" applyFill="1" applyBorder="1"/>
    <xf numFmtId="167" fontId="0" fillId="0" borderId="1" xfId="0" applyNumberFormat="1" applyFont="1" applyBorder="1"/>
    <xf numFmtId="164" fontId="0" fillId="0" borderId="2" xfId="0" applyNumberFormat="1" applyFill="1" applyBorder="1"/>
    <xf numFmtId="164" fontId="1" fillId="0" borderId="2" xfId="0" applyNumberFormat="1" applyFont="1" applyFill="1" applyBorder="1"/>
    <xf numFmtId="0" fontId="1" fillId="0" borderId="9" xfId="0" applyFont="1" applyBorder="1"/>
    <xf numFmtId="166" fontId="0" fillId="11" borderId="1" xfId="0" applyNumberFormat="1" applyFill="1" applyBorder="1"/>
    <xf numFmtId="166" fontId="0" fillId="10" borderId="1" xfId="0" applyNumberFormat="1" applyFill="1" applyBorder="1"/>
    <xf numFmtId="166" fontId="0" fillId="9" borderId="1" xfId="0" applyNumberFormat="1" applyFill="1" applyBorder="1"/>
    <xf numFmtId="166" fontId="0" fillId="8" borderId="1" xfId="0" applyNumberFormat="1" applyFill="1" applyBorder="1"/>
    <xf numFmtId="166" fontId="0" fillId="13" borderId="1" xfId="0" applyNumberFormat="1" applyFill="1" applyBorder="1"/>
    <xf numFmtId="166" fontId="0" fillId="7" borderId="1" xfId="0" applyNumberFormat="1" applyFill="1" applyBorder="1"/>
    <xf numFmtId="166" fontId="0" fillId="5" borderId="1" xfId="0" applyNumberFormat="1" applyFill="1" applyBorder="1"/>
    <xf numFmtId="166" fontId="0" fillId="5" borderId="1" xfId="0" applyNumberFormat="1" applyFill="1" applyBorder="1" applyAlignment="1">
      <alignment horizontal="center"/>
    </xf>
    <xf numFmtId="16" fontId="0" fillId="5" borderId="1" xfId="0" applyNumberFormat="1" applyFill="1" applyBorder="1"/>
    <xf numFmtId="0" fontId="0" fillId="5" borderId="1" xfId="0" applyFill="1" applyBorder="1"/>
    <xf numFmtId="164" fontId="0" fillId="5" borderId="1" xfId="0" applyNumberFormat="1" applyFont="1" applyFill="1" applyBorder="1"/>
    <xf numFmtId="0" fontId="1" fillId="11" borderId="4" xfId="0" applyFont="1" applyFill="1" applyBorder="1"/>
    <xf numFmtId="0" fontId="1" fillId="7" borderId="4" xfId="0" applyFont="1" applyFill="1" applyBorder="1"/>
    <xf numFmtId="0" fontId="1" fillId="13" borderId="4" xfId="0" applyFont="1" applyFill="1" applyBorder="1"/>
    <xf numFmtId="0" fontId="1" fillId="5" borderId="4" xfId="0" applyFont="1" applyFill="1" applyBorder="1"/>
    <xf numFmtId="0" fontId="1" fillId="10" borderId="4" xfId="0" applyFont="1" applyFill="1" applyBorder="1"/>
    <xf numFmtId="0" fontId="1" fillId="9" borderId="4" xfId="0" applyFont="1" applyFill="1" applyBorder="1"/>
    <xf numFmtId="0" fontId="1" fillId="8" borderId="4" xfId="0" applyFont="1" applyFill="1" applyBorder="1"/>
    <xf numFmtId="0" fontId="1" fillId="0" borderId="4" xfId="0" applyFont="1" applyBorder="1"/>
    <xf numFmtId="164" fontId="1" fillId="7" borderId="1" xfId="0" applyNumberFormat="1" applyFont="1" applyFill="1" applyBorder="1" applyAlignment="1">
      <alignment horizontal="center" vertical="center"/>
    </xf>
    <xf numFmtId="164" fontId="1" fillId="14" borderId="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15" borderId="0" xfId="0" applyFont="1" applyFill="1" applyAlignment="1">
      <alignment horizontal="left"/>
    </xf>
    <xf numFmtId="0" fontId="0" fillId="5" borderId="2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1" fillId="10" borderId="2" xfId="0" applyNumberFormat="1" applyFont="1" applyFill="1" applyBorder="1" applyAlignment="1">
      <alignment horizontal="center" vertical="center"/>
    </xf>
    <xf numFmtId="164" fontId="1" fillId="10" borderId="11" xfId="0" applyNumberFormat="1" applyFont="1" applyFill="1" applyBorder="1" applyAlignment="1">
      <alignment horizontal="center" vertical="center"/>
    </xf>
    <xf numFmtId="164" fontId="1" fillId="10" borderId="6" xfId="0" applyNumberFormat="1" applyFont="1" applyFill="1" applyBorder="1" applyAlignment="1">
      <alignment horizontal="center" vertical="center"/>
    </xf>
    <xf numFmtId="164" fontId="1" fillId="9" borderId="2" xfId="0" applyNumberFormat="1" applyFont="1" applyFill="1" applyBorder="1" applyAlignment="1">
      <alignment horizontal="center" vertical="center"/>
    </xf>
    <xf numFmtId="164" fontId="1" fillId="9" borderId="11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1" fillId="5" borderId="11" xfId="0" applyNumberFormat="1" applyFont="1" applyFill="1" applyBorder="1" applyAlignment="1">
      <alignment horizontal="center" vertical="center"/>
    </xf>
    <xf numFmtId="164" fontId="1" fillId="5" borderId="6" xfId="0" applyNumberFormat="1" applyFont="1" applyFill="1" applyBorder="1" applyAlignment="1">
      <alignment horizontal="center" vertical="center"/>
    </xf>
    <xf numFmtId="164" fontId="1" fillId="8" borderId="2" xfId="0" applyNumberFormat="1" applyFont="1" applyFill="1" applyBorder="1" applyAlignment="1">
      <alignment horizontal="center" vertical="center"/>
    </xf>
    <xf numFmtId="164" fontId="1" fillId="8" borderId="11" xfId="0" applyNumberFormat="1" applyFont="1" applyFill="1" applyBorder="1" applyAlignment="1">
      <alignment horizontal="center" vertical="center"/>
    </xf>
    <xf numFmtId="164" fontId="1" fillId="8" borderId="6" xfId="0" applyNumberFormat="1" applyFont="1" applyFill="1" applyBorder="1" applyAlignment="1">
      <alignment horizontal="center" vertical="center"/>
    </xf>
    <xf numFmtId="164" fontId="1" fillId="13" borderId="2" xfId="0" applyNumberFormat="1" applyFont="1" applyFill="1" applyBorder="1" applyAlignment="1">
      <alignment horizontal="center" vertical="center"/>
    </xf>
    <xf numFmtId="164" fontId="1" fillId="13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4">
    <dxf>
      <numFmt numFmtId="164" formatCode="&quot;₹&quot;\ 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₹&quot;\ 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₹&quot;\ 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₹&quot;\ 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₹&quot;\ 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₹&quot;\ 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₹&quot;\ 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₹&quot;\ 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₹&quot;\ 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9FF"/>
      <color rgb="FFFFA7FF"/>
      <color rgb="FFFFDD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85EAD8-CFBF-4CB8-B640-ECBCF8E69DA5}" name="Table6" displayName="Table6" ref="A1:J15" totalsRowShown="0" headerRowDxfId="13" headerRowBorderDxfId="12" tableBorderDxfId="11" totalsRowBorderDxfId="10">
  <autoFilter ref="A1:J15" xr:uid="{8D85EAD8-CFBF-4CB8-B640-ECBCF8E69DA5}"/>
  <tableColumns count="10">
    <tableColumn id="1" xr3:uid="{B0B09DE9-5569-4EC8-9CBE-065DD05C3B10}" name="#" dataDxfId="9"/>
    <tableColumn id="2" xr3:uid="{F84B4D5F-C456-4F1B-B06B-FC1701712012}" name="Prashanth" dataDxfId="8"/>
    <tableColumn id="3" xr3:uid="{53DB0F5E-5D9A-4BA9-B12C-63BE8547E7E8}" name="Vasantha" dataDxfId="7"/>
    <tableColumn id="4" xr3:uid="{1EDDDBEE-CE40-4A26-B74D-1E4FA8245DD9}" name="KC" dataDxfId="6"/>
    <tableColumn id="5" xr3:uid="{001FEFCF-54F8-4B5B-BE92-E1D40C345275}" name="Sruthi" dataDxfId="5"/>
    <tableColumn id="6" xr3:uid="{A384B153-31A1-4DD1-A9FD-EB2A82731529}" name="Ravi" dataDxfId="4"/>
    <tableColumn id="7" xr3:uid="{FB3AA71E-E5CC-490A-8BCC-4FF0134FEB53}" name="Lalitha" dataDxfId="3"/>
    <tableColumn id="8" xr3:uid="{E8FDBFB7-DF1C-42EC-96E5-8BD03002BF54}" name="Akhila" dataDxfId="2"/>
    <tableColumn id="9" xr3:uid="{4F070DED-AD2C-40BE-B62F-473E65B05A33}" name="Kanti" dataDxfId="1"/>
    <tableColumn id="10" xr3:uid="{8AD5F21B-EDD3-49ED-B81D-5005D058CC30}" name="Total" dataDxfId="0">
      <calculatedColumnFormula>SUM(Table6[[#This Row],[Prashanth]:[Kanti]])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DA2B-5723-4274-9211-8FD7C3DC76F3}">
  <dimension ref="F3:R15"/>
  <sheetViews>
    <sheetView zoomScale="110" zoomScaleNormal="110" workbookViewId="0">
      <selection activeCell="L14" sqref="L14"/>
    </sheetView>
  </sheetViews>
  <sheetFormatPr defaultRowHeight="14.4" x14ac:dyDescent="0.3"/>
  <cols>
    <col min="6" max="6" width="12.6640625" bestFit="1" customWidth="1"/>
    <col min="7" max="7" width="12" bestFit="1" customWidth="1"/>
    <col min="8" max="8" width="12.109375" bestFit="1" customWidth="1"/>
    <col min="9" max="9" width="8.88671875" bestFit="1" customWidth="1"/>
    <col min="17" max="17" width="16.33203125" bestFit="1" customWidth="1"/>
  </cols>
  <sheetData>
    <row r="3" spans="6:18" x14ac:dyDescent="0.3">
      <c r="F3" t="s">
        <v>0</v>
      </c>
      <c r="G3">
        <f>P9</f>
        <v>30368.888888888891</v>
      </c>
    </row>
    <row r="4" spans="6:18" x14ac:dyDescent="0.3">
      <c r="F4" t="s">
        <v>1</v>
      </c>
      <c r="O4" s="1" t="s">
        <v>5</v>
      </c>
      <c r="P4" s="1">
        <v>2000</v>
      </c>
    </row>
    <row r="5" spans="6:18" x14ac:dyDescent="0.3">
      <c r="F5" t="s">
        <v>2</v>
      </c>
      <c r="O5" s="1" t="s">
        <v>6</v>
      </c>
      <c r="P5" s="1">
        <f>(P4/18)</f>
        <v>111.11111111111111</v>
      </c>
    </row>
    <row r="6" spans="6:18" x14ac:dyDescent="0.3">
      <c r="O6" s="1" t="s">
        <v>7</v>
      </c>
      <c r="P6" s="1">
        <f>(P5*109.66)</f>
        <v>12184.444444444445</v>
      </c>
    </row>
    <row r="7" spans="6:18" x14ac:dyDescent="0.3">
      <c r="O7" s="1" t="s">
        <v>8</v>
      </c>
      <c r="P7" s="1">
        <v>3000</v>
      </c>
    </row>
    <row r="8" spans="6:18" x14ac:dyDescent="0.3">
      <c r="G8" s="1"/>
      <c r="H8" s="1" t="s">
        <v>3</v>
      </c>
      <c r="I8" s="1" t="s">
        <v>10</v>
      </c>
      <c r="P8">
        <f>(P6+P7)</f>
        <v>15184.444444444445</v>
      </c>
    </row>
    <row r="9" spans="6:18" x14ac:dyDescent="0.3">
      <c r="G9" s="3">
        <v>44883</v>
      </c>
      <c r="H9" s="4">
        <v>0.70833333333333337</v>
      </c>
      <c r="I9" s="4">
        <v>0</v>
      </c>
      <c r="J9" s="2">
        <v>44884</v>
      </c>
      <c r="O9" t="s">
        <v>9</v>
      </c>
      <c r="P9">
        <f>(2*P8)</f>
        <v>30368.888888888891</v>
      </c>
    </row>
    <row r="10" spans="6:18" x14ac:dyDescent="0.3">
      <c r="G10" s="1" t="s">
        <v>12</v>
      </c>
      <c r="H10" s="85">
        <v>368</v>
      </c>
      <c r="I10" s="85"/>
    </row>
    <row r="11" spans="6:18" x14ac:dyDescent="0.3">
      <c r="G11" s="1" t="s">
        <v>11</v>
      </c>
      <c r="H11" s="85" t="s">
        <v>13</v>
      </c>
      <c r="I11" s="86"/>
    </row>
    <row r="12" spans="6:18" x14ac:dyDescent="0.3">
      <c r="I12" s="1" t="s">
        <v>10</v>
      </c>
      <c r="J12" s="1" t="s">
        <v>4</v>
      </c>
    </row>
    <row r="13" spans="6:18" x14ac:dyDescent="0.3">
      <c r="H13" s="3">
        <v>44884</v>
      </c>
      <c r="I13" s="4">
        <v>0.25</v>
      </c>
      <c r="J13" s="4">
        <v>0.54166666666666663</v>
      </c>
      <c r="N13">
        <f>(712-368)</f>
        <v>344</v>
      </c>
      <c r="R13">
        <f>700/15</f>
        <v>46.666666666666664</v>
      </c>
    </row>
    <row r="14" spans="6:18" x14ac:dyDescent="0.3">
      <c r="H14" s="1" t="s">
        <v>12</v>
      </c>
      <c r="I14" s="85">
        <v>344</v>
      </c>
      <c r="J14" s="85"/>
      <c r="N14">
        <f>(N13/60)</f>
        <v>5.7333333333333334</v>
      </c>
      <c r="Q14" t="s">
        <v>32</v>
      </c>
      <c r="R14">
        <f>45*109.66</f>
        <v>4934.7</v>
      </c>
    </row>
    <row r="15" spans="6:18" x14ac:dyDescent="0.3">
      <c r="H15" s="1" t="s">
        <v>11</v>
      </c>
      <c r="I15" s="85" t="s">
        <v>14</v>
      </c>
      <c r="J15" s="85"/>
      <c r="Q15" t="s">
        <v>31</v>
      </c>
      <c r="R15">
        <f>90*90</f>
        <v>8100</v>
      </c>
    </row>
  </sheetData>
  <mergeCells count="4">
    <mergeCell ref="H10:I10"/>
    <mergeCell ref="H11:I11"/>
    <mergeCell ref="I14:J14"/>
    <mergeCell ref="I15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0B2FA-6780-4ED7-8604-5F6238A0FC19}">
  <dimension ref="A1:N33"/>
  <sheetViews>
    <sheetView tabSelected="1" workbookViewId="0">
      <selection activeCell="J16" sqref="J16"/>
    </sheetView>
  </sheetViews>
  <sheetFormatPr defaultColWidth="13.21875" defaultRowHeight="14.4" x14ac:dyDescent="0.3"/>
  <cols>
    <col min="1" max="1" width="20.6640625" bestFit="1" customWidth="1"/>
    <col min="11" max="12" width="17.33203125" bestFit="1" customWidth="1"/>
  </cols>
  <sheetData>
    <row r="1" spans="1:13" x14ac:dyDescent="0.3">
      <c r="A1" s="19" t="s">
        <v>70</v>
      </c>
      <c r="B1" s="20" t="s">
        <v>59</v>
      </c>
      <c r="C1" s="20" t="s">
        <v>60</v>
      </c>
      <c r="D1" s="20" t="s">
        <v>61</v>
      </c>
      <c r="E1" s="20" t="s">
        <v>62</v>
      </c>
      <c r="F1" s="20" t="s">
        <v>63</v>
      </c>
      <c r="G1" s="20" t="s">
        <v>64</v>
      </c>
      <c r="H1" s="20" t="s">
        <v>65</v>
      </c>
      <c r="I1" s="21" t="s">
        <v>72</v>
      </c>
      <c r="J1" s="20" t="s">
        <v>16</v>
      </c>
    </row>
    <row r="2" spans="1:13" x14ac:dyDescent="0.3">
      <c r="A2" s="75" t="s">
        <v>147</v>
      </c>
      <c r="B2" s="64">
        <v>15000</v>
      </c>
      <c r="C2" s="64">
        <v>15000</v>
      </c>
      <c r="D2" s="64">
        <v>15000</v>
      </c>
      <c r="E2" s="64">
        <v>15000</v>
      </c>
      <c r="F2" s="64">
        <v>5000</v>
      </c>
      <c r="G2" s="64">
        <v>15000</v>
      </c>
      <c r="H2" s="64">
        <v>15000</v>
      </c>
      <c r="I2" s="64">
        <v>15000</v>
      </c>
      <c r="J2" s="64">
        <f>SUM(Table6[[#This Row],[Prashanth]:[Kanti]])</f>
        <v>110000</v>
      </c>
    </row>
    <row r="3" spans="1:13" x14ac:dyDescent="0.3">
      <c r="A3" s="76" t="s">
        <v>17</v>
      </c>
      <c r="B3" s="69">
        <v>3772</v>
      </c>
      <c r="C3" s="69">
        <v>3772</v>
      </c>
      <c r="D3" s="69">
        <v>3772</v>
      </c>
      <c r="E3" s="69">
        <v>3772</v>
      </c>
      <c r="F3" s="69">
        <v>3772</v>
      </c>
      <c r="G3" s="69">
        <v>3772</v>
      </c>
      <c r="H3" s="69">
        <v>3772</v>
      </c>
      <c r="I3" s="69">
        <v>3772</v>
      </c>
      <c r="J3" s="69">
        <f>SUM(Table6[[#This Row],[Prashanth]:[Kanti]])</f>
        <v>30176</v>
      </c>
    </row>
    <row r="4" spans="1:13" x14ac:dyDescent="0.3">
      <c r="A4" s="77" t="s">
        <v>141</v>
      </c>
      <c r="B4" s="68">
        <v>3975</v>
      </c>
      <c r="C4" s="68">
        <v>3975</v>
      </c>
      <c r="D4" s="68">
        <v>3975</v>
      </c>
      <c r="E4" s="68">
        <v>3975</v>
      </c>
      <c r="F4" s="68">
        <v>3975</v>
      </c>
      <c r="G4" s="68">
        <v>3975</v>
      </c>
      <c r="H4" s="68">
        <v>3975</v>
      </c>
      <c r="I4" s="68">
        <v>3975</v>
      </c>
      <c r="J4" s="68">
        <f>SUM(Table6[[#This Row],[Prashanth]:[Kanti]])</f>
        <v>31800</v>
      </c>
    </row>
    <row r="5" spans="1:13" x14ac:dyDescent="0.3">
      <c r="A5" s="78" t="s">
        <v>89</v>
      </c>
      <c r="B5" s="70">
        <v>1857.1</v>
      </c>
      <c r="C5" s="70">
        <v>1457.1</v>
      </c>
      <c r="D5" s="70">
        <v>1857.1</v>
      </c>
      <c r="E5" s="70">
        <v>1457.1</v>
      </c>
      <c r="F5" s="70">
        <v>1857.1</v>
      </c>
      <c r="G5" s="70">
        <v>1457.1</v>
      </c>
      <c r="H5" s="70">
        <v>1457.1</v>
      </c>
      <c r="I5" s="71" t="s">
        <v>140</v>
      </c>
      <c r="J5" s="70">
        <f>SUM(Table6[[#This Row],[Prashanth]:[Kanti]])</f>
        <v>11399.7</v>
      </c>
    </row>
    <row r="6" spans="1:13" x14ac:dyDescent="0.3">
      <c r="A6" s="79" t="s">
        <v>48</v>
      </c>
      <c r="B6" s="65">
        <v>2752.6</v>
      </c>
      <c r="C6" s="65">
        <v>2752.6</v>
      </c>
      <c r="D6" s="65">
        <v>2752.6</v>
      </c>
      <c r="E6" s="65">
        <v>2752.6</v>
      </c>
      <c r="F6" s="65">
        <v>2752.6</v>
      </c>
      <c r="G6" s="65">
        <v>2752.6</v>
      </c>
      <c r="H6" s="65">
        <v>2752.6</v>
      </c>
      <c r="I6" s="65">
        <v>2752.6</v>
      </c>
      <c r="J6" s="65">
        <f>SUM(Table6[[#This Row],[Prashanth]:[Kanti]])</f>
        <v>22020.799999999996</v>
      </c>
    </row>
    <row r="7" spans="1:13" x14ac:dyDescent="0.3">
      <c r="A7" s="80" t="s">
        <v>67</v>
      </c>
      <c r="B7" s="66">
        <v>1362.5</v>
      </c>
      <c r="C7" s="66">
        <v>1362.5</v>
      </c>
      <c r="D7" s="66">
        <v>1362.5</v>
      </c>
      <c r="E7" s="66">
        <v>1362.5</v>
      </c>
      <c r="F7" s="66">
        <v>1362.5</v>
      </c>
      <c r="G7" s="66">
        <v>1362.5</v>
      </c>
      <c r="H7" s="66">
        <v>1362.5</v>
      </c>
      <c r="I7" s="66">
        <v>1362.5</v>
      </c>
      <c r="J7" s="66">
        <f>SUM(Table6[[#This Row],[Prashanth]:[Kanti]])</f>
        <v>10900</v>
      </c>
    </row>
    <row r="8" spans="1:13" x14ac:dyDescent="0.3">
      <c r="A8" s="81" t="s">
        <v>18</v>
      </c>
      <c r="B8" s="67">
        <v>2171.4</v>
      </c>
      <c r="C8" s="67">
        <v>2171.4</v>
      </c>
      <c r="D8" s="67">
        <v>2000</v>
      </c>
      <c r="E8" s="67">
        <v>2171.4</v>
      </c>
      <c r="F8" s="67">
        <v>171.4</v>
      </c>
      <c r="G8" s="67">
        <v>2171.4</v>
      </c>
      <c r="H8" s="67">
        <v>2171.4</v>
      </c>
      <c r="I8" s="67">
        <v>2171.4</v>
      </c>
      <c r="J8" s="67">
        <f>SUM(Table6[[#This Row],[Prashanth]:[Kanti]])</f>
        <v>15199.8</v>
      </c>
    </row>
    <row r="9" spans="1:13" x14ac:dyDescent="0.3">
      <c r="A9" s="82"/>
      <c r="B9" s="53"/>
      <c r="C9" s="53"/>
      <c r="D9" s="53"/>
      <c r="E9" s="53"/>
      <c r="F9" s="53"/>
      <c r="G9" s="53"/>
      <c r="H9" s="53"/>
      <c r="I9" s="53"/>
      <c r="J9" s="53"/>
    </row>
    <row r="10" spans="1:13" x14ac:dyDescent="0.3">
      <c r="A10" s="82" t="s">
        <v>139</v>
      </c>
      <c r="B10" s="53">
        <f t="shared" ref="B10:I10" si="0">SUM(B3:B9)</f>
        <v>15890.6</v>
      </c>
      <c r="C10" s="53">
        <f t="shared" si="0"/>
        <v>15490.6</v>
      </c>
      <c r="D10" s="53">
        <f t="shared" si="0"/>
        <v>15719.2</v>
      </c>
      <c r="E10" s="53">
        <f t="shared" si="0"/>
        <v>15490.6</v>
      </c>
      <c r="F10" s="53">
        <f t="shared" si="0"/>
        <v>13890.6</v>
      </c>
      <c r="G10" s="53">
        <f t="shared" si="0"/>
        <v>15490.6</v>
      </c>
      <c r="H10" s="53">
        <f t="shared" si="0"/>
        <v>15490.6</v>
      </c>
      <c r="I10" s="53">
        <f t="shared" si="0"/>
        <v>14033.5</v>
      </c>
      <c r="J10" s="53">
        <f>SUM(Table6[[#This Row],[Prashanth]:[Kanti]])</f>
        <v>121496.30000000002</v>
      </c>
    </row>
    <row r="11" spans="1:13" x14ac:dyDescent="0.3">
      <c r="A11" s="63" t="s">
        <v>66</v>
      </c>
      <c r="B11" s="53">
        <f t="shared" ref="B11:I11" si="1">(B2-B10)</f>
        <v>-890.60000000000036</v>
      </c>
      <c r="C11" s="53">
        <f t="shared" si="1"/>
        <v>-490.60000000000036</v>
      </c>
      <c r="D11" s="53">
        <f t="shared" si="1"/>
        <v>-719.20000000000073</v>
      </c>
      <c r="E11" s="53">
        <f t="shared" si="1"/>
        <v>-490.60000000000036</v>
      </c>
      <c r="F11" s="53">
        <f t="shared" si="1"/>
        <v>-8890.6</v>
      </c>
      <c r="G11" s="53">
        <f t="shared" si="1"/>
        <v>-490.60000000000036</v>
      </c>
      <c r="H11" s="53">
        <f t="shared" si="1"/>
        <v>-490.60000000000036</v>
      </c>
      <c r="I11" s="53">
        <f t="shared" si="1"/>
        <v>966.5</v>
      </c>
      <c r="J11" s="53">
        <f>SUM(Table6[[#This Row],[Prashanth]:[Kanti]])</f>
        <v>-11496.300000000003</v>
      </c>
    </row>
    <row r="12" spans="1:13" x14ac:dyDescent="0.3">
      <c r="A12" s="63" t="s">
        <v>135</v>
      </c>
      <c r="B12" s="61">
        <v>7045</v>
      </c>
      <c r="C12" s="61">
        <v>0</v>
      </c>
      <c r="D12" s="61">
        <v>46900</v>
      </c>
      <c r="E12" s="61">
        <v>0</v>
      </c>
      <c r="F12" s="61">
        <v>25646</v>
      </c>
      <c r="G12" s="61">
        <v>850</v>
      </c>
      <c r="H12" s="61">
        <v>0</v>
      </c>
      <c r="I12" s="61">
        <v>600</v>
      </c>
      <c r="J12" s="61">
        <f>SUM(Table6[[#This Row],[Prashanth]:[Kanti]])</f>
        <v>81041</v>
      </c>
    </row>
    <row r="13" spans="1:13" x14ac:dyDescent="0.3">
      <c r="A13" s="63" t="s">
        <v>136</v>
      </c>
      <c r="B13" s="61">
        <v>0</v>
      </c>
      <c r="C13" s="61">
        <v>0</v>
      </c>
      <c r="D13" s="61">
        <v>60000</v>
      </c>
      <c r="E13" s="61">
        <v>0</v>
      </c>
      <c r="F13" s="61">
        <v>0</v>
      </c>
      <c r="G13" s="61">
        <v>0</v>
      </c>
      <c r="H13" s="61">
        <v>0</v>
      </c>
      <c r="I13" s="61">
        <v>0</v>
      </c>
      <c r="J13" s="61">
        <f>SUM(Table6[[#This Row],[Prashanth]:[Kanti]])</f>
        <v>60000</v>
      </c>
      <c r="L13" t="s">
        <v>150</v>
      </c>
      <c r="M13">
        <v>10000</v>
      </c>
    </row>
    <row r="14" spans="1:13" x14ac:dyDescent="0.3">
      <c r="A14" s="63" t="s">
        <v>138</v>
      </c>
      <c r="B14" s="62">
        <f>B11+B12</f>
        <v>6154.4</v>
      </c>
      <c r="C14" s="62">
        <f>C11+C12</f>
        <v>-490.60000000000036</v>
      </c>
      <c r="D14" s="62">
        <f>D11+D12-D13</f>
        <v>-13819.199999999997</v>
      </c>
      <c r="E14" s="62">
        <f>E11+E12</f>
        <v>-490.60000000000036</v>
      </c>
      <c r="F14" s="62">
        <f>F11+F12</f>
        <v>16755.400000000001</v>
      </c>
      <c r="G14" s="62">
        <f>G11+G12</f>
        <v>359.39999999999964</v>
      </c>
      <c r="H14" s="62">
        <f>H11+H12</f>
        <v>-490.60000000000036</v>
      </c>
      <c r="I14" s="62">
        <f>I11+I12</f>
        <v>1566.5</v>
      </c>
      <c r="J14" s="62">
        <f>SUM(Table6[[#This Row],[Prashanth]:[Kanti]])</f>
        <v>9544.7000000000025</v>
      </c>
      <c r="L14" t="s">
        <v>132</v>
      </c>
      <c r="M14" s="41">
        <f>Table6[[#This Row],[Lalitha]]</f>
        <v>359.39999999999964</v>
      </c>
    </row>
    <row r="15" spans="1:13" x14ac:dyDescent="0.3">
      <c r="A15" s="63" t="s">
        <v>153</v>
      </c>
      <c r="B15" s="84" t="s">
        <v>119</v>
      </c>
      <c r="C15" s="84" t="s">
        <v>119</v>
      </c>
      <c r="D15" s="84" t="s">
        <v>119</v>
      </c>
      <c r="E15" s="84" t="s">
        <v>119</v>
      </c>
      <c r="F15" s="84" t="s">
        <v>119</v>
      </c>
      <c r="G15" s="84" t="s">
        <v>119</v>
      </c>
      <c r="H15" s="84" t="s">
        <v>119</v>
      </c>
      <c r="I15" s="84" t="s">
        <v>119</v>
      </c>
      <c r="J15" s="62">
        <v>456</v>
      </c>
      <c r="L15" t="s">
        <v>131</v>
      </c>
      <c r="M15" s="41">
        <f>I14</f>
        <v>1566.5</v>
      </c>
    </row>
    <row r="16" spans="1:13" x14ac:dyDescent="0.3">
      <c r="K16" t="s">
        <v>137</v>
      </c>
      <c r="M16" s="41">
        <f>M13-M14-M15</f>
        <v>8074.1</v>
      </c>
    </row>
    <row r="17" spans="1:14" x14ac:dyDescent="0.3">
      <c r="A17" s="87" t="s">
        <v>154</v>
      </c>
      <c r="B17" s="87"/>
      <c r="C17" s="87"/>
      <c r="D17" s="87"/>
      <c r="L17" t="s">
        <v>148</v>
      </c>
      <c r="M17" s="41">
        <f>B14+C14</f>
        <v>5663.7999999999993</v>
      </c>
      <c r="N17" t="s">
        <v>119</v>
      </c>
    </row>
    <row r="18" spans="1:14" x14ac:dyDescent="0.3">
      <c r="L18" t="s">
        <v>149</v>
      </c>
      <c r="M18" s="41">
        <f>M16-M17</f>
        <v>2410.3000000000011</v>
      </c>
      <c r="N18" t="s">
        <v>152</v>
      </c>
    </row>
    <row r="19" spans="1:14" x14ac:dyDescent="0.3">
      <c r="L19" t="s">
        <v>151</v>
      </c>
      <c r="M19" s="41">
        <f>-(D14+E14)</f>
        <v>14309.799999999997</v>
      </c>
    </row>
    <row r="20" spans="1:14" x14ac:dyDescent="0.3">
      <c r="L20" t="s">
        <v>150</v>
      </c>
      <c r="M20">
        <v>491</v>
      </c>
    </row>
    <row r="21" spans="1:14" x14ac:dyDescent="0.3">
      <c r="B21" t="s">
        <v>109</v>
      </c>
      <c r="C21">
        <f>B11+C11+D11+E11+H11</f>
        <v>-3081.6000000000022</v>
      </c>
      <c r="E21" t="s">
        <v>68</v>
      </c>
      <c r="F21">
        <v>12000</v>
      </c>
      <c r="H21">
        <v>46259</v>
      </c>
    </row>
    <row r="22" spans="1:14" x14ac:dyDescent="0.3">
      <c r="B22" t="s">
        <v>110</v>
      </c>
      <c r="C22">
        <v>-7900</v>
      </c>
      <c r="E22" t="s">
        <v>69</v>
      </c>
      <c r="F22">
        <v>7500</v>
      </c>
      <c r="H22">
        <v>30176</v>
      </c>
      <c r="K22" s="28"/>
      <c r="M22">
        <f>SUM(M18:M21)</f>
        <v>17211.099999999999</v>
      </c>
    </row>
    <row r="23" spans="1:14" x14ac:dyDescent="0.3">
      <c r="C23">
        <f>SUM(C21:C22)</f>
        <v>-10981.600000000002</v>
      </c>
      <c r="F23">
        <f>F21+F22</f>
        <v>19500</v>
      </c>
      <c r="H23">
        <f>(H21-H22)</f>
        <v>16083</v>
      </c>
      <c r="M23" s="41">
        <f>M22-F14</f>
        <v>455.69999999999709</v>
      </c>
    </row>
    <row r="24" spans="1:14" x14ac:dyDescent="0.3">
      <c r="F24" s="22">
        <f>B18</f>
        <v>0</v>
      </c>
      <c r="H24">
        <v>7544</v>
      </c>
      <c r="M24" s="41">
        <f>M23-M18</f>
        <v>-1954.600000000004</v>
      </c>
    </row>
    <row r="25" spans="1:14" x14ac:dyDescent="0.3">
      <c r="F25">
        <f>F23+F24</f>
        <v>19500</v>
      </c>
      <c r="H25">
        <f>H23+H24</f>
        <v>23627</v>
      </c>
      <c r="J25">
        <f>(H21-H30-I32)</f>
        <v>34259</v>
      </c>
      <c r="M25">
        <v>491</v>
      </c>
    </row>
    <row r="26" spans="1:14" x14ac:dyDescent="0.3">
      <c r="G26" s="23" t="s">
        <v>71</v>
      </c>
      <c r="H26">
        <v>700</v>
      </c>
      <c r="J26">
        <v>36500</v>
      </c>
      <c r="L26">
        <f>456/8</f>
        <v>57</v>
      </c>
      <c r="M26">
        <v>491</v>
      </c>
    </row>
    <row r="27" spans="1:14" x14ac:dyDescent="0.3">
      <c r="F27">
        <v>36500</v>
      </c>
      <c r="G27" s="23"/>
      <c r="H27">
        <f>H25-H26</f>
        <v>22927</v>
      </c>
      <c r="J27">
        <f>(J25-J26)</f>
        <v>-2241</v>
      </c>
      <c r="M27">
        <v>1955</v>
      </c>
    </row>
    <row r="28" spans="1:14" x14ac:dyDescent="0.3">
      <c r="F28">
        <f>(F25-F27)</f>
        <v>-17000</v>
      </c>
      <c r="G28" s="23" t="s">
        <v>71</v>
      </c>
      <c r="H28">
        <v>700</v>
      </c>
    </row>
    <row r="29" spans="1:14" x14ac:dyDescent="0.3">
      <c r="F29">
        <v>15000</v>
      </c>
      <c r="G29" s="23"/>
      <c r="H29">
        <f>H27-H28</f>
        <v>22227</v>
      </c>
      <c r="M29">
        <f>SUM(M25:M27)</f>
        <v>2937</v>
      </c>
    </row>
    <row r="30" spans="1:14" x14ac:dyDescent="0.3">
      <c r="F30">
        <f>(F28+F29)</f>
        <v>-2000</v>
      </c>
      <c r="G30" s="23"/>
      <c r="H30">
        <v>9000</v>
      </c>
    </row>
    <row r="31" spans="1:14" x14ac:dyDescent="0.3">
      <c r="F31">
        <v>15000</v>
      </c>
      <c r="G31" s="23"/>
      <c r="H31">
        <f>H29-H30</f>
        <v>13227</v>
      </c>
      <c r="M31" s="28">
        <f>M29-F14</f>
        <v>-13818.400000000001</v>
      </c>
    </row>
    <row r="32" spans="1:14" x14ac:dyDescent="0.3">
      <c r="F32">
        <f>F30+F31</f>
        <v>13000</v>
      </c>
      <c r="G32" s="23" t="s">
        <v>71</v>
      </c>
      <c r="H32">
        <v>1100</v>
      </c>
      <c r="I32">
        <v>3000</v>
      </c>
    </row>
    <row r="33" spans="8:8" x14ac:dyDescent="0.3">
      <c r="H33">
        <f>H31-H32</f>
        <v>12127</v>
      </c>
    </row>
  </sheetData>
  <mergeCells count="1">
    <mergeCell ref="A17:D17"/>
  </mergeCells>
  <conditionalFormatting sqref="B11:I11 B12 I12 F12:G12 D12:D13">
    <cfRule type="colorScale" priority="24">
      <colorScale>
        <cfvo type="num" val="-1"/>
        <cfvo type="num" val="0"/>
        <color rgb="FFFFC000"/>
        <color rgb="FF00B050"/>
      </colorScale>
    </cfRule>
  </conditionalFormatting>
  <conditionalFormatting sqref="B14">
    <cfRule type="colorScale" priority="23">
      <colorScale>
        <cfvo type="num" val="-1"/>
        <cfvo type="num" val="0"/>
        <color rgb="FFFFC000"/>
        <color rgb="FF00B050"/>
      </colorScale>
    </cfRule>
  </conditionalFormatting>
  <conditionalFormatting sqref="C14">
    <cfRule type="colorScale" priority="22">
      <colorScale>
        <cfvo type="num" val="-1"/>
        <cfvo type="num" val="0"/>
        <color rgb="FFFFC000"/>
        <color rgb="FF00B050"/>
      </colorScale>
    </cfRule>
  </conditionalFormatting>
  <conditionalFormatting sqref="D14">
    <cfRule type="colorScale" priority="21">
      <colorScale>
        <cfvo type="num" val="-1"/>
        <cfvo type="num" val="0"/>
        <color rgb="FFFFC000"/>
        <color rgb="FF00B050"/>
      </colorScale>
    </cfRule>
  </conditionalFormatting>
  <conditionalFormatting sqref="E14">
    <cfRule type="colorScale" priority="20">
      <colorScale>
        <cfvo type="num" val="-1"/>
        <cfvo type="num" val="0"/>
        <color rgb="FFFFC000"/>
        <color rgb="FF00B050"/>
      </colorScale>
    </cfRule>
  </conditionalFormatting>
  <conditionalFormatting sqref="H14 F14">
    <cfRule type="colorScale" priority="19">
      <colorScale>
        <cfvo type="num" val="-1"/>
        <cfvo type="num" val="0"/>
        <color rgb="FFFFC000"/>
        <color rgb="FF00B050"/>
      </colorScale>
    </cfRule>
  </conditionalFormatting>
  <conditionalFormatting sqref="G14">
    <cfRule type="colorScale" priority="18">
      <colorScale>
        <cfvo type="num" val="-1"/>
        <cfvo type="num" val="0"/>
        <color rgb="FFFFC000"/>
        <color rgb="FF00B050"/>
      </colorScale>
    </cfRule>
  </conditionalFormatting>
  <conditionalFormatting sqref="I14">
    <cfRule type="colorScale" priority="17">
      <colorScale>
        <cfvo type="num" val="-1"/>
        <cfvo type="num" val="0"/>
        <color rgb="FFFFC000"/>
        <color rgb="FF00B050"/>
      </colorScale>
    </cfRule>
  </conditionalFormatting>
  <conditionalFormatting sqref="B15">
    <cfRule type="colorScale" priority="16">
      <colorScale>
        <cfvo type="num" val="-1"/>
        <cfvo type="num" val="0"/>
        <color rgb="FFFFC000"/>
        <color rgb="FF00B050"/>
      </colorScale>
    </cfRule>
  </conditionalFormatting>
  <conditionalFormatting sqref="C15">
    <cfRule type="colorScale" priority="10">
      <colorScale>
        <cfvo type="num" val="-1"/>
        <cfvo type="num" val="0"/>
        <color rgb="FFFFC000"/>
        <color rgb="FF00B050"/>
      </colorScale>
    </cfRule>
  </conditionalFormatting>
  <conditionalFormatting sqref="G15">
    <cfRule type="colorScale" priority="9">
      <colorScale>
        <cfvo type="num" val="-1"/>
        <cfvo type="num" val="0"/>
        <color rgb="FFFFC000"/>
        <color rgb="FF00B050"/>
      </colorScale>
    </cfRule>
  </conditionalFormatting>
  <conditionalFormatting sqref="I15">
    <cfRule type="colorScale" priority="8">
      <colorScale>
        <cfvo type="num" val="-1"/>
        <cfvo type="num" val="0"/>
        <color rgb="FFFFC000"/>
        <color rgb="FF00B050"/>
      </colorScale>
    </cfRule>
  </conditionalFormatting>
  <conditionalFormatting sqref="H15">
    <cfRule type="colorScale" priority="4">
      <colorScale>
        <cfvo type="num" val="-1"/>
        <cfvo type="num" val="0"/>
        <color rgb="FFFFC000"/>
        <color rgb="FF00B050"/>
      </colorScale>
    </cfRule>
  </conditionalFormatting>
  <conditionalFormatting sqref="E15">
    <cfRule type="colorScale" priority="3">
      <colorScale>
        <cfvo type="num" val="-1"/>
        <cfvo type="num" val="0"/>
        <color rgb="FFFFC000"/>
        <color rgb="FF00B050"/>
      </colorScale>
    </cfRule>
  </conditionalFormatting>
  <conditionalFormatting sqref="D15">
    <cfRule type="colorScale" priority="2">
      <colorScale>
        <cfvo type="num" val="-1"/>
        <cfvo type="num" val="0"/>
        <color rgb="FFFFC000"/>
        <color rgb="FF00B050"/>
      </colorScale>
    </cfRule>
  </conditionalFormatting>
  <conditionalFormatting sqref="F15">
    <cfRule type="colorScale" priority="1">
      <colorScale>
        <cfvo type="num" val="-1"/>
        <cfvo type="num" val="0"/>
        <color rgb="FFFFC000"/>
        <color rgb="FF00B050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F391-8B55-46D7-854C-135E9EC995B5}">
  <dimension ref="C6:N32"/>
  <sheetViews>
    <sheetView workbookViewId="0">
      <selection activeCell="M12" sqref="M12"/>
    </sheetView>
  </sheetViews>
  <sheetFormatPr defaultRowHeight="14.4" x14ac:dyDescent="0.3"/>
  <cols>
    <col min="3" max="6" width="15.44140625" bestFit="1" customWidth="1"/>
    <col min="8" max="8" width="17.21875" bestFit="1" customWidth="1"/>
    <col min="9" max="9" width="6.44140625" bestFit="1" customWidth="1"/>
    <col min="10" max="10" width="14.21875" bestFit="1" customWidth="1"/>
    <col min="12" max="12" width="17.21875" bestFit="1" customWidth="1"/>
    <col min="13" max="13" width="7.88671875" bestFit="1" customWidth="1"/>
    <col min="14" max="14" width="14.21875" bestFit="1" customWidth="1"/>
    <col min="15" max="15" width="5" bestFit="1" customWidth="1"/>
    <col min="16" max="16" width="6.109375" bestFit="1" customWidth="1"/>
    <col min="17" max="17" width="6" bestFit="1" customWidth="1"/>
  </cols>
  <sheetData>
    <row r="6" spans="3:14" x14ac:dyDescent="0.3">
      <c r="C6" s="96" t="s">
        <v>15</v>
      </c>
      <c r="D6" s="97"/>
      <c r="E6" s="97"/>
      <c r="F6" s="98"/>
      <c r="H6" s="99" t="s">
        <v>41</v>
      </c>
      <c r="I6" s="99"/>
      <c r="J6" s="99"/>
      <c r="L6" s="14">
        <v>8</v>
      </c>
      <c r="M6" s="94" t="s">
        <v>47</v>
      </c>
      <c r="N6" s="95"/>
    </row>
    <row r="7" spans="3:14" x14ac:dyDescent="0.3">
      <c r="C7" s="92" t="s">
        <v>42</v>
      </c>
      <c r="D7" s="93"/>
      <c r="E7" s="92" t="s">
        <v>43</v>
      </c>
      <c r="F7" s="93"/>
      <c r="H7" s="1" t="s">
        <v>17</v>
      </c>
      <c r="I7" s="5">
        <v>4000</v>
      </c>
      <c r="J7" s="1"/>
      <c r="L7" s="12" t="s">
        <v>17</v>
      </c>
      <c r="M7" s="13">
        <f>E26</f>
        <v>30176</v>
      </c>
      <c r="N7" s="12" t="s">
        <v>40</v>
      </c>
    </row>
    <row r="8" spans="3:14" x14ac:dyDescent="0.3">
      <c r="C8" s="6" t="s">
        <v>3</v>
      </c>
      <c r="D8" s="7">
        <v>44883.743055555555</v>
      </c>
      <c r="E8" s="8" t="s">
        <v>4</v>
      </c>
      <c r="F8" s="7">
        <v>44884.385416666664</v>
      </c>
      <c r="H8" s="1" t="s">
        <v>45</v>
      </c>
      <c r="I8" s="5">
        <v>9000</v>
      </c>
      <c r="J8" s="1" t="s">
        <v>38</v>
      </c>
      <c r="L8" s="1" t="s">
        <v>44</v>
      </c>
      <c r="M8" s="5">
        <v>32000</v>
      </c>
      <c r="N8" s="1" t="s">
        <v>38</v>
      </c>
    </row>
    <row r="9" spans="3:14" x14ac:dyDescent="0.3">
      <c r="C9" s="92" t="s">
        <v>42</v>
      </c>
      <c r="D9" s="93"/>
      <c r="E9" s="92" t="s">
        <v>43</v>
      </c>
      <c r="F9" s="93"/>
      <c r="H9" s="1" t="s">
        <v>46</v>
      </c>
      <c r="I9" s="5">
        <v>7000</v>
      </c>
      <c r="J9" s="1"/>
      <c r="L9" s="1" t="s">
        <v>48</v>
      </c>
      <c r="M9" s="5">
        <f>'Day wise plan'!J17</f>
        <v>65200</v>
      </c>
      <c r="N9" s="1"/>
    </row>
    <row r="10" spans="3:14" x14ac:dyDescent="0.3">
      <c r="C10" s="8" t="s">
        <v>4</v>
      </c>
      <c r="D10" s="7">
        <v>44887.6875</v>
      </c>
      <c r="E10" s="6" t="s">
        <v>3</v>
      </c>
      <c r="F10" s="7">
        <v>44888.354166666664</v>
      </c>
      <c r="H10" s="1" t="s">
        <v>19</v>
      </c>
      <c r="I10" s="5">
        <v>3000</v>
      </c>
      <c r="J10" s="1"/>
      <c r="L10" s="17" t="s">
        <v>57</v>
      </c>
      <c r="M10" s="5">
        <v>15000</v>
      </c>
      <c r="N10" s="1"/>
    </row>
    <row r="11" spans="3:14" x14ac:dyDescent="0.3">
      <c r="H11" s="1" t="s">
        <v>18</v>
      </c>
      <c r="I11" s="5"/>
      <c r="J11" s="1"/>
      <c r="L11" s="1" t="s">
        <v>19</v>
      </c>
      <c r="M11" s="5">
        <v>10000</v>
      </c>
      <c r="N11" s="1"/>
    </row>
    <row r="12" spans="3:14" x14ac:dyDescent="0.3">
      <c r="H12" s="1"/>
      <c r="I12" s="5"/>
      <c r="J12" s="1"/>
      <c r="L12" s="1" t="s">
        <v>18</v>
      </c>
      <c r="M12" s="5"/>
      <c r="N12" s="1"/>
    </row>
    <row r="13" spans="3:14" x14ac:dyDescent="0.3">
      <c r="H13" s="1" t="s">
        <v>39</v>
      </c>
      <c r="I13" s="5">
        <f>SUM(I7:I10)</f>
        <v>23000</v>
      </c>
      <c r="J13" s="1"/>
      <c r="L13" s="1"/>
      <c r="M13" s="5"/>
      <c r="N13" s="1"/>
    </row>
    <row r="14" spans="3:14" x14ac:dyDescent="0.3">
      <c r="H14" s="1"/>
      <c r="I14" s="5"/>
      <c r="J14" s="1"/>
      <c r="L14" s="1" t="s">
        <v>16</v>
      </c>
      <c r="M14" s="5">
        <f>SUM(M7:M12)</f>
        <v>152376</v>
      </c>
      <c r="N14" s="1"/>
    </row>
    <row r="15" spans="3:14" x14ac:dyDescent="0.3">
      <c r="L15" s="1" t="s">
        <v>21</v>
      </c>
      <c r="M15" s="5">
        <f>(M14/L6)</f>
        <v>19047</v>
      </c>
      <c r="N15" s="1"/>
    </row>
    <row r="16" spans="3:14" x14ac:dyDescent="0.3">
      <c r="C16" s="1"/>
      <c r="D16" s="1" t="s">
        <v>21</v>
      </c>
      <c r="E16" s="1" t="s">
        <v>16</v>
      </c>
    </row>
    <row r="17" spans="3:10" x14ac:dyDescent="0.3">
      <c r="C17" s="1" t="s">
        <v>20</v>
      </c>
      <c r="D17" s="5">
        <v>15000</v>
      </c>
      <c r="E17" s="5">
        <f>(D17*8)</f>
        <v>120000</v>
      </c>
    </row>
    <row r="18" spans="3:10" x14ac:dyDescent="0.3">
      <c r="H18" s="1"/>
      <c r="I18" s="11" t="s">
        <v>37</v>
      </c>
      <c r="J18" s="11" t="s">
        <v>34</v>
      </c>
    </row>
    <row r="19" spans="3:10" x14ac:dyDescent="0.3">
      <c r="H19" s="1" t="s">
        <v>33</v>
      </c>
      <c r="I19" s="1">
        <v>2000</v>
      </c>
      <c r="J19" s="5">
        <v>4000</v>
      </c>
    </row>
    <row r="20" spans="3:10" x14ac:dyDescent="0.3">
      <c r="H20" s="1" t="s">
        <v>73</v>
      </c>
      <c r="I20" s="1"/>
      <c r="J20" s="5">
        <f>E26</f>
        <v>30176</v>
      </c>
    </row>
    <row r="21" spans="3:10" x14ac:dyDescent="0.3">
      <c r="D21" s="90" t="s">
        <v>77</v>
      </c>
      <c r="E21" s="5">
        <v>8200</v>
      </c>
      <c r="F21" s="5">
        <v>2000</v>
      </c>
      <c r="J21" s="5"/>
    </row>
    <row r="22" spans="3:10" x14ac:dyDescent="0.3">
      <c r="D22" s="91"/>
      <c r="E22" s="5">
        <v>8200</v>
      </c>
      <c r="F22" s="5">
        <v>2000</v>
      </c>
      <c r="H22" s="1" t="s">
        <v>1</v>
      </c>
      <c r="I22" s="1" t="s">
        <v>35</v>
      </c>
      <c r="J22" s="5">
        <v>3000</v>
      </c>
    </row>
    <row r="23" spans="3:10" x14ac:dyDescent="0.3">
      <c r="D23" s="88" t="s">
        <v>78</v>
      </c>
      <c r="E23" s="5">
        <v>6560</v>
      </c>
      <c r="F23" s="5">
        <v>1600</v>
      </c>
      <c r="H23" s="1" t="s">
        <v>36</v>
      </c>
      <c r="I23" s="1"/>
      <c r="J23" s="5">
        <v>27000</v>
      </c>
    </row>
    <row r="24" spans="3:10" x14ac:dyDescent="0.3">
      <c r="D24" s="89"/>
      <c r="E24" s="5">
        <v>7216</v>
      </c>
      <c r="F24" s="5">
        <v>1760</v>
      </c>
      <c r="J24" s="5"/>
    </row>
    <row r="25" spans="3:10" x14ac:dyDescent="0.3">
      <c r="D25" s="1"/>
      <c r="E25" s="5"/>
      <c r="H25" s="1" t="s">
        <v>48</v>
      </c>
      <c r="I25" s="1" t="s">
        <v>49</v>
      </c>
      <c r="J25" s="5">
        <v>100</v>
      </c>
    </row>
    <row r="26" spans="3:10" x14ac:dyDescent="0.3">
      <c r="D26" s="1" t="s">
        <v>58</v>
      </c>
      <c r="E26" s="5">
        <f>SUM(E21:E24)</f>
        <v>30176</v>
      </c>
      <c r="H26" s="1"/>
      <c r="I26" s="1" t="s">
        <v>50</v>
      </c>
      <c r="J26" s="5">
        <v>300</v>
      </c>
    </row>
    <row r="27" spans="3:10" x14ac:dyDescent="0.3">
      <c r="D27" s="1" t="s">
        <v>21</v>
      </c>
      <c r="E27" s="5">
        <f>E26/8</f>
        <v>3772</v>
      </c>
      <c r="H27" s="1"/>
      <c r="I27" s="1" t="s">
        <v>51</v>
      </c>
      <c r="J27" s="5">
        <v>300</v>
      </c>
    </row>
    <row r="28" spans="3:10" x14ac:dyDescent="0.3">
      <c r="J28" s="5"/>
    </row>
    <row r="29" spans="3:10" x14ac:dyDescent="0.3">
      <c r="H29" s="1" t="s">
        <v>52</v>
      </c>
      <c r="I29" s="1"/>
      <c r="J29" s="5">
        <f>SUM(J25:J27)</f>
        <v>700</v>
      </c>
    </row>
    <row r="30" spans="3:10" x14ac:dyDescent="0.3">
      <c r="H30" s="1" t="s">
        <v>74</v>
      </c>
      <c r="I30" s="1"/>
      <c r="J30" s="5">
        <f>(J29*L6)</f>
        <v>5600</v>
      </c>
    </row>
    <row r="31" spans="3:10" x14ac:dyDescent="0.3">
      <c r="H31" s="1" t="s">
        <v>53</v>
      </c>
      <c r="I31" s="1"/>
      <c r="J31" s="5">
        <f>(J30*4)</f>
        <v>22400</v>
      </c>
    </row>
    <row r="32" spans="3:10" x14ac:dyDescent="0.3">
      <c r="H32" s="1" t="s">
        <v>54</v>
      </c>
      <c r="I32" s="1"/>
      <c r="J32" s="5">
        <v>25000</v>
      </c>
    </row>
  </sheetData>
  <mergeCells count="9">
    <mergeCell ref="D23:D24"/>
    <mergeCell ref="D21:D22"/>
    <mergeCell ref="C7:D7"/>
    <mergeCell ref="M6:N6"/>
    <mergeCell ref="C6:F6"/>
    <mergeCell ref="E7:F7"/>
    <mergeCell ref="C9:D9"/>
    <mergeCell ref="E9:F9"/>
    <mergeCell ref="H6:J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4C06-E15C-4C26-BE56-B4B2C79DBE45}">
  <dimension ref="B4:J17"/>
  <sheetViews>
    <sheetView workbookViewId="0">
      <selection activeCell="D30" sqref="D30"/>
    </sheetView>
  </sheetViews>
  <sheetFormatPr defaultRowHeight="14.4" x14ac:dyDescent="0.3"/>
  <cols>
    <col min="3" max="3" width="14.33203125" bestFit="1" customWidth="1"/>
    <col min="4" max="4" width="16.21875" customWidth="1"/>
    <col min="5" max="5" width="11.109375" customWidth="1"/>
    <col min="6" max="6" width="14" customWidth="1"/>
    <col min="10" max="10" width="16.88671875" bestFit="1" customWidth="1"/>
  </cols>
  <sheetData>
    <row r="4" spans="2:10" x14ac:dyDescent="0.3">
      <c r="B4" s="1"/>
      <c r="C4" s="11">
        <v>8</v>
      </c>
      <c r="D4" s="11" t="s">
        <v>47</v>
      </c>
    </row>
    <row r="5" spans="2:10" x14ac:dyDescent="0.3">
      <c r="B5" s="102">
        <v>44884</v>
      </c>
      <c r="C5" s="103" t="s">
        <v>22</v>
      </c>
      <c r="D5" s="10">
        <v>0.66666666666666663</v>
      </c>
      <c r="E5" s="10">
        <v>0.77083333333333337</v>
      </c>
      <c r="F5" s="9" t="s">
        <v>80</v>
      </c>
      <c r="G5" s="9" t="s">
        <v>55</v>
      </c>
      <c r="H5" s="9" t="s">
        <v>50</v>
      </c>
      <c r="I5" s="9" t="s">
        <v>51</v>
      </c>
      <c r="J5" s="11"/>
    </row>
    <row r="6" spans="2:10" x14ac:dyDescent="0.3">
      <c r="B6" s="102"/>
      <c r="C6" s="103"/>
      <c r="D6" s="110" t="s">
        <v>23</v>
      </c>
      <c r="E6" s="110"/>
      <c r="F6" s="1"/>
      <c r="G6" s="106">
        <f>(Sheet3!J25*C4)</f>
        <v>800</v>
      </c>
      <c r="H6" s="106">
        <f>(Sheet3!J26*C4)</f>
        <v>2400</v>
      </c>
      <c r="I6" s="106">
        <v>25000</v>
      </c>
      <c r="J6" s="106">
        <f>SUM(G6:I7)</f>
        <v>28200</v>
      </c>
    </row>
    <row r="7" spans="2:10" x14ac:dyDescent="0.3">
      <c r="B7" s="1"/>
      <c r="C7" s="1"/>
      <c r="D7" s="1"/>
      <c r="E7" s="109" t="s">
        <v>26</v>
      </c>
      <c r="F7" s="109"/>
      <c r="G7" s="107"/>
      <c r="H7" s="107"/>
      <c r="I7" s="107"/>
      <c r="J7" s="107"/>
    </row>
    <row r="8" spans="2:10" x14ac:dyDescent="0.3">
      <c r="B8" s="102">
        <v>44885</v>
      </c>
      <c r="C8" s="103" t="s">
        <v>24</v>
      </c>
      <c r="D8" s="10">
        <v>0.33333333333333331</v>
      </c>
      <c r="E8" s="10">
        <v>0.54166666666666663</v>
      </c>
      <c r="F8" s="9" t="s">
        <v>80</v>
      </c>
      <c r="G8" s="15"/>
      <c r="H8" s="15"/>
      <c r="I8" s="15"/>
      <c r="J8" s="11"/>
    </row>
    <row r="9" spans="2:10" x14ac:dyDescent="0.3">
      <c r="B9" s="102"/>
      <c r="C9" s="103"/>
      <c r="D9" s="110" t="s">
        <v>25</v>
      </c>
      <c r="E9" s="110"/>
      <c r="F9" s="1"/>
      <c r="G9" s="106">
        <v>0</v>
      </c>
      <c r="H9" s="106">
        <f>(Sheet3!J26*C4)</f>
        <v>2400</v>
      </c>
      <c r="I9" s="106">
        <f>(Sheet3!J27*C4)</f>
        <v>2400</v>
      </c>
      <c r="J9" s="106">
        <f>SUM(G9:I10)</f>
        <v>4800</v>
      </c>
    </row>
    <row r="10" spans="2:10" x14ac:dyDescent="0.3">
      <c r="B10" s="1"/>
      <c r="C10" s="1"/>
      <c r="D10" s="1"/>
      <c r="E10" s="109" t="s">
        <v>28</v>
      </c>
      <c r="F10" s="109"/>
      <c r="G10" s="107"/>
      <c r="H10" s="107"/>
      <c r="I10" s="107"/>
      <c r="J10" s="107">
        <v>12500</v>
      </c>
    </row>
    <row r="11" spans="2:10" x14ac:dyDescent="0.3">
      <c r="B11" s="102">
        <v>44886</v>
      </c>
      <c r="C11" s="103" t="s">
        <v>27</v>
      </c>
      <c r="D11" s="10">
        <v>0.33333333333333331</v>
      </c>
      <c r="E11" s="10">
        <v>0.75</v>
      </c>
      <c r="F11" s="9"/>
      <c r="G11" s="16"/>
      <c r="H11" s="16"/>
      <c r="I11" s="16"/>
      <c r="J11" s="11"/>
    </row>
    <row r="12" spans="2:10" x14ac:dyDescent="0.3">
      <c r="B12" s="102"/>
      <c r="C12" s="103"/>
      <c r="D12" s="100" t="s">
        <v>29</v>
      </c>
      <c r="E12" s="111"/>
      <c r="F12" s="25" t="s">
        <v>80</v>
      </c>
      <c r="G12" s="106">
        <v>0</v>
      </c>
      <c r="H12" s="106">
        <v>0</v>
      </c>
      <c r="I12" s="106">
        <f>(Sheet3!J27*C4)</f>
        <v>2400</v>
      </c>
      <c r="J12" s="106">
        <f>SUM(G12:I13)</f>
        <v>2400</v>
      </c>
    </row>
    <row r="13" spans="2:10" x14ac:dyDescent="0.3">
      <c r="B13" s="1"/>
      <c r="C13" s="1"/>
      <c r="D13" s="1"/>
      <c r="E13" s="109" t="s">
        <v>76</v>
      </c>
      <c r="F13" s="109"/>
      <c r="G13" s="107"/>
      <c r="H13" s="107"/>
      <c r="I13" s="107"/>
      <c r="J13" s="107">
        <v>12500</v>
      </c>
    </row>
    <row r="14" spans="2:10" x14ac:dyDescent="0.3">
      <c r="B14" s="102">
        <v>44887</v>
      </c>
      <c r="C14" s="103" t="s">
        <v>79</v>
      </c>
      <c r="D14" s="10">
        <v>0.33333333333333331</v>
      </c>
      <c r="E14" s="10">
        <v>0.66666666666666663</v>
      </c>
      <c r="F14" s="24"/>
    </row>
    <row r="15" spans="2:10" x14ac:dyDescent="0.3">
      <c r="B15" s="102"/>
      <c r="C15" s="103"/>
      <c r="D15" s="100" t="s">
        <v>75</v>
      </c>
      <c r="E15" s="101"/>
      <c r="F15" s="1"/>
      <c r="G15" s="106">
        <v>0</v>
      </c>
      <c r="H15" s="108">
        <f>Sheet3!J26*C4</f>
        <v>2400</v>
      </c>
      <c r="I15" s="108">
        <f>Sheet3!J27*C4</f>
        <v>2400</v>
      </c>
      <c r="J15" s="106">
        <f>SUM(G15:I16)</f>
        <v>4800</v>
      </c>
    </row>
    <row r="16" spans="2:10" x14ac:dyDescent="0.3">
      <c r="B16" s="1"/>
      <c r="C16" s="1"/>
      <c r="D16" s="1"/>
      <c r="E16" s="104" t="s">
        <v>30</v>
      </c>
      <c r="F16" s="105"/>
      <c r="G16" s="107"/>
      <c r="H16" s="107"/>
      <c r="I16" s="107"/>
      <c r="J16" s="107">
        <v>12500</v>
      </c>
    </row>
    <row r="17" spans="7:10" x14ac:dyDescent="0.3">
      <c r="G17" s="96" t="s">
        <v>56</v>
      </c>
      <c r="H17" s="97"/>
      <c r="I17" s="98"/>
      <c r="J17" s="9">
        <f>SUM(J6:J15)</f>
        <v>65200</v>
      </c>
    </row>
  </sheetData>
  <mergeCells count="33">
    <mergeCell ref="B5:B6"/>
    <mergeCell ref="B8:B9"/>
    <mergeCell ref="B11:B12"/>
    <mergeCell ref="E13:F13"/>
    <mergeCell ref="D6:E6"/>
    <mergeCell ref="E7:F7"/>
    <mergeCell ref="D9:E9"/>
    <mergeCell ref="E10:F10"/>
    <mergeCell ref="C5:C6"/>
    <mergeCell ref="C8:C9"/>
    <mergeCell ref="D12:E12"/>
    <mergeCell ref="C11:C12"/>
    <mergeCell ref="G17:I17"/>
    <mergeCell ref="J6:J7"/>
    <mergeCell ref="J9:J10"/>
    <mergeCell ref="J12:J13"/>
    <mergeCell ref="G9:G10"/>
    <mergeCell ref="I9:I10"/>
    <mergeCell ref="G12:G13"/>
    <mergeCell ref="H12:H13"/>
    <mergeCell ref="I12:I13"/>
    <mergeCell ref="G6:G7"/>
    <mergeCell ref="H6:H7"/>
    <mergeCell ref="I6:I7"/>
    <mergeCell ref="H9:H10"/>
    <mergeCell ref="I15:I16"/>
    <mergeCell ref="J15:J16"/>
    <mergeCell ref="H15:H16"/>
    <mergeCell ref="D15:E15"/>
    <mergeCell ref="B14:B15"/>
    <mergeCell ref="C14:C15"/>
    <mergeCell ref="E16:F16"/>
    <mergeCell ref="G15:G16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5CD3-8877-442E-AB13-C7993BF3C800}">
  <dimension ref="A1:W63"/>
  <sheetViews>
    <sheetView zoomScale="80" zoomScaleNormal="80" workbookViewId="0">
      <selection activeCell="H35" sqref="H35"/>
    </sheetView>
  </sheetViews>
  <sheetFormatPr defaultRowHeight="14.4" x14ac:dyDescent="0.3"/>
  <cols>
    <col min="2" max="2" width="9.6640625" bestFit="1" customWidth="1"/>
    <col min="3" max="3" width="42.44140625" bestFit="1" customWidth="1"/>
    <col min="4" max="4" width="10.5546875" bestFit="1" customWidth="1"/>
    <col min="5" max="5" width="14.33203125" bestFit="1" customWidth="1"/>
    <col min="6" max="6" width="9.44140625" bestFit="1" customWidth="1"/>
    <col min="7" max="7" width="9.6640625" bestFit="1" customWidth="1"/>
    <col min="8" max="8" width="16.33203125" bestFit="1" customWidth="1"/>
    <col min="9" max="9" width="10" bestFit="1" customWidth="1"/>
    <col min="10" max="10" width="10.6640625" bestFit="1" customWidth="1"/>
    <col min="11" max="12" width="7.109375" bestFit="1" customWidth="1"/>
    <col min="13" max="13" width="16.33203125" bestFit="1" customWidth="1"/>
    <col min="14" max="14" width="10" bestFit="1" customWidth="1"/>
    <col min="15" max="15" width="14.77734375" bestFit="1" customWidth="1"/>
    <col min="19" max="19" width="12" bestFit="1" customWidth="1"/>
    <col min="20" max="20" width="9.6640625" bestFit="1" customWidth="1"/>
    <col min="21" max="21" width="10.21875" bestFit="1" customWidth="1"/>
  </cols>
  <sheetData>
    <row r="1" spans="1:20" x14ac:dyDescent="0.3">
      <c r="A1" s="11" t="s">
        <v>87</v>
      </c>
      <c r="B1" s="11" t="s">
        <v>86</v>
      </c>
      <c r="C1" s="11" t="s">
        <v>83</v>
      </c>
      <c r="D1" s="11" t="s">
        <v>84</v>
      </c>
      <c r="E1" s="1"/>
    </row>
    <row r="2" spans="1:20" x14ac:dyDescent="0.3">
      <c r="A2" s="38">
        <v>44884</v>
      </c>
      <c r="B2" s="39" t="s">
        <v>61</v>
      </c>
      <c r="C2" s="39" t="s">
        <v>50</v>
      </c>
      <c r="D2" s="40">
        <v>457</v>
      </c>
      <c r="E2" s="112">
        <f>SUM(D2:D13)</f>
        <v>22021</v>
      </c>
    </row>
    <row r="3" spans="1:20" x14ac:dyDescent="0.3">
      <c r="A3" s="38">
        <v>44884</v>
      </c>
      <c r="B3" s="39" t="s">
        <v>64</v>
      </c>
      <c r="C3" s="39" t="s">
        <v>127</v>
      </c>
      <c r="D3" s="40">
        <v>250</v>
      </c>
      <c r="E3" s="113"/>
    </row>
    <row r="4" spans="1:20" x14ac:dyDescent="0.3">
      <c r="A4" s="38">
        <v>44884</v>
      </c>
      <c r="B4" s="39" t="s">
        <v>61</v>
      </c>
      <c r="C4" s="39" t="s">
        <v>88</v>
      </c>
      <c r="D4" s="40">
        <v>7583</v>
      </c>
      <c r="E4" s="113"/>
    </row>
    <row r="5" spans="1:20" x14ac:dyDescent="0.3">
      <c r="A5" s="38">
        <v>44884</v>
      </c>
      <c r="B5" s="39" t="s">
        <v>63</v>
      </c>
      <c r="C5" s="39" t="s">
        <v>55</v>
      </c>
      <c r="D5" s="40">
        <v>405</v>
      </c>
      <c r="E5" s="113"/>
    </row>
    <row r="6" spans="1:20" x14ac:dyDescent="0.3">
      <c r="A6" s="38">
        <v>44884</v>
      </c>
      <c r="B6" s="39" t="s">
        <v>63</v>
      </c>
      <c r="C6" s="39" t="s">
        <v>50</v>
      </c>
      <c r="D6" s="40">
        <v>840</v>
      </c>
      <c r="E6" s="113"/>
    </row>
    <row r="7" spans="1:20" x14ac:dyDescent="0.3">
      <c r="A7" s="38">
        <v>44884</v>
      </c>
      <c r="B7" s="39" t="s">
        <v>82</v>
      </c>
      <c r="C7" s="39" t="s">
        <v>90</v>
      </c>
      <c r="D7" s="40">
        <v>900</v>
      </c>
      <c r="E7" s="113"/>
      <c r="T7" s="41">
        <f>D32-Balance_sheet!J10</f>
        <v>0.6999999999825377</v>
      </c>
    </row>
    <row r="8" spans="1:20" x14ac:dyDescent="0.3">
      <c r="A8" s="38">
        <v>44885</v>
      </c>
      <c r="B8" s="39" t="s">
        <v>61</v>
      </c>
      <c r="C8" s="39" t="s">
        <v>97</v>
      </c>
      <c r="D8" s="40">
        <v>1800</v>
      </c>
      <c r="E8" s="113"/>
      <c r="T8" s="41"/>
    </row>
    <row r="9" spans="1:20" x14ac:dyDescent="0.3">
      <c r="A9" s="38">
        <v>44885</v>
      </c>
      <c r="B9" s="39" t="s">
        <v>82</v>
      </c>
      <c r="C9" s="39" t="s">
        <v>94</v>
      </c>
      <c r="D9" s="40">
        <v>280</v>
      </c>
      <c r="E9" s="113"/>
      <c r="O9">
        <v>10283</v>
      </c>
    </row>
    <row r="10" spans="1:20" x14ac:dyDescent="0.3">
      <c r="A10" s="38">
        <v>44886</v>
      </c>
      <c r="B10" s="39" t="s">
        <v>63</v>
      </c>
      <c r="C10" s="39" t="s">
        <v>51</v>
      </c>
      <c r="D10" s="40">
        <v>601</v>
      </c>
      <c r="E10" s="113"/>
      <c r="O10">
        <v>1700</v>
      </c>
    </row>
    <row r="11" spans="1:20" x14ac:dyDescent="0.3">
      <c r="A11" s="38">
        <v>44887</v>
      </c>
      <c r="B11" s="39" t="s">
        <v>82</v>
      </c>
      <c r="C11" s="39" t="s">
        <v>51</v>
      </c>
      <c r="D11" s="40">
        <v>1265</v>
      </c>
      <c r="E11" s="113"/>
      <c r="O11">
        <v>1000</v>
      </c>
    </row>
    <row r="12" spans="1:20" x14ac:dyDescent="0.3">
      <c r="A12" s="38">
        <v>44887</v>
      </c>
      <c r="B12" s="39" t="s">
        <v>61</v>
      </c>
      <c r="C12" s="39" t="s">
        <v>50</v>
      </c>
      <c r="D12" s="40">
        <v>2982</v>
      </c>
      <c r="E12" s="113"/>
      <c r="K12">
        <v>22021</v>
      </c>
      <c r="L12">
        <f>K12/8</f>
        <v>2752.625</v>
      </c>
      <c r="R12">
        <v>24471</v>
      </c>
    </row>
    <row r="13" spans="1:20" x14ac:dyDescent="0.3">
      <c r="A13" s="38">
        <v>44887</v>
      </c>
      <c r="B13" s="39" t="s">
        <v>61</v>
      </c>
      <c r="C13" s="39" t="s">
        <v>98</v>
      </c>
      <c r="D13" s="40">
        <v>4658</v>
      </c>
      <c r="E13" s="114"/>
      <c r="F13" s="26"/>
      <c r="G13" s="26"/>
      <c r="H13" s="26"/>
      <c r="I13" s="26"/>
      <c r="J13" s="26"/>
      <c r="K13" s="26"/>
      <c r="L13" s="26"/>
      <c r="O13">
        <f>(O9-O10-O11)</f>
        <v>7583</v>
      </c>
      <c r="R13">
        <f>(R12-2700)</f>
        <v>21771</v>
      </c>
    </row>
    <row r="14" spans="1:20" x14ac:dyDescent="0.3">
      <c r="A14" s="35">
        <v>44884</v>
      </c>
      <c r="B14" s="36" t="s">
        <v>61</v>
      </c>
      <c r="C14" s="36" t="s">
        <v>143</v>
      </c>
      <c r="D14" s="37">
        <v>1700</v>
      </c>
      <c r="E14" s="115">
        <f>SUM(D14:D19)</f>
        <v>10900</v>
      </c>
    </row>
    <row r="15" spans="1:20" x14ac:dyDescent="0.3">
      <c r="A15" s="35">
        <v>44885</v>
      </c>
      <c r="B15" s="36" t="s">
        <v>63</v>
      </c>
      <c r="C15" s="36" t="s">
        <v>92</v>
      </c>
      <c r="D15" s="37">
        <v>2000</v>
      </c>
      <c r="E15" s="116"/>
    </row>
    <row r="16" spans="1:20" x14ac:dyDescent="0.3">
      <c r="A16" s="35">
        <v>44885</v>
      </c>
      <c r="B16" s="36" t="s">
        <v>61</v>
      </c>
      <c r="C16" s="36" t="s">
        <v>142</v>
      </c>
      <c r="D16" s="37">
        <v>1600</v>
      </c>
      <c r="E16" s="116"/>
      <c r="J16">
        <v>11120</v>
      </c>
      <c r="K16">
        <f>J16/7</f>
        <v>1588.5714285714287</v>
      </c>
    </row>
    <row r="17" spans="1:21" x14ac:dyDescent="0.3">
      <c r="A17" s="35">
        <v>44887</v>
      </c>
      <c r="B17" s="36" t="s">
        <v>82</v>
      </c>
      <c r="C17" s="36" t="s">
        <v>144</v>
      </c>
      <c r="D17" s="37">
        <v>1400</v>
      </c>
      <c r="E17" s="116"/>
      <c r="J17">
        <f>J16-1200</f>
        <v>9920</v>
      </c>
    </row>
    <row r="18" spans="1:21" x14ac:dyDescent="0.3">
      <c r="A18" s="35">
        <v>44887</v>
      </c>
      <c r="B18" s="36" t="s">
        <v>82</v>
      </c>
      <c r="C18" s="36" t="s">
        <v>145</v>
      </c>
      <c r="D18" s="37">
        <v>2000</v>
      </c>
      <c r="E18" s="116"/>
      <c r="S18">
        <f>1200/7</f>
        <v>171.42857142857142</v>
      </c>
    </row>
    <row r="19" spans="1:21" x14ac:dyDescent="0.3">
      <c r="A19" s="35">
        <v>44887</v>
      </c>
      <c r="B19" s="36" t="s">
        <v>61</v>
      </c>
      <c r="C19" s="36" t="s">
        <v>146</v>
      </c>
      <c r="D19" s="37">
        <v>2200</v>
      </c>
      <c r="E19" s="117"/>
      <c r="U19">
        <f>13800/8</f>
        <v>1725</v>
      </c>
    </row>
    <row r="20" spans="1:21" x14ac:dyDescent="0.3">
      <c r="A20" s="72">
        <v>44884</v>
      </c>
      <c r="B20" s="73" t="s">
        <v>61</v>
      </c>
      <c r="C20" s="73" t="s">
        <v>89</v>
      </c>
      <c r="D20" s="74">
        <v>7500</v>
      </c>
      <c r="E20" s="118">
        <f>SUM(D20:D23)</f>
        <v>11400</v>
      </c>
      <c r="O20" t="s">
        <v>18</v>
      </c>
      <c r="P20">
        <v>13800</v>
      </c>
      <c r="R20">
        <f>10200/7</f>
        <v>1457.1428571428571</v>
      </c>
    </row>
    <row r="21" spans="1:21" x14ac:dyDescent="0.3">
      <c r="A21" s="72">
        <v>44884</v>
      </c>
      <c r="B21" s="73" t="s">
        <v>61</v>
      </c>
      <c r="C21" s="73" t="s">
        <v>129</v>
      </c>
      <c r="D21" s="74">
        <v>2700</v>
      </c>
      <c r="E21" s="119"/>
    </row>
    <row r="22" spans="1:21" x14ac:dyDescent="0.3">
      <c r="A22" s="73">
        <v>44888</v>
      </c>
      <c r="B22" s="73" t="s">
        <v>64</v>
      </c>
      <c r="C22" s="73" t="s">
        <v>128</v>
      </c>
      <c r="D22" s="73">
        <v>600</v>
      </c>
      <c r="E22" s="119"/>
    </row>
    <row r="23" spans="1:21" x14ac:dyDescent="0.3">
      <c r="A23" s="73">
        <v>44888</v>
      </c>
      <c r="B23" s="73" t="s">
        <v>72</v>
      </c>
      <c r="C23" s="73" t="s">
        <v>128</v>
      </c>
      <c r="D23" s="73">
        <v>600</v>
      </c>
      <c r="E23" s="120"/>
    </row>
    <row r="24" spans="1:21" x14ac:dyDescent="0.3">
      <c r="A24" s="29">
        <v>44855</v>
      </c>
      <c r="B24" s="30" t="s">
        <v>82</v>
      </c>
      <c r="C24" s="30" t="s">
        <v>81</v>
      </c>
      <c r="D24" s="31">
        <v>30176</v>
      </c>
      <c r="E24" s="83">
        <f>D24</f>
        <v>30176</v>
      </c>
      <c r="T24">
        <v>1800</v>
      </c>
    </row>
    <row r="25" spans="1:21" x14ac:dyDescent="0.3">
      <c r="A25" s="55">
        <v>44862</v>
      </c>
      <c r="B25" s="56" t="s">
        <v>61</v>
      </c>
      <c r="C25" s="56" t="s">
        <v>85</v>
      </c>
      <c r="D25" s="57">
        <v>10000</v>
      </c>
      <c r="E25" s="124">
        <f>SUM(D25:D26)</f>
        <v>31800</v>
      </c>
      <c r="O25" t="s">
        <v>103</v>
      </c>
      <c r="P25">
        <v>31800</v>
      </c>
      <c r="T25">
        <v>171</v>
      </c>
    </row>
    <row r="26" spans="1:21" x14ac:dyDescent="0.3">
      <c r="A26" s="55">
        <v>44884</v>
      </c>
      <c r="B26" s="56" t="s">
        <v>63</v>
      </c>
      <c r="C26" s="56" t="s">
        <v>96</v>
      </c>
      <c r="D26" s="57">
        <v>21800</v>
      </c>
      <c r="E26" s="125"/>
      <c r="P26">
        <f>(P25/8)</f>
        <v>3975</v>
      </c>
    </row>
    <row r="27" spans="1:21" x14ac:dyDescent="0.3">
      <c r="A27" s="32">
        <v>44885</v>
      </c>
      <c r="B27" s="33" t="s">
        <v>61</v>
      </c>
      <c r="C27" s="33" t="s">
        <v>91</v>
      </c>
      <c r="D27" s="34">
        <v>3500</v>
      </c>
      <c r="E27" s="121">
        <f>SUM(D27:D30)</f>
        <v>15200</v>
      </c>
    </row>
    <row r="28" spans="1:21" x14ac:dyDescent="0.3">
      <c r="A28" s="32">
        <v>44885</v>
      </c>
      <c r="B28" s="33" t="s">
        <v>82</v>
      </c>
      <c r="C28" s="33" t="s">
        <v>93</v>
      </c>
      <c r="D28" s="34">
        <v>1200</v>
      </c>
      <c r="E28" s="122"/>
      <c r="H28" s="41"/>
      <c r="I28" s="28">
        <f>E27/7</f>
        <v>2171.4285714285716</v>
      </c>
      <c r="O28" t="s">
        <v>101</v>
      </c>
      <c r="P28">
        <v>7583</v>
      </c>
      <c r="S28">
        <v>14188</v>
      </c>
    </row>
    <row r="29" spans="1:21" x14ac:dyDescent="0.3">
      <c r="A29" s="32">
        <v>44886</v>
      </c>
      <c r="B29" s="33" t="s">
        <v>61</v>
      </c>
      <c r="C29" s="33" t="s">
        <v>95</v>
      </c>
      <c r="D29" s="34">
        <v>9100</v>
      </c>
      <c r="E29" s="122"/>
    </row>
    <row r="30" spans="1:21" x14ac:dyDescent="0.3">
      <c r="A30" s="32">
        <v>44886</v>
      </c>
      <c r="B30" s="33" t="s">
        <v>61</v>
      </c>
      <c r="C30" s="33" t="s">
        <v>105</v>
      </c>
      <c r="D30" s="34">
        <v>1400</v>
      </c>
      <c r="E30" s="123"/>
      <c r="M30" s="28"/>
      <c r="O30" t="s">
        <v>48</v>
      </c>
      <c r="P30">
        <v>9530</v>
      </c>
      <c r="S30">
        <v>7583</v>
      </c>
    </row>
    <row r="31" spans="1:21" x14ac:dyDescent="0.3">
      <c r="A31" s="54"/>
      <c r="B31" s="17"/>
      <c r="C31" s="17"/>
      <c r="D31" s="27"/>
      <c r="M31" s="28"/>
    </row>
    <row r="32" spans="1:21" x14ac:dyDescent="0.3">
      <c r="A32" s="1"/>
      <c r="B32" s="1"/>
      <c r="C32" s="1"/>
      <c r="D32" s="27">
        <f>SUM(D2:D30)</f>
        <v>121497</v>
      </c>
      <c r="P32">
        <f>P28+P30</f>
        <v>17113</v>
      </c>
      <c r="S32">
        <f>S28+S30</f>
        <v>21771</v>
      </c>
    </row>
    <row r="33" spans="1:23" x14ac:dyDescent="0.3">
      <c r="A33" s="1"/>
      <c r="B33" s="1"/>
      <c r="C33" s="1"/>
      <c r="D33" s="27"/>
      <c r="O33" t="s">
        <v>99</v>
      </c>
      <c r="P33">
        <f>(P32/8)</f>
        <v>2139.125</v>
      </c>
      <c r="S33">
        <f>S32/8</f>
        <v>2721.375</v>
      </c>
    </row>
    <row r="34" spans="1:23" x14ac:dyDescent="0.3">
      <c r="A34" s="1"/>
      <c r="B34" s="1"/>
      <c r="C34" s="1"/>
      <c r="D34" s="27"/>
    </row>
    <row r="35" spans="1:23" x14ac:dyDescent="0.3">
      <c r="O35" t="s">
        <v>100</v>
      </c>
      <c r="P35">
        <v>7500</v>
      </c>
    </row>
    <row r="36" spans="1:23" x14ac:dyDescent="0.3">
      <c r="O36" t="s">
        <v>104</v>
      </c>
      <c r="P36">
        <v>2700</v>
      </c>
      <c r="U36">
        <v>700</v>
      </c>
    </row>
    <row r="37" spans="1:23" x14ac:dyDescent="0.3">
      <c r="O37" t="s">
        <v>99</v>
      </c>
      <c r="P37">
        <f>(P35+P36)/7</f>
        <v>1457.1428571428571</v>
      </c>
      <c r="U37">
        <v>900</v>
      </c>
    </row>
    <row r="38" spans="1:23" x14ac:dyDescent="0.3">
      <c r="U38">
        <f>U36+U37</f>
        <v>1600</v>
      </c>
    </row>
    <row r="39" spans="1:23" x14ac:dyDescent="0.3">
      <c r="O39" t="s">
        <v>102</v>
      </c>
      <c r="P39">
        <v>10900</v>
      </c>
      <c r="U39">
        <f>U38/8</f>
        <v>200</v>
      </c>
    </row>
    <row r="40" spans="1:23" x14ac:dyDescent="0.3">
      <c r="A40" s="42"/>
      <c r="B40" s="42" t="s">
        <v>123</v>
      </c>
      <c r="C40" s="42" t="s">
        <v>124</v>
      </c>
      <c r="D40" s="42" t="s">
        <v>112</v>
      </c>
      <c r="E40" s="42" t="s">
        <v>125</v>
      </c>
      <c r="F40" s="42" t="s">
        <v>134</v>
      </c>
      <c r="G40" s="42" t="s">
        <v>130</v>
      </c>
      <c r="H40" s="42" t="s">
        <v>106</v>
      </c>
      <c r="I40" s="42" t="s">
        <v>107</v>
      </c>
      <c r="J40" s="42" t="s">
        <v>108</v>
      </c>
      <c r="P40">
        <f>P39/8</f>
        <v>1362.5</v>
      </c>
    </row>
    <row r="41" spans="1:23" x14ac:dyDescent="0.3">
      <c r="A41" s="11" t="s">
        <v>61</v>
      </c>
      <c r="B41" s="50">
        <v>5000</v>
      </c>
      <c r="C41" s="50">
        <v>10000</v>
      </c>
      <c r="D41" s="50">
        <f>Balance_sheet!D10</f>
        <v>15719.2</v>
      </c>
      <c r="E41" s="50">
        <v>10000</v>
      </c>
      <c r="F41" s="50">
        <f>B41+E41</f>
        <v>15000</v>
      </c>
      <c r="G41" s="50">
        <f>F41-D41</f>
        <v>-719.20000000000073</v>
      </c>
      <c r="H41" s="18">
        <v>46900</v>
      </c>
      <c r="I41" s="18">
        <v>60000</v>
      </c>
      <c r="J41" s="59">
        <f>H41-I41+G41</f>
        <v>-13819.2</v>
      </c>
    </row>
    <row r="42" spans="1:23" x14ac:dyDescent="0.3">
      <c r="A42" s="1" t="s">
        <v>63</v>
      </c>
      <c r="B42" s="50">
        <v>5000</v>
      </c>
      <c r="C42" s="1"/>
      <c r="D42" s="50">
        <f>Balance_sheet!F10</f>
        <v>13890.6</v>
      </c>
      <c r="E42" s="50"/>
      <c r="F42" s="51">
        <f t="shared" ref="F42:F48" si="0">B42+E42</f>
        <v>5000</v>
      </c>
      <c r="G42" s="50">
        <f t="shared" ref="G42:G48" si="1">F42-D42</f>
        <v>-8890.6</v>
      </c>
      <c r="H42" s="18">
        <v>25646</v>
      </c>
      <c r="I42" s="18">
        <v>0</v>
      </c>
      <c r="J42" s="58">
        <f>H42+G42</f>
        <v>16755.400000000001</v>
      </c>
    </row>
    <row r="43" spans="1:23" x14ac:dyDescent="0.3">
      <c r="A43" s="11" t="s">
        <v>82</v>
      </c>
      <c r="B43" s="50">
        <v>5000</v>
      </c>
      <c r="C43" s="50">
        <v>30176</v>
      </c>
      <c r="D43" s="50">
        <f>Balance_sheet!B10</f>
        <v>15890.6</v>
      </c>
      <c r="E43" s="50">
        <v>10000</v>
      </c>
      <c r="F43" s="50">
        <f t="shared" si="0"/>
        <v>15000</v>
      </c>
      <c r="G43" s="50">
        <f t="shared" si="1"/>
        <v>-890.60000000000036</v>
      </c>
      <c r="H43" s="18">
        <v>7045</v>
      </c>
      <c r="I43" s="18">
        <v>0</v>
      </c>
      <c r="J43" s="58">
        <f>H43-I43+G43</f>
        <v>6154.4</v>
      </c>
      <c r="W43" s="18">
        <f>J42-V43</f>
        <v>16755.400000000001</v>
      </c>
    </row>
    <row r="44" spans="1:23" x14ac:dyDescent="0.3">
      <c r="A44" s="44" t="s">
        <v>72</v>
      </c>
      <c r="B44" s="50">
        <v>5000</v>
      </c>
      <c r="C44" s="44"/>
      <c r="D44" s="50">
        <f>Balance_sheet!I10</f>
        <v>14033.5</v>
      </c>
      <c r="E44" s="50">
        <v>10000</v>
      </c>
      <c r="F44" s="50">
        <f t="shared" si="0"/>
        <v>15000</v>
      </c>
      <c r="G44" s="50">
        <f t="shared" si="1"/>
        <v>966.5</v>
      </c>
      <c r="H44" s="1">
        <v>600</v>
      </c>
      <c r="I44" s="18">
        <v>0</v>
      </c>
      <c r="J44" s="58">
        <f>H44-I44+G44</f>
        <v>1566.5</v>
      </c>
      <c r="V44" s="43">
        <v>919</v>
      </c>
      <c r="W44" s="22">
        <f>(J43-V44)</f>
        <v>5235.3999999999996</v>
      </c>
    </row>
    <row r="45" spans="1:23" x14ac:dyDescent="0.3">
      <c r="A45" s="44" t="s">
        <v>64</v>
      </c>
      <c r="B45" s="50">
        <v>5000</v>
      </c>
      <c r="C45" s="44"/>
      <c r="D45" s="50">
        <f>Balance_sheet!G10</f>
        <v>15490.6</v>
      </c>
      <c r="E45" s="50">
        <v>10000</v>
      </c>
      <c r="F45" s="50">
        <f t="shared" si="0"/>
        <v>15000</v>
      </c>
      <c r="G45" s="50">
        <f t="shared" si="1"/>
        <v>-490.60000000000036</v>
      </c>
      <c r="H45" s="1">
        <v>850</v>
      </c>
      <c r="I45" s="18">
        <v>0</v>
      </c>
      <c r="J45" s="58">
        <f>H45-I45+G45</f>
        <v>359.39999999999964</v>
      </c>
      <c r="S45" t="s">
        <v>115</v>
      </c>
      <c r="T45" s="22">
        <f>K41+K46+K47+K48</f>
        <v>0</v>
      </c>
      <c r="W45">
        <v>998</v>
      </c>
    </row>
    <row r="46" spans="1:23" x14ac:dyDescent="0.3">
      <c r="A46" s="17" t="s">
        <v>65</v>
      </c>
      <c r="B46" s="50">
        <v>5000</v>
      </c>
      <c r="C46" s="17"/>
      <c r="D46" s="50">
        <f>Balance_sheet!H10</f>
        <v>15490.6</v>
      </c>
      <c r="E46" s="50"/>
      <c r="F46" s="51">
        <f t="shared" si="0"/>
        <v>5000</v>
      </c>
      <c r="G46" s="50">
        <f t="shared" si="1"/>
        <v>-10490.6</v>
      </c>
      <c r="H46" s="18">
        <v>0</v>
      </c>
      <c r="I46" s="18">
        <v>0</v>
      </c>
      <c r="J46" s="59">
        <f>G46</f>
        <v>-10490.6</v>
      </c>
      <c r="S46" t="s">
        <v>116</v>
      </c>
      <c r="T46" s="22">
        <f>SUM(K42:K45)</f>
        <v>0</v>
      </c>
      <c r="W46">
        <v>1541</v>
      </c>
    </row>
    <row r="47" spans="1:23" x14ac:dyDescent="0.3">
      <c r="A47" s="44" t="s">
        <v>60</v>
      </c>
      <c r="B47" s="50">
        <v>5000</v>
      </c>
      <c r="C47" s="44"/>
      <c r="D47" s="50">
        <f>Balance_sheet!C10</f>
        <v>15490.6</v>
      </c>
      <c r="E47" s="50">
        <v>10000</v>
      </c>
      <c r="F47" s="50">
        <f t="shared" si="0"/>
        <v>15000</v>
      </c>
      <c r="G47" s="50">
        <f t="shared" si="1"/>
        <v>-490.60000000000036</v>
      </c>
      <c r="H47" s="18">
        <v>0</v>
      </c>
      <c r="I47" s="18">
        <v>0</v>
      </c>
      <c r="J47" s="59">
        <f t="shared" ref="J47:J48" si="2">G47</f>
        <v>-490.60000000000036</v>
      </c>
    </row>
    <row r="48" spans="1:23" x14ac:dyDescent="0.3">
      <c r="A48" s="44" t="s">
        <v>62</v>
      </c>
      <c r="B48" s="50">
        <v>5000</v>
      </c>
      <c r="C48" s="44"/>
      <c r="D48" s="50">
        <f>Balance_sheet!E10</f>
        <v>15490.6</v>
      </c>
      <c r="E48" s="50">
        <v>10000</v>
      </c>
      <c r="F48" s="50">
        <f t="shared" si="0"/>
        <v>15000</v>
      </c>
      <c r="G48" s="50">
        <f t="shared" si="1"/>
        <v>-490.60000000000036</v>
      </c>
      <c r="H48" s="18">
        <v>0</v>
      </c>
      <c r="I48" s="18">
        <v>0</v>
      </c>
      <c r="J48" s="59">
        <f t="shared" si="2"/>
        <v>-490.60000000000036</v>
      </c>
      <c r="W48" s="22">
        <f>SUM(W43:W46)</f>
        <v>24529.800000000003</v>
      </c>
    </row>
    <row r="50" spans="2:21" x14ac:dyDescent="0.3">
      <c r="B50" s="52">
        <f t="shared" ref="B50:H50" si="3">SUM(B41:B48)</f>
        <v>40000</v>
      </c>
      <c r="C50" s="52">
        <f t="shared" si="3"/>
        <v>40176</v>
      </c>
      <c r="D50" s="60">
        <f t="shared" si="3"/>
        <v>121496.30000000002</v>
      </c>
      <c r="E50" s="60">
        <f t="shared" si="3"/>
        <v>60000</v>
      </c>
      <c r="F50" s="60">
        <f t="shared" si="3"/>
        <v>100000</v>
      </c>
      <c r="G50" s="60">
        <f t="shared" si="3"/>
        <v>-21496.300000000003</v>
      </c>
      <c r="H50" s="60">
        <f t="shared" si="3"/>
        <v>81041</v>
      </c>
      <c r="I50" s="60"/>
      <c r="J50" s="60">
        <f>SUM(J41:J48)</f>
        <v>-455.30000000000109</v>
      </c>
    </row>
    <row r="51" spans="2:21" x14ac:dyDescent="0.3">
      <c r="U51">
        <f>(15000+7221)</f>
        <v>22221</v>
      </c>
    </row>
    <row r="52" spans="2:21" x14ac:dyDescent="0.3">
      <c r="B52" s="49" t="s">
        <v>66</v>
      </c>
      <c r="C52" s="49">
        <f>B50-C50</f>
        <v>-176</v>
      </c>
      <c r="M52" t="s">
        <v>121</v>
      </c>
    </row>
    <row r="53" spans="2:21" x14ac:dyDescent="0.3">
      <c r="H53" s="1" t="s">
        <v>117</v>
      </c>
      <c r="I53" s="18">
        <f>G41+G43+G44+G46+G45+G47+G48</f>
        <v>-12605.700000000003</v>
      </c>
      <c r="J53" s="1"/>
      <c r="L53" t="s">
        <v>63</v>
      </c>
      <c r="M53">
        <v>30646</v>
      </c>
    </row>
    <row r="54" spans="2:21" x14ac:dyDescent="0.3">
      <c r="H54" s="1" t="s">
        <v>110</v>
      </c>
      <c r="I54" s="18">
        <f>J41</f>
        <v>-13819.2</v>
      </c>
      <c r="J54" s="1" t="s">
        <v>119</v>
      </c>
      <c r="L54" t="s">
        <v>122</v>
      </c>
      <c r="M54" s="11">
        <v>13459</v>
      </c>
    </row>
    <row r="55" spans="2:21" x14ac:dyDescent="0.3">
      <c r="H55" s="1" t="s">
        <v>126</v>
      </c>
      <c r="I55" s="47">
        <f>-(I53+I54)</f>
        <v>26424.9</v>
      </c>
      <c r="J55" s="1"/>
      <c r="M55">
        <f>(M53-M54)</f>
        <v>17187</v>
      </c>
    </row>
    <row r="56" spans="2:21" x14ac:dyDescent="0.3">
      <c r="H56" s="1" t="s">
        <v>118</v>
      </c>
      <c r="I56" s="18">
        <f>J42</f>
        <v>16755.400000000001</v>
      </c>
      <c r="J56" s="1" t="s">
        <v>119</v>
      </c>
    </row>
    <row r="57" spans="2:21" x14ac:dyDescent="0.3">
      <c r="H57" s="1"/>
      <c r="I57" s="47">
        <f>(I55-I56)</f>
        <v>9669.5</v>
      </c>
      <c r="J57" s="1"/>
    </row>
    <row r="58" spans="2:21" x14ac:dyDescent="0.3">
      <c r="H58" s="1" t="s">
        <v>120</v>
      </c>
      <c r="I58" s="18">
        <f>J43</f>
        <v>6154.4</v>
      </c>
      <c r="J58" s="1" t="s">
        <v>119</v>
      </c>
    </row>
    <row r="59" spans="2:21" x14ac:dyDescent="0.3">
      <c r="H59" s="1"/>
      <c r="I59" s="47">
        <f>(I57-I58)</f>
        <v>3515.1000000000004</v>
      </c>
      <c r="J59" s="1"/>
    </row>
    <row r="60" spans="2:21" x14ac:dyDescent="0.3">
      <c r="H60" s="17" t="s">
        <v>131</v>
      </c>
      <c r="I60" s="18">
        <f>J44</f>
        <v>1566.5</v>
      </c>
      <c r="J60" s="1" t="s">
        <v>119</v>
      </c>
    </row>
    <row r="61" spans="2:21" x14ac:dyDescent="0.3">
      <c r="H61" s="1"/>
      <c r="I61" s="47">
        <f>(I59-I60)</f>
        <v>1948.6000000000004</v>
      </c>
      <c r="J61" s="1"/>
    </row>
    <row r="62" spans="2:21" x14ac:dyDescent="0.3">
      <c r="H62" s="1" t="s">
        <v>132</v>
      </c>
      <c r="I62" s="18">
        <f>J45</f>
        <v>359.39999999999964</v>
      </c>
      <c r="J62" s="1" t="s">
        <v>133</v>
      </c>
    </row>
    <row r="63" spans="2:21" x14ac:dyDescent="0.3">
      <c r="H63" s="1"/>
      <c r="I63" s="47">
        <f>(I61-I62)</f>
        <v>1589.2000000000007</v>
      </c>
      <c r="J63" s="1"/>
    </row>
  </sheetData>
  <mergeCells count="5">
    <mergeCell ref="E2:E13"/>
    <mergeCell ref="E14:E19"/>
    <mergeCell ref="E20:E23"/>
    <mergeCell ref="E27:E30"/>
    <mergeCell ref="E25:E26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B2893-3EC3-4CD7-BDED-BAEA62ACF145}">
  <dimension ref="A1:L20"/>
  <sheetViews>
    <sheetView workbookViewId="0">
      <selection activeCell="D11" sqref="D11"/>
    </sheetView>
  </sheetViews>
  <sheetFormatPr defaultRowHeight="14.4" x14ac:dyDescent="0.3"/>
  <cols>
    <col min="2" max="2" width="9.109375" bestFit="1" customWidth="1"/>
    <col min="3" max="3" width="42.44140625" bestFit="1" customWidth="1"/>
    <col min="4" max="4" width="9.33203125" bestFit="1" customWidth="1"/>
    <col min="7" max="7" width="9.6640625" bestFit="1" customWidth="1"/>
    <col min="8" max="8" width="29.109375" bestFit="1" customWidth="1"/>
    <col min="9" max="9" width="9.44140625" bestFit="1" customWidth="1"/>
    <col min="10" max="10" width="9.44140625" customWidth="1"/>
  </cols>
  <sheetData>
    <row r="1" spans="1:12" x14ac:dyDescent="0.3">
      <c r="A1" s="42"/>
      <c r="B1" s="42" t="s">
        <v>123</v>
      </c>
      <c r="C1" s="42" t="s">
        <v>124</v>
      </c>
      <c r="D1" s="42" t="s">
        <v>112</v>
      </c>
      <c r="E1" s="42"/>
      <c r="F1" s="42" t="s">
        <v>111</v>
      </c>
      <c r="G1" s="42" t="s">
        <v>113</v>
      </c>
      <c r="H1" s="42" t="s">
        <v>106</v>
      </c>
      <c r="I1" s="42" t="s">
        <v>107</v>
      </c>
      <c r="J1" s="42" t="s">
        <v>108</v>
      </c>
      <c r="K1" s="42" t="s">
        <v>114</v>
      </c>
    </row>
    <row r="2" spans="1:12" x14ac:dyDescent="0.3">
      <c r="A2" s="11" t="s">
        <v>61</v>
      </c>
      <c r="B2" s="11">
        <v>5000</v>
      </c>
      <c r="C2" s="11">
        <v>10000</v>
      </c>
      <c r="D2" s="11">
        <f>Balance_sheet!D10</f>
        <v>15719.2</v>
      </c>
      <c r="E2" s="11"/>
      <c r="F2" s="11">
        <v>15000</v>
      </c>
      <c r="G2" s="11">
        <f t="shared" ref="G2:G9" si="0">(F2-D2)</f>
        <v>-719.20000000000073</v>
      </c>
      <c r="H2" s="18">
        <v>46900</v>
      </c>
      <c r="I2" s="18">
        <v>60000</v>
      </c>
      <c r="J2" s="18">
        <f>H2-I2</f>
        <v>-13100</v>
      </c>
      <c r="K2" s="18">
        <f>(J2+G2)</f>
        <v>-13819.2</v>
      </c>
      <c r="L2" s="22">
        <v>-13388</v>
      </c>
    </row>
    <row r="3" spans="1:12" x14ac:dyDescent="0.3">
      <c r="A3" s="1" t="s">
        <v>63</v>
      </c>
      <c r="B3" s="11">
        <v>5000</v>
      </c>
      <c r="C3" s="1"/>
      <c r="D3" s="11">
        <f>Balance_sheet!F10</f>
        <v>13890.6</v>
      </c>
      <c r="E3" s="11"/>
      <c r="F3" s="1">
        <v>5000</v>
      </c>
      <c r="G3" s="11">
        <f t="shared" si="0"/>
        <v>-8890.6</v>
      </c>
      <c r="H3" s="18">
        <v>25646</v>
      </c>
      <c r="I3" s="18"/>
      <c r="J3" s="18">
        <f>H3+G3</f>
        <v>16755.400000000001</v>
      </c>
      <c r="K3" s="18">
        <f>H3+G3</f>
        <v>16755.400000000001</v>
      </c>
      <c r="L3" s="22">
        <v>17187</v>
      </c>
    </row>
    <row r="4" spans="1:12" x14ac:dyDescent="0.3">
      <c r="A4" s="11" t="s">
        <v>82</v>
      </c>
      <c r="B4" s="11">
        <v>5000</v>
      </c>
      <c r="C4" s="11">
        <v>30176</v>
      </c>
      <c r="D4" s="11">
        <f>Balance_sheet!B10</f>
        <v>15890.6</v>
      </c>
      <c r="E4" s="11"/>
      <c r="F4" s="11">
        <v>15000</v>
      </c>
      <c r="G4" s="11">
        <f t="shared" si="0"/>
        <v>-890.60000000000036</v>
      </c>
      <c r="H4" s="18">
        <v>7045</v>
      </c>
      <c r="I4" s="18"/>
      <c r="J4" s="18">
        <v>7045</v>
      </c>
      <c r="K4" s="18">
        <f>(J4+G4)</f>
        <v>6154.4</v>
      </c>
      <c r="L4" s="22">
        <f>(K4+K8)</f>
        <v>5695.4</v>
      </c>
    </row>
    <row r="5" spans="1:12" x14ac:dyDescent="0.3">
      <c r="A5" s="44" t="s">
        <v>72</v>
      </c>
      <c r="B5" s="11">
        <v>5000</v>
      </c>
      <c r="C5" s="44"/>
      <c r="D5" s="44">
        <f>Balance_sheet!I10</f>
        <v>14033.5</v>
      </c>
      <c r="E5" s="44"/>
      <c r="F5" s="44">
        <v>15000</v>
      </c>
      <c r="G5" s="45">
        <f t="shared" si="0"/>
        <v>966.5</v>
      </c>
      <c r="H5" s="1"/>
      <c r="I5" s="1"/>
      <c r="J5" s="1">
        <v>998</v>
      </c>
      <c r="K5" s="46">
        <v>998</v>
      </c>
      <c r="L5" s="46">
        <v>998</v>
      </c>
    </row>
    <row r="6" spans="1:12" x14ac:dyDescent="0.3">
      <c r="A6" s="44" t="s">
        <v>64</v>
      </c>
      <c r="B6" s="11">
        <v>5000</v>
      </c>
      <c r="C6" s="44"/>
      <c r="D6" s="11">
        <f>Balance_sheet!G10</f>
        <v>15490.6</v>
      </c>
      <c r="E6" s="11"/>
      <c r="F6" s="44">
        <v>15000</v>
      </c>
      <c r="G6" s="45">
        <f t="shared" si="0"/>
        <v>-490.60000000000036</v>
      </c>
      <c r="H6" s="1"/>
      <c r="I6" s="1"/>
      <c r="J6" s="1">
        <v>1541</v>
      </c>
      <c r="K6" s="46">
        <v>1541</v>
      </c>
      <c r="L6" s="46">
        <v>1541</v>
      </c>
    </row>
    <row r="7" spans="1:12" x14ac:dyDescent="0.3">
      <c r="A7" s="17" t="s">
        <v>65</v>
      </c>
      <c r="B7" s="11">
        <v>5000</v>
      </c>
      <c r="C7" s="17"/>
      <c r="D7" s="11">
        <f>Balance_sheet!H10</f>
        <v>15490.6</v>
      </c>
      <c r="E7" s="11"/>
      <c r="F7" s="17">
        <v>5000</v>
      </c>
      <c r="G7" s="11">
        <f t="shared" si="0"/>
        <v>-10490.6</v>
      </c>
      <c r="H7" s="1"/>
      <c r="I7" s="1"/>
      <c r="J7" s="1">
        <v>-10459</v>
      </c>
      <c r="K7" s="1">
        <v>-10459</v>
      </c>
      <c r="L7" s="1">
        <v>-10459</v>
      </c>
    </row>
    <row r="8" spans="1:12" x14ac:dyDescent="0.3">
      <c r="A8" s="44" t="s">
        <v>60</v>
      </c>
      <c r="B8" s="11">
        <v>5000</v>
      </c>
      <c r="C8" s="44"/>
      <c r="D8" s="11">
        <f>Balance_sheet!C10</f>
        <v>15490.6</v>
      </c>
      <c r="E8" s="11"/>
      <c r="F8" s="44">
        <v>15000</v>
      </c>
      <c r="G8" s="11">
        <f t="shared" si="0"/>
        <v>-490.60000000000036</v>
      </c>
      <c r="H8" s="1"/>
      <c r="I8" s="1"/>
      <c r="J8" s="1">
        <v>-459</v>
      </c>
      <c r="K8" s="1">
        <v>-459</v>
      </c>
      <c r="L8" s="1">
        <v>-459</v>
      </c>
    </row>
    <row r="9" spans="1:12" x14ac:dyDescent="0.3">
      <c r="A9" s="44" t="s">
        <v>62</v>
      </c>
      <c r="B9" s="11">
        <v>5000</v>
      </c>
      <c r="C9" s="44"/>
      <c r="D9" s="11">
        <f>Balance_sheet!E10</f>
        <v>15490.6</v>
      </c>
      <c r="E9" s="11"/>
      <c r="F9" s="44">
        <v>15000</v>
      </c>
      <c r="G9" s="11">
        <f t="shared" si="0"/>
        <v>-490.60000000000036</v>
      </c>
      <c r="H9" s="1"/>
      <c r="I9" s="1"/>
      <c r="J9" s="1">
        <v>-459</v>
      </c>
      <c r="K9" s="1">
        <v>-459</v>
      </c>
      <c r="L9" s="1">
        <v>-459</v>
      </c>
    </row>
    <row r="11" spans="1:12" x14ac:dyDescent="0.3">
      <c r="B11" s="48">
        <f>SUM(B2:B9)</f>
        <v>40000</v>
      </c>
      <c r="C11" s="48">
        <f>SUM(C2:C9)</f>
        <v>40176</v>
      </c>
      <c r="D11">
        <f>SUM(D2:D9)</f>
        <v>121496.30000000002</v>
      </c>
      <c r="F11">
        <f>SUM(F2:F9)</f>
        <v>100000</v>
      </c>
      <c r="G11">
        <f>SUM(G2:G9)</f>
        <v>-21496.300000000003</v>
      </c>
      <c r="H11">
        <f>SUM(H2:H9)</f>
        <v>79591</v>
      </c>
      <c r="J11">
        <f>SUM(J2:J9)</f>
        <v>1862.4000000000015</v>
      </c>
      <c r="K11">
        <f>SUM(K2:K9)</f>
        <v>252.60000000000036</v>
      </c>
      <c r="L11">
        <f>SUM(L2:L9)</f>
        <v>656.39999999999964</v>
      </c>
    </row>
    <row r="13" spans="1:12" x14ac:dyDescent="0.3">
      <c r="B13" s="49" t="s">
        <v>66</v>
      </c>
      <c r="C13" s="49">
        <f>B11-C11</f>
        <v>-176</v>
      </c>
    </row>
    <row r="14" spans="1:12" x14ac:dyDescent="0.3">
      <c r="H14" s="1" t="s">
        <v>117</v>
      </c>
      <c r="I14" s="18">
        <v>-11585</v>
      </c>
      <c r="J14" s="1"/>
      <c r="L14" t="s">
        <v>63</v>
      </c>
    </row>
    <row r="15" spans="1:12" x14ac:dyDescent="0.3">
      <c r="H15" s="1" t="s">
        <v>110</v>
      </c>
      <c r="I15" s="18">
        <f>K2</f>
        <v>-13819.2</v>
      </c>
      <c r="J15" s="1" t="s">
        <v>119</v>
      </c>
      <c r="L15" t="s">
        <v>122</v>
      </c>
    </row>
    <row r="16" spans="1:12" x14ac:dyDescent="0.3">
      <c r="H16" s="1"/>
      <c r="I16" s="47">
        <f>-(I14+I15)</f>
        <v>25404.2</v>
      </c>
      <c r="J16" s="1"/>
    </row>
    <row r="17" spans="8:10" x14ac:dyDescent="0.3">
      <c r="H17" s="1" t="s">
        <v>118</v>
      </c>
      <c r="I17" s="18">
        <f>K3</f>
        <v>16755.400000000001</v>
      </c>
      <c r="J17" s="1" t="s">
        <v>119</v>
      </c>
    </row>
    <row r="18" spans="8:10" x14ac:dyDescent="0.3">
      <c r="H18" s="1"/>
      <c r="I18" s="47">
        <f>(I16-I17)</f>
        <v>8648.7999999999993</v>
      </c>
      <c r="J18" s="1"/>
    </row>
    <row r="19" spans="8:10" x14ac:dyDescent="0.3">
      <c r="H19" s="1" t="s">
        <v>120</v>
      </c>
      <c r="I19" s="18">
        <f>L4</f>
        <v>5695.4</v>
      </c>
      <c r="J19" s="1" t="s">
        <v>119</v>
      </c>
    </row>
    <row r="20" spans="8:10" x14ac:dyDescent="0.3">
      <c r="H20" s="1"/>
      <c r="I20" s="47">
        <f>(I18-I19)</f>
        <v>2953.3999999999996</v>
      </c>
      <c r="J2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18154284366A4FA93B081F72536FE1" ma:contentTypeVersion="14" ma:contentTypeDescription="Create a new document." ma:contentTypeScope="" ma:versionID="569085784e293969fefa0130d63bf9eb">
  <xsd:schema xmlns:xsd="http://www.w3.org/2001/XMLSchema" xmlns:xs="http://www.w3.org/2001/XMLSchema" xmlns:p="http://schemas.microsoft.com/office/2006/metadata/properties" xmlns:ns3="ea532830-a4b5-4950-98cb-6ea18e165800" xmlns:ns4="8773250f-ad11-4e35-84f0-08e95da108f3" targetNamespace="http://schemas.microsoft.com/office/2006/metadata/properties" ma:root="true" ma:fieldsID="30da6ee710509e0470492bc088680bd3" ns3:_="" ns4:_="">
    <xsd:import namespace="ea532830-a4b5-4950-98cb-6ea18e165800"/>
    <xsd:import namespace="8773250f-ad11-4e35-84f0-08e95da108f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ingHintHash" minOccurs="0"/>
                <xsd:element ref="ns4:SharedWithDetail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532830-a4b5-4950-98cb-6ea18e165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3250f-ad11-4e35-84f0-08e95da108f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4A13DA-6ED4-4DF0-B232-B4D49B3421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605559-3B51-4BC7-B2BC-DDCA1B4A5E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532830-a4b5-4950-98cb-6ea18e165800"/>
    <ds:schemaRef ds:uri="8773250f-ad11-4e35-84f0-08e95da108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E6EB34-8EBC-4BA6-BA34-869C6D2D237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UP-Vijaypura Stay</vt:lpstr>
      <vt:lpstr>Balance_sheet</vt:lpstr>
      <vt:lpstr>Sheet3</vt:lpstr>
      <vt:lpstr>Day wise plan</vt:lpstr>
      <vt:lpstr>Expenses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Vanam, Prashanth</dc:creator>
  <cp:lastModifiedBy>Vanam, Prashanth</cp:lastModifiedBy>
  <dcterms:created xsi:type="dcterms:W3CDTF">2022-10-16T12:45:02Z</dcterms:created>
  <dcterms:modified xsi:type="dcterms:W3CDTF">2022-12-07T10:01:49Z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0x0101007818154284366A4FA93B081F72536FE1</vt:lpwstr>
  </property>
</Properties>
</file>