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WC\Mobile\"/>
    </mc:Choice>
  </mc:AlternateContent>
  <bookViews>
    <workbookView xWindow="0" yWindow="0" windowWidth="23040" windowHeight="9384" activeTab="2"/>
  </bookViews>
  <sheets>
    <sheet name="Summary" sheetId="2" r:id="rId1"/>
    <sheet name="Web Api" sheetId="1" r:id="rId2"/>
    <sheet name="Mobile App - Android &amp; iOS" sheetId="3" r:id="rId3"/>
    <sheet name="Call" sheetId="4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4" l="1"/>
  <c r="J4" i="4"/>
  <c r="J5" i="4"/>
  <c r="J6" i="4"/>
  <c r="J3" i="4"/>
  <c r="G22" i="4"/>
  <c r="G19" i="4"/>
  <c r="C15" i="4" l="1"/>
  <c r="J18" i="3"/>
  <c r="B14" i="4"/>
  <c r="B17" i="4"/>
  <c r="C17" i="4" s="1"/>
  <c r="B18" i="4"/>
  <c r="B15" i="4"/>
  <c r="B16" i="4"/>
  <c r="B16" i="2"/>
  <c r="E4" i="2"/>
  <c r="C14" i="4" l="1"/>
  <c r="C18" i="4"/>
  <c r="C16" i="4"/>
  <c r="J7" i="2"/>
  <c r="T7" i="2" s="1"/>
  <c r="J11" i="2"/>
  <c r="T11" i="2" s="1"/>
  <c r="I11" i="2"/>
  <c r="S11" i="2" s="1"/>
  <c r="Q11" i="2"/>
  <c r="Q9" i="2"/>
  <c r="Q10" i="2"/>
  <c r="Q8" i="2"/>
  <c r="Q7" i="2"/>
  <c r="Q6" i="2"/>
  <c r="Q5" i="2"/>
  <c r="Q4" i="2"/>
  <c r="Q3" i="2"/>
  <c r="P7" i="2"/>
  <c r="P6" i="2"/>
  <c r="P5" i="2"/>
  <c r="P4" i="2"/>
  <c r="M7" i="2"/>
  <c r="M5" i="2"/>
  <c r="M4" i="2"/>
  <c r="C19" i="1"/>
  <c r="C20" i="1"/>
  <c r="C21" i="1"/>
  <c r="C22" i="1"/>
  <c r="C23" i="1"/>
  <c r="C24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F4" i="2"/>
  <c r="G4" i="2" s="1"/>
  <c r="K4" i="2" s="1"/>
  <c r="H4" i="2" s="1"/>
  <c r="R4" i="2" s="1"/>
  <c r="B25" i="1"/>
  <c r="E5" i="2"/>
  <c r="F5" i="2" s="1"/>
  <c r="G5" i="2" s="1"/>
  <c r="K5" i="2" s="1"/>
  <c r="H5" i="2" s="1"/>
  <c r="R5" i="2" s="1"/>
  <c r="E6" i="2"/>
  <c r="F6" i="2" s="1"/>
  <c r="G6" i="2" s="1"/>
  <c r="K6" i="2" s="1"/>
  <c r="H6" i="2" s="1"/>
  <c r="R6" i="2" s="1"/>
  <c r="E11" i="2"/>
  <c r="F11" i="2" s="1"/>
  <c r="G11" i="2" s="1"/>
  <c r="K11" i="2" s="1"/>
  <c r="H11" i="2" s="1"/>
  <c r="R11" i="2" s="1"/>
  <c r="E9" i="2"/>
  <c r="F9" i="2" s="1"/>
  <c r="G9" i="2" s="1"/>
  <c r="K9" i="2" s="1"/>
  <c r="H9" i="2" s="1"/>
  <c r="R9" i="2" s="1"/>
  <c r="E8" i="2"/>
  <c r="F8" i="2" s="1"/>
  <c r="G8" i="2" s="1"/>
  <c r="K8" i="2" s="1"/>
  <c r="H8" i="2" s="1"/>
  <c r="R8" i="2" s="1"/>
  <c r="E7" i="2"/>
  <c r="F7" i="2" s="1"/>
  <c r="G7" i="2" s="1"/>
  <c r="K7" i="2" s="1"/>
  <c r="H7" i="2" s="1"/>
  <c r="R7" i="2" s="1"/>
  <c r="M14" i="2"/>
  <c r="N14" i="2" s="1"/>
  <c r="K23" i="3"/>
  <c r="J23" i="3"/>
  <c r="J21" i="3"/>
  <c r="J22" i="3"/>
  <c r="B23" i="1"/>
  <c r="B22" i="1"/>
  <c r="B21" i="1"/>
  <c r="B19" i="1"/>
  <c r="B2" i="1"/>
  <c r="B18" i="1"/>
  <c r="K24" i="3"/>
  <c r="C9" i="3"/>
  <c r="J8" i="3" s="1"/>
  <c r="J19" i="3" l="1"/>
  <c r="I8" i="2"/>
  <c r="S8" i="2" s="1"/>
  <c r="J4" i="2"/>
  <c r="T4" i="2" s="1"/>
  <c r="I7" i="2"/>
  <c r="S7" i="2" s="1"/>
  <c r="J9" i="2"/>
  <c r="T9" i="2" s="1"/>
  <c r="I4" i="2"/>
  <c r="S4" i="2" s="1"/>
  <c r="J8" i="2"/>
  <c r="T8" i="2" s="1"/>
  <c r="I6" i="2"/>
  <c r="S6" i="2" s="1"/>
  <c r="J6" i="2"/>
  <c r="T6" i="2" s="1"/>
  <c r="J5" i="2"/>
  <c r="T5" i="2" s="1"/>
  <c r="I9" i="2"/>
  <c r="S9" i="2" s="1"/>
  <c r="I5" i="2"/>
  <c r="S5" i="2" s="1"/>
  <c r="P8" i="2"/>
  <c r="K19" i="3" l="1"/>
  <c r="I29" i="3"/>
  <c r="E3" i="2"/>
  <c r="F3" i="2" s="1"/>
  <c r="D16" i="2" l="1"/>
  <c r="G3" i="2"/>
  <c r="I30" i="3"/>
  <c r="M15" i="2"/>
  <c r="E10" i="2"/>
  <c r="F10" i="2" s="1"/>
  <c r="G10" i="2" s="1"/>
  <c r="M3" i="2"/>
  <c r="E86" i="3"/>
  <c r="C86" i="3"/>
  <c r="E85" i="3"/>
  <c r="C85" i="3"/>
  <c r="E79" i="3"/>
  <c r="E80" i="3"/>
  <c r="C80" i="3"/>
  <c r="C79" i="3"/>
  <c r="E26" i="3"/>
  <c r="C26" i="3"/>
  <c r="E25" i="3"/>
  <c r="C25" i="3"/>
  <c r="E24" i="3"/>
  <c r="C24" i="3"/>
  <c r="E23" i="3"/>
  <c r="C23" i="3"/>
  <c r="M16" i="2" l="1"/>
  <c r="N16" i="2" s="1"/>
  <c r="N15" i="2"/>
  <c r="N17" i="2" s="1"/>
  <c r="M17" i="2"/>
  <c r="G12" i="2"/>
  <c r="G13" i="2"/>
  <c r="K3" i="2"/>
  <c r="H3" i="2" s="1"/>
  <c r="I3" i="2"/>
  <c r="S3" i="2" s="1"/>
  <c r="S12" i="2" s="1"/>
  <c r="R18" i="2" s="1"/>
  <c r="J3" i="2"/>
  <c r="T3" i="2" s="1"/>
  <c r="T12" i="2" s="1"/>
  <c r="K10" i="2"/>
  <c r="H10" i="2" s="1"/>
  <c r="R10" i="2" s="1"/>
  <c r="I10" i="2"/>
  <c r="S10" i="2" s="1"/>
  <c r="J10" i="2"/>
  <c r="T10" i="2" s="1"/>
  <c r="E16" i="2"/>
  <c r="D17" i="2"/>
  <c r="E17" i="2" s="1"/>
  <c r="E54" i="3"/>
  <c r="C54" i="3"/>
  <c r="E34" i="3"/>
  <c r="C34" i="3"/>
  <c r="E94" i="3"/>
  <c r="C94" i="3"/>
  <c r="E100" i="3"/>
  <c r="C100" i="3"/>
  <c r="E96" i="3"/>
  <c r="C96" i="3"/>
  <c r="C95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4" i="3"/>
  <c r="C84" i="3"/>
  <c r="E83" i="3"/>
  <c r="C83" i="3"/>
  <c r="E82" i="3"/>
  <c r="C82" i="3"/>
  <c r="E81" i="3"/>
  <c r="C81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3" i="3"/>
  <c r="C33" i="3"/>
  <c r="E30" i="3"/>
  <c r="C30" i="3"/>
  <c r="E29" i="3"/>
  <c r="C29" i="3"/>
  <c r="E28" i="3"/>
  <c r="C28" i="3"/>
  <c r="E27" i="3"/>
  <c r="C27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0" i="3"/>
  <c r="C10" i="3"/>
  <c r="S18" i="2" l="1"/>
  <c r="U18" i="2" s="1"/>
  <c r="R23" i="2"/>
  <c r="J12" i="2"/>
  <c r="I12" i="2"/>
  <c r="R3" i="2"/>
  <c r="H12" i="2"/>
  <c r="H15" i="2" s="1"/>
  <c r="V12" i="2"/>
  <c r="U13" i="2"/>
  <c r="V13" i="2" s="1"/>
  <c r="U12" i="2"/>
  <c r="K13" i="2"/>
  <c r="G14" i="2"/>
  <c r="K8" i="3"/>
  <c r="J20" i="3"/>
  <c r="K18" i="3"/>
  <c r="M6" i="2" s="1"/>
  <c r="M8" i="2" s="1"/>
  <c r="M10" i="2" s="1"/>
  <c r="C102" i="3"/>
  <c r="K21" i="3"/>
  <c r="J9" i="3"/>
  <c r="K9" i="3" s="1"/>
  <c r="E102" i="3"/>
  <c r="J10" i="3"/>
  <c r="K10" i="3" s="1"/>
  <c r="J7" i="3"/>
  <c r="K7" i="3" s="1"/>
  <c r="T23" i="2" l="1"/>
  <c r="R16" i="2"/>
  <c r="R17" i="2"/>
  <c r="R12" i="2"/>
  <c r="V18" i="2"/>
  <c r="K20" i="3"/>
  <c r="K22" i="3"/>
  <c r="K11" i="3"/>
  <c r="I14" i="3" s="1"/>
  <c r="I13" i="3"/>
  <c r="S17" i="2" l="1"/>
  <c r="U17" i="2" s="1"/>
  <c r="V17" i="2" s="1"/>
  <c r="R22" i="2"/>
  <c r="S16" i="2"/>
  <c r="U16" i="2" s="1"/>
  <c r="V16" i="2" s="1"/>
  <c r="R21" i="2"/>
  <c r="N22" i="3"/>
  <c r="K25" i="3"/>
</calcChain>
</file>

<file path=xl/comments1.xml><?xml version="1.0" encoding="utf-8"?>
<comments xmlns="http://schemas.openxmlformats.org/spreadsheetml/2006/main">
  <authors>
    <author>Prashant</author>
  </authors>
  <commentList>
    <comment ref="S18" authorId="0" shapeId="0">
      <text>
        <r>
          <rPr>
            <b/>
            <sz val="9"/>
            <color indexed="81"/>
            <rFont val="Tahoma"/>
            <charset val="1"/>
          </rPr>
          <t>Prashant:</t>
        </r>
        <r>
          <rPr>
            <sz val="9"/>
            <color indexed="81"/>
            <rFont val="Tahoma"/>
            <charset val="1"/>
          </rPr>
          <t xml:space="preserve">
Does not make sense</t>
        </r>
      </text>
    </comment>
  </commentList>
</comments>
</file>

<file path=xl/sharedStrings.xml><?xml version="1.0" encoding="utf-8"?>
<sst xmlns="http://schemas.openxmlformats.org/spreadsheetml/2006/main" count="255" uniqueCount="206">
  <si>
    <t>Modules</t>
  </si>
  <si>
    <t>Man Hour</t>
  </si>
  <si>
    <t>Forgot Password</t>
  </si>
  <si>
    <t>Reset Password</t>
  </si>
  <si>
    <t xml:space="preserve">Tax Filing </t>
  </si>
  <si>
    <t>Assessment Year</t>
  </si>
  <si>
    <t xml:space="preserve">Payment </t>
  </si>
  <si>
    <t>XML Upload</t>
  </si>
  <si>
    <t>Personal Details</t>
  </si>
  <si>
    <t>Income Sources</t>
  </si>
  <si>
    <t>Deductions</t>
  </si>
  <si>
    <t>Taxes Paid</t>
  </si>
  <si>
    <t>Summary &amp; Review</t>
  </si>
  <si>
    <t>Dashboard</t>
  </si>
  <si>
    <t>Testing</t>
  </si>
  <si>
    <t xml:space="preserve">Plan Selection </t>
  </si>
  <si>
    <t>Total</t>
  </si>
  <si>
    <t>Login (with two factor authentication)</t>
  </si>
  <si>
    <t>Change Password</t>
  </si>
  <si>
    <r>
      <t xml:space="preserve">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Taxbreeze Mobile Estimate</t>
    </r>
  </si>
  <si>
    <t>Hours</t>
  </si>
  <si>
    <t>Days</t>
  </si>
  <si>
    <t>Resources</t>
  </si>
  <si>
    <t>Android</t>
  </si>
  <si>
    <t>iOS</t>
  </si>
  <si>
    <t>PM</t>
  </si>
  <si>
    <t>Ui Design</t>
  </si>
  <si>
    <t>Designer</t>
  </si>
  <si>
    <t>UI/UX (15 page layout only)</t>
  </si>
  <si>
    <t>Developer</t>
  </si>
  <si>
    <t>Page Design</t>
  </si>
  <si>
    <t>QA</t>
  </si>
  <si>
    <t xml:space="preserve">Total </t>
  </si>
  <si>
    <t>Development</t>
  </si>
  <si>
    <t>UI/UX</t>
  </si>
  <si>
    <t>Basic Setup</t>
  </si>
  <si>
    <t>Andorid</t>
  </si>
  <si>
    <t>Delivery Time</t>
  </si>
  <si>
    <t>Splash Screen</t>
  </si>
  <si>
    <t>Total Effort</t>
  </si>
  <si>
    <t>Login Page</t>
  </si>
  <si>
    <t>SignUp page</t>
  </si>
  <si>
    <t>IOS</t>
  </si>
  <si>
    <t>Eligibility page</t>
  </si>
  <si>
    <t>Dash board</t>
  </si>
  <si>
    <t xml:space="preserve">challan                                     </t>
  </si>
  <si>
    <t xml:space="preserve">filter                                    </t>
  </si>
  <si>
    <t>Start Tax return</t>
  </si>
  <si>
    <t xml:space="preserve">Finantial year selection                  </t>
  </si>
  <si>
    <t>Package Selection</t>
  </si>
  <si>
    <t xml:space="preserve">Selection Prefill with XML data /Prefill with PAN data </t>
  </si>
  <si>
    <r>
      <rPr>
        <b/>
        <sz val="11"/>
        <color theme="1"/>
        <rFont val="Calibri"/>
        <family val="2"/>
        <scheme val="minor"/>
      </rPr>
      <t xml:space="preserve">Personal details </t>
    </r>
    <r>
      <rPr>
        <sz val="11"/>
        <color theme="1"/>
        <rFont val="Calibri"/>
        <family val="2"/>
        <scheme val="minor"/>
      </rPr>
      <t xml:space="preserve">                              </t>
    </r>
  </si>
  <si>
    <t>Personal information</t>
  </si>
  <si>
    <t xml:space="preserve">Address                                      </t>
  </si>
  <si>
    <t>Bank details</t>
  </si>
  <si>
    <t xml:space="preserve">Primary Bank Account                          </t>
  </si>
  <si>
    <t xml:space="preserve">All other bank Accounts                       </t>
  </si>
  <si>
    <t>Asset and Liability</t>
  </si>
  <si>
    <t>Foreign Assets</t>
  </si>
  <si>
    <t>Salary</t>
  </si>
  <si>
    <t>Upload</t>
  </si>
  <si>
    <t xml:space="preserve">other income </t>
  </si>
  <si>
    <t xml:space="preserve">interest income </t>
  </si>
  <si>
    <t>other income</t>
  </si>
  <si>
    <t>Exempt income</t>
  </si>
  <si>
    <t>Agriculture income</t>
  </si>
  <si>
    <t>Dependent income</t>
  </si>
  <si>
    <t>PF withdrawal income</t>
  </si>
  <si>
    <t>House property</t>
  </si>
  <si>
    <t>interest paid</t>
  </si>
  <si>
    <t>property ownership</t>
  </si>
  <si>
    <t>unrealized Rent</t>
  </si>
  <si>
    <t>Capital Gain</t>
  </si>
  <si>
    <t>Section 80</t>
  </si>
  <si>
    <t xml:space="preserve">upload                                          </t>
  </si>
  <si>
    <t>section 80c</t>
  </si>
  <si>
    <t>section 80D</t>
  </si>
  <si>
    <t>section 80TTA</t>
  </si>
  <si>
    <t>section 80G</t>
  </si>
  <si>
    <t>more deductions</t>
  </si>
  <si>
    <t>section 80CCG</t>
  </si>
  <si>
    <t>section 80E</t>
  </si>
  <si>
    <t>section 80CCC</t>
  </si>
  <si>
    <t>section 80CCD(1),(1B)&amp;(2)</t>
  </si>
  <si>
    <t>Section 80GG</t>
  </si>
  <si>
    <t>Section 80DDB</t>
  </si>
  <si>
    <t>Section 80EE</t>
  </si>
  <si>
    <t>Section 80QQB</t>
  </si>
  <si>
    <t>Section 80RRB</t>
  </si>
  <si>
    <t>Section 80GGA</t>
  </si>
  <si>
    <t>Section 80GGC</t>
  </si>
  <si>
    <t>Taxes paid</t>
  </si>
  <si>
    <t>upload 26AS</t>
  </si>
  <si>
    <t>challan Details</t>
  </si>
  <si>
    <t>Summary and Review</t>
  </si>
  <si>
    <t xml:space="preserve">Help center </t>
  </si>
  <si>
    <t>Chat bot</t>
  </si>
  <si>
    <t xml:space="preserve">Whats new </t>
  </si>
  <si>
    <t>Contact Us</t>
  </si>
  <si>
    <t>Submit  request</t>
  </si>
  <si>
    <t>Terms and Condition</t>
  </si>
  <si>
    <t>Legal privacy</t>
  </si>
  <si>
    <t>Api Integration</t>
  </si>
  <si>
    <t>Api integration</t>
  </si>
  <si>
    <t>Developer side testing</t>
  </si>
  <si>
    <t>Total effort</t>
  </si>
  <si>
    <t>Support for Tab &amp; iPad</t>
  </si>
  <si>
    <t>Residential Details (Questions based)</t>
  </si>
  <si>
    <t xml:space="preserve">Tax summary                                    </t>
  </si>
  <si>
    <t>Show ITR related docs</t>
  </si>
  <si>
    <t>Approve</t>
  </si>
  <si>
    <t xml:space="preserve">Show uploaded docments </t>
  </si>
  <si>
    <t>Notification</t>
  </si>
  <si>
    <t>Yearly Summary</t>
  </si>
  <si>
    <t>immovabile asset</t>
  </si>
  <si>
    <t>movable Asset</t>
  </si>
  <si>
    <t>income from salary</t>
  </si>
  <si>
    <t>Property Address</t>
  </si>
  <si>
    <t>income from rental property</t>
  </si>
  <si>
    <t>Section 80DD</t>
  </si>
  <si>
    <t>Section 80U</t>
  </si>
  <si>
    <t>Payment</t>
  </si>
  <si>
    <t>PDF Report</t>
  </si>
  <si>
    <t>#</t>
  </si>
  <si>
    <t>IOS Developer</t>
  </si>
  <si>
    <t>Android Developer</t>
  </si>
  <si>
    <t>BA</t>
  </si>
  <si>
    <t>Web API</t>
  </si>
  <si>
    <t>IOS App</t>
  </si>
  <si>
    <t>Android App</t>
  </si>
  <si>
    <t>Total Hours</t>
  </si>
  <si>
    <t>Total Man Month</t>
  </si>
  <si>
    <t>Total Man Days</t>
  </si>
  <si>
    <t>Track</t>
  </si>
  <si>
    <t>Delivery Days</t>
  </si>
  <si>
    <t>QA IOS</t>
  </si>
  <si>
    <t>QA Android</t>
  </si>
  <si>
    <t>QA Web API</t>
  </si>
  <si>
    <t>Delivery Months</t>
  </si>
  <si>
    <t xml:space="preserve">WebAPI Total </t>
  </si>
  <si>
    <t>IOS APP</t>
  </si>
  <si>
    <t>Total IOS Days</t>
  </si>
  <si>
    <t>Total  Days</t>
  </si>
  <si>
    <t>Total Android</t>
  </si>
  <si>
    <t>UI/UX IOS</t>
  </si>
  <si>
    <t>IOS APP DEV</t>
  </si>
  <si>
    <t>IOS PM</t>
  </si>
  <si>
    <t>IOS BA</t>
  </si>
  <si>
    <t>Web API Dev</t>
  </si>
  <si>
    <t>Web API PM</t>
  </si>
  <si>
    <t>WEB API BA</t>
  </si>
  <si>
    <t>Grand Total</t>
  </si>
  <si>
    <t>WEB</t>
  </si>
  <si>
    <t>Mobile</t>
  </si>
  <si>
    <t>Rate/hr</t>
  </si>
  <si>
    <t>With Contingency (20%)</t>
  </si>
  <si>
    <t>Contingency (15%)</t>
  </si>
  <si>
    <t>Total Amt (20%)</t>
  </si>
  <si>
    <t>Total Amt(15%)</t>
  </si>
  <si>
    <t>Contingency (12%)</t>
  </si>
  <si>
    <t>Total Amount (12%)</t>
  </si>
  <si>
    <t>Android Alone</t>
  </si>
  <si>
    <t>IOS Alone</t>
  </si>
  <si>
    <t>Together</t>
  </si>
  <si>
    <t>Final Quote</t>
  </si>
  <si>
    <t>4 Months</t>
  </si>
  <si>
    <t>Ist Option</t>
  </si>
  <si>
    <t>2nd Option</t>
  </si>
  <si>
    <t>usd/Hr</t>
  </si>
  <si>
    <t xml:space="preserve">Delivery </t>
  </si>
  <si>
    <t>Contingency Hours (20%)</t>
  </si>
  <si>
    <t>QA Need time</t>
  </si>
  <si>
    <t>iOS testing in different devices</t>
  </si>
  <si>
    <t>iPad mini</t>
  </si>
  <si>
    <t>Pixel Phone</t>
  </si>
  <si>
    <t>Alcatel</t>
  </si>
  <si>
    <t>Moto G</t>
  </si>
  <si>
    <t>MarshMellow</t>
  </si>
  <si>
    <t>Nugget</t>
  </si>
  <si>
    <t>Oreo</t>
  </si>
  <si>
    <t>Lollypop</t>
  </si>
  <si>
    <t>Samasung tab</t>
  </si>
  <si>
    <t>Coding need to be done seperately for Android &amp; iOS</t>
  </si>
  <si>
    <t>XML</t>
  </si>
  <si>
    <t>Dev (ios/Andriod)</t>
  </si>
  <si>
    <t>UI-UX</t>
  </si>
  <si>
    <t>12 DEVICES &amp; 6 OS versions</t>
  </si>
  <si>
    <t>iPhone 5s, 6</t>
  </si>
  <si>
    <t>11.4.1</t>
  </si>
  <si>
    <t>UI DESIGN for ioS and Android shud have different designs</t>
  </si>
  <si>
    <t>PM/BA</t>
  </si>
  <si>
    <t>QA (mobile + API)</t>
  </si>
  <si>
    <t>Test case preparation : 5 days</t>
  </si>
  <si>
    <t>Test Execution : 6 days (1 device)</t>
  </si>
  <si>
    <t>Retesting : 6 days</t>
  </si>
  <si>
    <t>7 devices</t>
  </si>
  <si>
    <t>2 ios + ipad mini + 3 android devices + tab=</t>
  </si>
  <si>
    <t>each device = 6 days</t>
  </si>
  <si>
    <t>Device</t>
  </si>
  <si>
    <t>Iphone</t>
  </si>
  <si>
    <t>qty</t>
  </si>
  <si>
    <t>ipad</t>
  </si>
  <si>
    <t xml:space="preserve">Android </t>
  </si>
  <si>
    <t>tab</t>
  </si>
  <si>
    <t>Effort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</si>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</sst>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1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2" fillId="5" borderId="1" xfId="0" applyFont="1" applyFill="1" applyBorder="1"/>
    <xf numFmtId="0" fontId="0" fillId="0" borderId="4" xfId="0" applyBorder="1"/>
    <xf numFmtId="0" fontId="2" fillId="6" borderId="5" xfId="0" applyFont="1" applyFill="1" applyBorder="1"/>
    <xf numFmtId="0" fontId="0" fillId="6" borderId="0" xfId="0" applyFill="1"/>
    <xf numFmtId="0" fontId="2" fillId="5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7" xfId="0" applyFont="1" applyFill="1" applyBorder="1"/>
    <xf numFmtId="0" fontId="2" fillId="6" borderId="10" xfId="0" applyFont="1" applyFill="1" applyBorder="1"/>
    <xf numFmtId="0" fontId="0" fillId="6" borderId="0" xfId="0" applyFill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0" fontId="0" fillId="5" borderId="7" xfId="0" applyFill="1" applyBorder="1"/>
    <xf numFmtId="0" fontId="2" fillId="5" borderId="11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7" xfId="0" applyFont="1" applyBorder="1"/>
    <xf numFmtId="0" fontId="0" fillId="0" borderId="12" xfId="0" applyBorder="1"/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5" borderId="0" xfId="0" applyFill="1" applyBorder="1"/>
    <xf numFmtId="0" fontId="4" fillId="6" borderId="0" xfId="0" applyFont="1" applyFill="1"/>
    <xf numFmtId="0" fontId="0" fillId="0" borderId="7" xfId="0" applyBorder="1"/>
    <xf numFmtId="0" fontId="5" fillId="5" borderId="7" xfId="0" applyFont="1" applyFill="1" applyBorder="1"/>
    <xf numFmtId="0" fontId="0" fillId="5" borderId="7" xfId="0" applyFill="1" applyBorder="1" applyAlignment="1">
      <alignment horizontal="center"/>
    </xf>
    <xf numFmtId="0" fontId="4" fillId="5" borderId="7" xfId="0" applyFont="1" applyFill="1" applyBorder="1"/>
    <xf numFmtId="0" fontId="0" fillId="5" borderId="9" xfId="0" applyFill="1" applyBorder="1" applyAlignment="1">
      <alignment horizontal="center"/>
    </xf>
    <xf numFmtId="0" fontId="2" fillId="6" borderId="0" xfId="0" applyFont="1" applyFill="1"/>
    <xf numFmtId="0" fontId="2" fillId="5" borderId="14" xfId="0" applyFont="1" applyFill="1" applyBorder="1"/>
    <xf numFmtId="0" fontId="0" fillId="5" borderId="14" xfId="0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0" fillId="6" borderId="13" xfId="0" applyFill="1" applyBorder="1" applyAlignment="1">
      <alignment horizontal="right"/>
    </xf>
    <xf numFmtId="0" fontId="0" fillId="6" borderId="13" xfId="0" applyFill="1" applyBorder="1"/>
    <xf numFmtId="0" fontId="0" fillId="6" borderId="1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43" fontId="0" fillId="8" borderId="13" xfId="1" applyFont="1" applyFill="1" applyBorder="1"/>
    <xf numFmtId="9" fontId="0" fillId="0" borderId="0" xfId="0" applyNumberFormat="1"/>
    <xf numFmtId="0" fontId="1" fillId="0" borderId="0" xfId="0" applyFont="1"/>
    <xf numFmtId="0" fontId="7" fillId="0" borderId="0" xfId="0" applyFont="1"/>
    <xf numFmtId="0" fontId="7" fillId="5" borderId="7" xfId="0" applyFont="1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0" fontId="2" fillId="9" borderId="0" xfId="0" applyFont="1" applyFill="1"/>
    <xf numFmtId="0" fontId="7" fillId="9" borderId="0" xfId="0" applyFont="1" applyFill="1"/>
    <xf numFmtId="0" fontId="2" fillId="7" borderId="0" xfId="0" applyFont="1" applyFill="1"/>
    <xf numFmtId="0" fontId="7" fillId="7" borderId="0" xfId="0" applyFont="1" applyFill="1"/>
    <xf numFmtId="0" fontId="0" fillId="10" borderId="0" xfId="0" applyFill="1"/>
    <xf numFmtId="0" fontId="0" fillId="11" borderId="0" xfId="0" applyFill="1"/>
    <xf numFmtId="0" fontId="0" fillId="0" borderId="15" xfId="0" applyBorder="1"/>
    <xf numFmtId="0" fontId="0" fillId="0" borderId="16" xfId="0" applyBorder="1"/>
    <xf numFmtId="0" fontId="2" fillId="8" borderId="17" xfId="0" applyFont="1" applyFill="1" applyBorder="1"/>
    <xf numFmtId="0" fontId="0" fillId="0" borderId="18" xfId="0" applyBorder="1"/>
    <xf numFmtId="0" fontId="0" fillId="0" borderId="19" xfId="0" applyBorder="1"/>
    <xf numFmtId="43" fontId="0" fillId="10" borderId="0" xfId="0" applyNumberFormat="1" applyFill="1" applyBorder="1"/>
    <xf numFmtId="43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7" fillId="12" borderId="22" xfId="0" applyFont="1" applyFill="1" applyBorder="1"/>
    <xf numFmtId="0" fontId="0" fillId="0" borderId="23" xfId="0" applyBorder="1"/>
    <xf numFmtId="0" fontId="0" fillId="8" borderId="0" xfId="0" applyFill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3067698</xdr:colOff>
      <xdr:row>4</xdr:row>
      <xdr:rowOff>110489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279C26-F6D9-41A4-9A12-6FA0A323C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72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3"/>
  <sheetViews>
    <sheetView topLeftCell="C1" zoomScale="80" zoomScaleNormal="80" workbookViewId="0">
      <pane xSplit="1" ySplit="2" topLeftCell="E3" activePane="bottomRight" state="frozen"/>
      <selection activeCell="C1" sqref="C1"/>
      <selection pane="topRight" activeCell="D1" sqref="D1"/>
      <selection pane="bottomLeft" activeCell="C3" sqref="C3"/>
      <selection pane="bottomRight" activeCell="H25" sqref="H25"/>
    </sheetView>
  </sheetViews>
  <sheetFormatPr defaultRowHeight="14.4" x14ac:dyDescent="0.3"/>
  <cols>
    <col min="1" max="2" width="0" hidden="1" customWidth="1"/>
    <col min="3" max="3" width="18" bestFit="1" customWidth="1"/>
    <col min="4" max="6" width="13" bestFit="1" customWidth="1"/>
    <col min="7" max="7" width="12" bestFit="1" customWidth="1"/>
    <col min="8" max="8" width="25.33203125" bestFit="1" customWidth="1"/>
    <col min="9" max="9" width="18.88671875" bestFit="1" customWidth="1"/>
    <col min="10" max="10" width="18.88671875" customWidth="1"/>
    <col min="11" max="11" width="22.88671875" bestFit="1" customWidth="1"/>
    <col min="12" max="12" width="12.5546875" bestFit="1" customWidth="1"/>
    <col min="13" max="13" width="12" bestFit="1" customWidth="1"/>
    <col min="14" max="14" width="7.6640625" customWidth="1"/>
    <col min="15" max="15" width="12.44140625" style="63" hidden="1" customWidth="1"/>
    <col min="16" max="16" width="5.6640625" bestFit="1" customWidth="1"/>
    <col min="17" max="17" width="14" bestFit="1" customWidth="1"/>
    <col min="18" max="18" width="14.5546875" bestFit="1" customWidth="1"/>
    <col min="19" max="19" width="14.109375" bestFit="1" customWidth="1"/>
    <col min="20" max="20" width="19.33203125" bestFit="1" customWidth="1"/>
    <col min="21" max="21" width="13.88671875" bestFit="1" customWidth="1"/>
  </cols>
  <sheetData>
    <row r="2" spans="2:22" x14ac:dyDescent="0.3">
      <c r="C2" s="25" t="s">
        <v>133</v>
      </c>
      <c r="D2" s="25" t="s">
        <v>22</v>
      </c>
      <c r="E2" s="54" t="s">
        <v>20</v>
      </c>
      <c r="F2" s="25" t="s">
        <v>21</v>
      </c>
      <c r="G2" s="50" t="s">
        <v>142</v>
      </c>
      <c r="H2" s="50" t="s">
        <v>170</v>
      </c>
      <c r="I2" s="50" t="s">
        <v>156</v>
      </c>
      <c r="J2" s="50" t="s">
        <v>159</v>
      </c>
      <c r="K2" s="25" t="s">
        <v>155</v>
      </c>
      <c r="L2" s="25" t="s">
        <v>153</v>
      </c>
      <c r="M2" s="25" t="s">
        <v>21</v>
      </c>
      <c r="N2" s="25"/>
      <c r="O2" s="62" t="s">
        <v>152</v>
      </c>
      <c r="P2" s="25" t="s">
        <v>21</v>
      </c>
      <c r="Q2" s="25" t="s">
        <v>154</v>
      </c>
      <c r="R2" s="25" t="s">
        <v>157</v>
      </c>
      <c r="S2" s="25" t="s">
        <v>158</v>
      </c>
      <c r="T2" s="25" t="s">
        <v>160</v>
      </c>
    </row>
    <row r="3" spans="2:22" x14ac:dyDescent="0.3">
      <c r="C3" t="s">
        <v>34</v>
      </c>
      <c r="D3" s="55">
        <v>1.5</v>
      </c>
      <c r="E3" s="56">
        <f>'Mobile App - Android &amp; iOS'!J19*8/D3</f>
        <v>26.666666666666668</v>
      </c>
      <c r="F3">
        <f>E3/8</f>
        <v>3.3333333333333335</v>
      </c>
      <c r="G3" s="50">
        <f>D3*F3</f>
        <v>5</v>
      </c>
      <c r="H3" s="50">
        <f t="shared" ref="H3:H11" si="0">K3*8</f>
        <v>48</v>
      </c>
      <c r="I3" s="50">
        <f>G3*1.15</f>
        <v>5.75</v>
      </c>
      <c r="J3" s="50">
        <f>G3*1.12</f>
        <v>5.6000000000000005</v>
      </c>
      <c r="K3" s="25">
        <f>G3*1.2</f>
        <v>6</v>
      </c>
      <c r="L3" t="s">
        <v>144</v>
      </c>
      <c r="M3">
        <f>'Mobile App - Android &amp; iOS'!K19/2</f>
        <v>2.5</v>
      </c>
      <c r="Q3">
        <f>12*65</f>
        <v>780</v>
      </c>
      <c r="R3">
        <f>H3*Q3</f>
        <v>37440</v>
      </c>
      <c r="S3">
        <f>Q3*I3*8</f>
        <v>35880</v>
      </c>
      <c r="T3">
        <f>J3*Q3*8</f>
        <v>34944</v>
      </c>
    </row>
    <row r="4" spans="2:22" x14ac:dyDescent="0.3">
      <c r="C4" t="s">
        <v>127</v>
      </c>
      <c r="D4" s="21">
        <v>1</v>
      </c>
      <c r="E4">
        <f>'Web Api'!B21/D4</f>
        <v>180</v>
      </c>
      <c r="F4">
        <f t="shared" ref="F4:F11" si="1">E4/8</f>
        <v>22.5</v>
      </c>
      <c r="G4" s="50">
        <f t="shared" ref="G4:G11" si="2">D4*F4</f>
        <v>22.5</v>
      </c>
      <c r="H4" s="50">
        <f t="shared" si="0"/>
        <v>216</v>
      </c>
      <c r="I4" s="50">
        <f t="shared" ref="I4:I12" si="3">G4*1.15</f>
        <v>25.874999999999996</v>
      </c>
      <c r="J4" s="50">
        <f t="shared" ref="J4:J12" si="4">G4*1.12</f>
        <v>25.200000000000003</v>
      </c>
      <c r="K4" s="25">
        <f t="shared" ref="K4:K11" si="5">G4*1.2</f>
        <v>27</v>
      </c>
      <c r="L4" t="s">
        <v>145</v>
      </c>
      <c r="M4">
        <f>'Mobile App - Android &amp; iOS'!K20</f>
        <v>65.3125</v>
      </c>
      <c r="O4" s="63" t="s">
        <v>148</v>
      </c>
      <c r="P4">
        <f>'Web Api'!C21</f>
        <v>22.5</v>
      </c>
      <c r="Q4">
        <f>12*65</f>
        <v>780</v>
      </c>
      <c r="R4">
        <f t="shared" ref="R4:R11" si="6">H4*Q4</f>
        <v>168480</v>
      </c>
      <c r="S4">
        <f t="shared" ref="S4:S11" si="7">Q4*I4*8</f>
        <v>161459.99999999997</v>
      </c>
      <c r="T4">
        <f t="shared" ref="T4:T11" si="8">J4*Q4*8</f>
        <v>157248.00000000003</v>
      </c>
    </row>
    <row r="5" spans="2:22" s="57" customFormat="1" x14ac:dyDescent="0.3">
      <c r="C5" s="57" t="s">
        <v>128</v>
      </c>
      <c r="D5" s="58">
        <v>1.5</v>
      </c>
      <c r="E5" s="57">
        <f>'Mobile App - Android &amp; iOS'!K20*8/D5</f>
        <v>348.33333333333331</v>
      </c>
      <c r="F5" s="57">
        <f t="shared" si="1"/>
        <v>43.541666666666664</v>
      </c>
      <c r="G5" s="59">
        <f t="shared" si="2"/>
        <v>65.3125</v>
      </c>
      <c r="H5" s="59">
        <f t="shared" si="0"/>
        <v>627</v>
      </c>
      <c r="I5" s="59">
        <f t="shared" si="3"/>
        <v>75.109375</v>
      </c>
      <c r="J5" s="59">
        <f t="shared" si="4"/>
        <v>73.150000000000006</v>
      </c>
      <c r="K5" s="70">
        <f t="shared" si="5"/>
        <v>78.375</v>
      </c>
      <c r="L5" s="57" t="s">
        <v>135</v>
      </c>
      <c r="M5" s="57">
        <f>'Mobile App - Android &amp; iOS'!K22</f>
        <v>29.390625</v>
      </c>
      <c r="O5" s="71" t="s">
        <v>137</v>
      </c>
      <c r="P5" s="57">
        <f>'Web Api'!C22</f>
        <v>6.75</v>
      </c>
      <c r="Q5" s="57">
        <f>18*65</f>
        <v>1170</v>
      </c>
      <c r="R5" s="57">
        <f t="shared" si="6"/>
        <v>733590</v>
      </c>
      <c r="S5" s="57">
        <f t="shared" si="7"/>
        <v>703023.75</v>
      </c>
      <c r="T5" s="57">
        <f t="shared" si="8"/>
        <v>684684</v>
      </c>
    </row>
    <row r="6" spans="2:22" s="65" customFormat="1" x14ac:dyDescent="0.3">
      <c r="C6" s="65" t="s">
        <v>129</v>
      </c>
      <c r="D6" s="66">
        <v>1.5</v>
      </c>
      <c r="E6" s="65">
        <f>'Mobile App - Android &amp; iOS'!K21*8/D6</f>
        <v>348.33333333333331</v>
      </c>
      <c r="F6" s="65">
        <f t="shared" si="1"/>
        <v>43.541666666666664</v>
      </c>
      <c r="G6" s="67">
        <f t="shared" si="2"/>
        <v>65.3125</v>
      </c>
      <c r="H6" s="67">
        <f t="shared" si="0"/>
        <v>627</v>
      </c>
      <c r="I6" s="67">
        <f t="shared" si="3"/>
        <v>75.109375</v>
      </c>
      <c r="J6" s="67">
        <f t="shared" si="4"/>
        <v>73.150000000000006</v>
      </c>
      <c r="K6" s="68">
        <f t="shared" si="5"/>
        <v>78.375</v>
      </c>
      <c r="L6" s="65" t="s">
        <v>146</v>
      </c>
      <c r="M6" s="65">
        <f>'Mobile App - Android &amp; iOS'!K18/2</f>
        <v>2.1031249999999999</v>
      </c>
      <c r="O6" s="69" t="s">
        <v>149</v>
      </c>
      <c r="P6" s="65">
        <f>'Web Api'!C23</f>
        <v>2.25</v>
      </c>
      <c r="Q6" s="65">
        <f>14*65</f>
        <v>910</v>
      </c>
      <c r="R6" s="65">
        <f t="shared" si="6"/>
        <v>570570</v>
      </c>
      <c r="S6" s="65">
        <f t="shared" si="7"/>
        <v>546796.25</v>
      </c>
      <c r="T6" s="65">
        <f t="shared" si="8"/>
        <v>532532</v>
      </c>
    </row>
    <row r="7" spans="2:22" x14ac:dyDescent="0.3">
      <c r="C7" t="s">
        <v>137</v>
      </c>
      <c r="D7" s="21">
        <v>2</v>
      </c>
      <c r="E7">
        <f>'Web Api'!B22/D7</f>
        <v>27</v>
      </c>
      <c r="F7">
        <f t="shared" si="1"/>
        <v>3.375</v>
      </c>
      <c r="G7" s="50">
        <f t="shared" si="2"/>
        <v>6.75</v>
      </c>
      <c r="H7" s="50">
        <f t="shared" si="0"/>
        <v>64.8</v>
      </c>
      <c r="I7" s="50">
        <f t="shared" si="3"/>
        <v>7.7624999999999993</v>
      </c>
      <c r="J7" s="50">
        <f t="shared" si="4"/>
        <v>7.5600000000000005</v>
      </c>
      <c r="K7" s="25">
        <f t="shared" si="5"/>
        <v>8.1</v>
      </c>
      <c r="L7" t="s">
        <v>147</v>
      </c>
      <c r="M7">
        <f>'Mobile App - Android &amp; iOS'!K24/2</f>
        <v>1.5</v>
      </c>
      <c r="O7" s="63" t="s">
        <v>150</v>
      </c>
      <c r="P7">
        <f>'Web Api'!C24</f>
        <v>1</v>
      </c>
      <c r="Q7">
        <f>10*65</f>
        <v>650</v>
      </c>
      <c r="R7">
        <f t="shared" si="6"/>
        <v>42120</v>
      </c>
      <c r="S7">
        <f t="shared" si="7"/>
        <v>40364.999999999993</v>
      </c>
      <c r="T7">
        <f t="shared" si="8"/>
        <v>39312</v>
      </c>
    </row>
    <row r="8" spans="2:22" s="57" customFormat="1" x14ac:dyDescent="0.3">
      <c r="C8" s="57" t="s">
        <v>135</v>
      </c>
      <c r="D8" s="58">
        <v>2</v>
      </c>
      <c r="E8" s="57">
        <f>'Mobile App - Android &amp; iOS'!J22*8/D8</f>
        <v>117.5625</v>
      </c>
      <c r="F8" s="57">
        <f t="shared" si="1"/>
        <v>14.6953125</v>
      </c>
      <c r="G8" s="59">
        <f t="shared" si="2"/>
        <v>29.390625</v>
      </c>
      <c r="H8" s="59">
        <f t="shared" si="0"/>
        <v>282.14999999999998</v>
      </c>
      <c r="I8" s="59">
        <f t="shared" si="3"/>
        <v>33.799218749999994</v>
      </c>
      <c r="J8" s="59">
        <f t="shared" si="4"/>
        <v>32.917500000000004</v>
      </c>
      <c r="K8" s="70">
        <f t="shared" si="5"/>
        <v>35.268749999999997</v>
      </c>
      <c r="L8" s="57" t="s">
        <v>16</v>
      </c>
      <c r="M8" s="57">
        <f>SUM(M3:M7)</f>
        <v>100.80625000000001</v>
      </c>
      <c r="O8" s="71" t="s">
        <v>16</v>
      </c>
      <c r="P8" s="57">
        <f>SUM(P4:P7)</f>
        <v>32.5</v>
      </c>
      <c r="Q8" s="57">
        <f>10*65</f>
        <v>650</v>
      </c>
      <c r="R8" s="57">
        <f t="shared" si="6"/>
        <v>183397.49999999997</v>
      </c>
      <c r="S8" s="57">
        <f t="shared" si="7"/>
        <v>175755.93749999997</v>
      </c>
      <c r="T8" s="57">
        <f t="shared" si="8"/>
        <v>171171.00000000003</v>
      </c>
    </row>
    <row r="9" spans="2:22" s="65" customFormat="1" x14ac:dyDescent="0.3">
      <c r="C9" s="65" t="s">
        <v>136</v>
      </c>
      <c r="D9" s="66">
        <v>2</v>
      </c>
      <c r="E9" s="65">
        <f>'Mobile App - Android &amp; iOS'!J23*8/D9</f>
        <v>117.5625</v>
      </c>
      <c r="F9" s="65">
        <f t="shared" si="1"/>
        <v>14.6953125</v>
      </c>
      <c r="G9" s="67">
        <f t="shared" si="2"/>
        <v>29.390625</v>
      </c>
      <c r="H9" s="67">
        <f t="shared" si="0"/>
        <v>282.14999999999998</v>
      </c>
      <c r="I9" s="67">
        <f t="shared" si="3"/>
        <v>33.799218749999994</v>
      </c>
      <c r="J9" s="67">
        <f t="shared" si="4"/>
        <v>32.917500000000004</v>
      </c>
      <c r="K9" s="68">
        <f t="shared" si="5"/>
        <v>35.268749999999997</v>
      </c>
      <c r="O9" s="69"/>
      <c r="Q9" s="65">
        <f>10*65</f>
        <v>650</v>
      </c>
      <c r="R9" s="65">
        <f t="shared" si="6"/>
        <v>183397.49999999997</v>
      </c>
      <c r="S9" s="65">
        <f t="shared" si="7"/>
        <v>175755.93749999997</v>
      </c>
      <c r="T9" s="65">
        <f t="shared" si="8"/>
        <v>171171.00000000003</v>
      </c>
    </row>
    <row r="10" spans="2:22" x14ac:dyDescent="0.3">
      <c r="C10" t="s">
        <v>25</v>
      </c>
      <c r="D10" s="21">
        <v>1</v>
      </c>
      <c r="E10">
        <f>'Web Api'!B23+'Mobile App - Android &amp; iOS'!K19*8/D10</f>
        <v>58</v>
      </c>
      <c r="F10">
        <f t="shared" si="1"/>
        <v>7.25</v>
      </c>
      <c r="G10" s="50">
        <f t="shared" si="2"/>
        <v>7.25</v>
      </c>
      <c r="H10" s="50">
        <f t="shared" si="0"/>
        <v>69.599999999999994</v>
      </c>
      <c r="I10" s="50">
        <f t="shared" si="3"/>
        <v>8.3374999999999986</v>
      </c>
      <c r="J10" s="50">
        <f t="shared" si="4"/>
        <v>8.120000000000001</v>
      </c>
      <c r="K10" s="25">
        <f t="shared" si="5"/>
        <v>8.6999999999999993</v>
      </c>
      <c r="L10" t="s">
        <v>151</v>
      </c>
      <c r="M10">
        <f>M8*2+P8</f>
        <v>234.11250000000001</v>
      </c>
      <c r="Q10">
        <f>20*65</f>
        <v>1300</v>
      </c>
      <c r="R10">
        <f t="shared" si="6"/>
        <v>90479.999999999985</v>
      </c>
      <c r="S10">
        <f t="shared" si="7"/>
        <v>86709.999999999985</v>
      </c>
      <c r="T10">
        <f t="shared" si="8"/>
        <v>84448.000000000015</v>
      </c>
    </row>
    <row r="11" spans="2:22" x14ac:dyDescent="0.3">
      <c r="C11" t="s">
        <v>126</v>
      </c>
      <c r="D11" s="21">
        <v>1</v>
      </c>
      <c r="E11">
        <f>Summary!B24+'Mobile App - Android &amp; iOS'!K24*8/D11</f>
        <v>24</v>
      </c>
      <c r="F11">
        <f t="shared" si="1"/>
        <v>3</v>
      </c>
      <c r="G11" s="50">
        <f t="shared" si="2"/>
        <v>3</v>
      </c>
      <c r="H11" s="50">
        <f t="shared" si="0"/>
        <v>28.799999999999997</v>
      </c>
      <c r="I11" s="50">
        <f t="shared" si="3"/>
        <v>3.4499999999999997</v>
      </c>
      <c r="J11" s="50">
        <f t="shared" si="4"/>
        <v>3.3600000000000003</v>
      </c>
      <c r="K11" s="25">
        <f t="shared" si="5"/>
        <v>3.5999999999999996</v>
      </c>
      <c r="Q11">
        <f>15*65</f>
        <v>975</v>
      </c>
      <c r="R11">
        <f t="shared" si="6"/>
        <v>28079.999999999996</v>
      </c>
      <c r="S11">
        <f t="shared" si="7"/>
        <v>26909.999999999996</v>
      </c>
      <c r="T11">
        <f t="shared" si="8"/>
        <v>26208.000000000004</v>
      </c>
    </row>
    <row r="12" spans="2:22" x14ac:dyDescent="0.3">
      <c r="C12" s="89" t="s">
        <v>130</v>
      </c>
      <c r="D12" s="89"/>
      <c r="E12" s="89"/>
      <c r="F12" s="89"/>
      <c r="G12" s="90">
        <f>SUM(G3:G11)*8</f>
        <v>1871.25</v>
      </c>
      <c r="H12" s="85">
        <f>SUM(H3:H11)</f>
        <v>2245.5</v>
      </c>
      <c r="I12" s="50">
        <f t="shared" si="3"/>
        <v>2151.9375</v>
      </c>
      <c r="J12" s="50">
        <f t="shared" si="4"/>
        <v>2095.8000000000002</v>
      </c>
      <c r="M12" s="25"/>
      <c r="R12">
        <f>SUM(R3:R11)</f>
        <v>2037555</v>
      </c>
      <c r="S12">
        <f>SUM(S3:S11)</f>
        <v>1952656.875</v>
      </c>
      <c r="T12" s="73">
        <f>SUM(T3:T11)</f>
        <v>1901718</v>
      </c>
      <c r="U12" s="72">
        <f>T12*1.15</f>
        <v>2186975.6999999997</v>
      </c>
      <c r="V12">
        <f>T12/H12/65</f>
        <v>13.029258517034068</v>
      </c>
    </row>
    <row r="13" spans="2:22" x14ac:dyDescent="0.3">
      <c r="C13" s="89" t="s">
        <v>132</v>
      </c>
      <c r="D13" s="89"/>
      <c r="E13" s="89"/>
      <c r="F13" s="89"/>
      <c r="G13" s="90">
        <f>SUM(G3:G11)</f>
        <v>233.90625</v>
      </c>
      <c r="H13" s="50"/>
      <c r="I13" s="50"/>
      <c r="J13" s="50"/>
      <c r="K13" s="25">
        <f>G13*1.2</f>
        <v>280.6875</v>
      </c>
      <c r="M13" s="21" t="s">
        <v>20</v>
      </c>
      <c r="N13" s="21" t="s">
        <v>21</v>
      </c>
      <c r="O13" s="64"/>
      <c r="U13">
        <f>T12*0.85</f>
        <v>1616460.3</v>
      </c>
      <c r="V13">
        <f>U13/H12/65</f>
        <v>11.074869739478959</v>
      </c>
    </row>
    <row r="14" spans="2:22" ht="15" thickBot="1" x14ac:dyDescent="0.35">
      <c r="C14" s="89" t="s">
        <v>131</v>
      </c>
      <c r="D14" s="89"/>
      <c r="E14" s="89"/>
      <c r="F14" s="89"/>
      <c r="G14" s="89">
        <f>G13/20</f>
        <v>11.6953125</v>
      </c>
      <c r="H14" s="50"/>
      <c r="I14" s="50"/>
      <c r="J14" s="50"/>
      <c r="L14" t="s">
        <v>139</v>
      </c>
      <c r="M14">
        <f>SUM('Web Api'!B21:B24)</f>
        <v>260</v>
      </c>
      <c r="N14">
        <f>M14/8</f>
        <v>32.5</v>
      </c>
    </row>
    <row r="15" spans="2:22" x14ac:dyDescent="0.3">
      <c r="H15">
        <f>H12/8</f>
        <v>280.6875</v>
      </c>
      <c r="L15" t="s">
        <v>140</v>
      </c>
      <c r="M15">
        <f>'Mobile App - Android &amp; iOS'!I29*8</f>
        <v>806.45</v>
      </c>
      <c r="N15">
        <f>M15/8</f>
        <v>100.80625000000001</v>
      </c>
      <c r="Q15" s="74"/>
      <c r="R15" s="75"/>
      <c r="S15" s="76" t="s">
        <v>164</v>
      </c>
      <c r="T15" s="75" t="s">
        <v>169</v>
      </c>
      <c r="U15" s="75"/>
      <c r="V15" s="77" t="s">
        <v>168</v>
      </c>
    </row>
    <row r="16" spans="2:22" x14ac:dyDescent="0.3">
      <c r="B16">
        <f>Summary!E3</f>
        <v>26.666666666666668</v>
      </c>
      <c r="C16" t="s">
        <v>134</v>
      </c>
      <c r="D16">
        <f>SUM(F3,F5,F8)</f>
        <v>61.5703125</v>
      </c>
      <c r="E16">
        <f>D16*1.2</f>
        <v>73.884374999999991</v>
      </c>
      <c r="L16" t="s">
        <v>129</v>
      </c>
      <c r="M16">
        <f>M15</f>
        <v>806.45</v>
      </c>
      <c r="N16">
        <f>M16/8</f>
        <v>100.80625000000001</v>
      </c>
      <c r="Q16" s="78" t="s">
        <v>161</v>
      </c>
      <c r="R16" s="29">
        <f>SUM(R3,R4,R6,R7,R9,R10,R11)</f>
        <v>1120567.5</v>
      </c>
      <c r="S16" s="60">
        <f>R16*1.15</f>
        <v>1288652.625</v>
      </c>
      <c r="T16" s="29" t="s">
        <v>165</v>
      </c>
      <c r="U16" s="79">
        <f>S16-T4-T7</f>
        <v>1092092.625</v>
      </c>
      <c r="V16" s="80">
        <f>U16/H12/65</f>
        <v>7.4822645290581162</v>
      </c>
    </row>
    <row r="17" spans="3:22" x14ac:dyDescent="0.3">
      <c r="C17" t="s">
        <v>138</v>
      </c>
      <c r="D17">
        <f>D16/20</f>
        <v>3.0785156250000001</v>
      </c>
      <c r="E17">
        <f>D17*1.2</f>
        <v>3.6942187500000001</v>
      </c>
      <c r="M17">
        <f>SUM(M14:M16)</f>
        <v>1872.9</v>
      </c>
      <c r="N17">
        <f>SUM(N14:N16)</f>
        <v>234.11250000000001</v>
      </c>
      <c r="Q17" s="78" t="s">
        <v>162</v>
      </c>
      <c r="R17" s="29">
        <f>SUM(R3,R4,R5,R7,R8,R10,R11)</f>
        <v>1283587.5</v>
      </c>
      <c r="S17" s="60">
        <f>R17*1.15</f>
        <v>1476125.625</v>
      </c>
      <c r="T17" s="29" t="s">
        <v>165</v>
      </c>
      <c r="U17" s="79">
        <f>S17-T4-T7</f>
        <v>1279565.625</v>
      </c>
      <c r="V17" s="80">
        <f>U17/H12/65</f>
        <v>8.7667000668002668</v>
      </c>
    </row>
    <row r="18" spans="3:22" x14ac:dyDescent="0.3">
      <c r="Q18" s="78" t="s">
        <v>163</v>
      </c>
      <c r="R18" s="29">
        <f>S12</f>
        <v>1952656.875</v>
      </c>
      <c r="S18" s="60">
        <f>R18*1.15</f>
        <v>2245555.40625</v>
      </c>
      <c r="T18" s="29" t="s">
        <v>165</v>
      </c>
      <c r="U18" s="79">
        <f>S18-T4-T7</f>
        <v>2048995.40625</v>
      </c>
      <c r="V18" s="80">
        <f>U18/H12/65</f>
        <v>14.038301603206413</v>
      </c>
    </row>
    <row r="19" spans="3:22" ht="15" thickBot="1" x14ac:dyDescent="0.35">
      <c r="C19" s="25"/>
      <c r="E19" s="25"/>
      <c r="F19" s="50"/>
      <c r="G19" s="25"/>
      <c r="H19" s="25"/>
      <c r="I19" s="25"/>
      <c r="J19" s="25"/>
      <c r="Q19" s="81"/>
      <c r="R19" s="82"/>
      <c r="S19" s="83" t="s">
        <v>166</v>
      </c>
      <c r="T19" s="83"/>
      <c r="U19" s="83" t="s">
        <v>167</v>
      </c>
      <c r="V19" s="84"/>
    </row>
    <row r="20" spans="3:22" x14ac:dyDescent="0.3">
      <c r="F20" s="50"/>
      <c r="G20" s="25"/>
      <c r="H20" s="25"/>
      <c r="I20" s="25"/>
      <c r="J20" s="25"/>
      <c r="R20" s="61">
        <v>0.85</v>
      </c>
    </row>
    <row r="21" spans="3:22" x14ac:dyDescent="0.3">
      <c r="F21" s="50"/>
      <c r="G21" s="25"/>
      <c r="H21" s="25"/>
      <c r="I21" s="25"/>
      <c r="J21" s="25"/>
      <c r="Q21" t="s">
        <v>161</v>
      </c>
      <c r="R21">
        <f>R16*R20</f>
        <v>952482.375</v>
      </c>
    </row>
    <row r="22" spans="3:22" x14ac:dyDescent="0.3">
      <c r="Q22" t="s">
        <v>162</v>
      </c>
      <c r="R22">
        <f>R17*R20</f>
        <v>1091049.375</v>
      </c>
    </row>
    <row r="23" spans="3:22" x14ac:dyDescent="0.3">
      <c r="Q23" t="s">
        <v>163</v>
      </c>
      <c r="R23">
        <f>R18*R20</f>
        <v>1659758.34375</v>
      </c>
      <c r="T23">
        <f>R23/H12/65</f>
        <v>11.371518036072144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8" sqref="B18"/>
    </sheetView>
  </sheetViews>
  <sheetFormatPr defaultRowHeight="14.4" x14ac:dyDescent="0.3"/>
  <cols>
    <col min="1" max="1" width="61.88671875" customWidth="1"/>
    <col min="2" max="2" width="13.109375" customWidth="1"/>
  </cols>
  <sheetData>
    <row r="1" spans="1:3" x14ac:dyDescent="0.3">
      <c r="A1" s="3" t="s">
        <v>0</v>
      </c>
      <c r="B1" s="3" t="s">
        <v>1</v>
      </c>
      <c r="C1" t="s">
        <v>21</v>
      </c>
    </row>
    <row r="2" spans="1:3" x14ac:dyDescent="0.3">
      <c r="A2" t="s">
        <v>25</v>
      </c>
      <c r="B2">
        <f>SUM(B3:B17)*0.1</f>
        <v>18</v>
      </c>
      <c r="C2">
        <f>B2/8</f>
        <v>2.25</v>
      </c>
    </row>
    <row r="3" spans="1:3" x14ac:dyDescent="0.3">
      <c r="A3" t="s">
        <v>17</v>
      </c>
      <c r="B3">
        <v>8</v>
      </c>
      <c r="C3">
        <f t="shared" ref="C3:C25" si="0">B3/8</f>
        <v>1</v>
      </c>
    </row>
    <row r="4" spans="1:3" x14ac:dyDescent="0.3">
      <c r="A4" t="s">
        <v>2</v>
      </c>
      <c r="B4">
        <v>4</v>
      </c>
      <c r="C4">
        <f t="shared" si="0"/>
        <v>0.5</v>
      </c>
    </row>
    <row r="5" spans="1:3" x14ac:dyDescent="0.3">
      <c r="A5" t="s">
        <v>3</v>
      </c>
      <c r="B5">
        <v>2</v>
      </c>
      <c r="C5">
        <f t="shared" si="0"/>
        <v>0.25</v>
      </c>
    </row>
    <row r="6" spans="1:3" x14ac:dyDescent="0.3">
      <c r="A6" t="s">
        <v>18</v>
      </c>
      <c r="B6">
        <v>2</v>
      </c>
      <c r="C6">
        <f t="shared" si="0"/>
        <v>0.25</v>
      </c>
    </row>
    <row r="7" spans="1:3" x14ac:dyDescent="0.3">
      <c r="A7" t="s">
        <v>5</v>
      </c>
      <c r="B7">
        <v>2</v>
      </c>
      <c r="C7">
        <f t="shared" si="0"/>
        <v>0.25</v>
      </c>
    </row>
    <row r="8" spans="1:3" x14ac:dyDescent="0.3">
      <c r="A8" t="s">
        <v>15</v>
      </c>
      <c r="B8">
        <v>12</v>
      </c>
      <c r="C8">
        <f t="shared" si="0"/>
        <v>1.5</v>
      </c>
    </row>
    <row r="9" spans="1:3" x14ac:dyDescent="0.3">
      <c r="A9" t="s">
        <v>7</v>
      </c>
      <c r="B9">
        <v>6</v>
      </c>
      <c r="C9">
        <f t="shared" si="0"/>
        <v>0.75</v>
      </c>
    </row>
    <row r="10" spans="1:3" x14ac:dyDescent="0.3">
      <c r="A10" t="s">
        <v>4</v>
      </c>
      <c r="C10">
        <f t="shared" si="0"/>
        <v>0</v>
      </c>
    </row>
    <row r="11" spans="1:3" x14ac:dyDescent="0.3">
      <c r="A11" s="2" t="s">
        <v>8</v>
      </c>
      <c r="B11">
        <v>20</v>
      </c>
      <c r="C11">
        <f t="shared" si="0"/>
        <v>2.5</v>
      </c>
    </row>
    <row r="12" spans="1:3" x14ac:dyDescent="0.3">
      <c r="A12" s="2" t="s">
        <v>9</v>
      </c>
      <c r="B12">
        <v>40</v>
      </c>
      <c r="C12">
        <f t="shared" si="0"/>
        <v>5</v>
      </c>
    </row>
    <row r="13" spans="1:3" x14ac:dyDescent="0.3">
      <c r="A13" s="2" t="s">
        <v>10</v>
      </c>
      <c r="B13">
        <v>32</v>
      </c>
      <c r="C13">
        <f t="shared" si="0"/>
        <v>4</v>
      </c>
    </row>
    <row r="14" spans="1:3" x14ac:dyDescent="0.3">
      <c r="A14" s="2" t="s">
        <v>11</v>
      </c>
      <c r="B14">
        <v>12</v>
      </c>
      <c r="C14">
        <f t="shared" si="0"/>
        <v>1.5</v>
      </c>
    </row>
    <row r="15" spans="1:3" x14ac:dyDescent="0.3">
      <c r="A15" s="2" t="s">
        <v>12</v>
      </c>
      <c r="B15">
        <v>8</v>
      </c>
      <c r="C15">
        <f t="shared" si="0"/>
        <v>1</v>
      </c>
    </row>
    <row r="16" spans="1:3" x14ac:dyDescent="0.3">
      <c r="A16" s="2" t="s">
        <v>6</v>
      </c>
      <c r="B16">
        <v>12</v>
      </c>
      <c r="C16">
        <f t="shared" si="0"/>
        <v>1.5</v>
      </c>
    </row>
    <row r="17" spans="1:5" x14ac:dyDescent="0.3">
      <c r="A17" s="1" t="s">
        <v>13</v>
      </c>
      <c r="B17">
        <v>20</v>
      </c>
      <c r="C17">
        <f t="shared" si="0"/>
        <v>2.5</v>
      </c>
    </row>
    <row r="18" spans="1:5" x14ac:dyDescent="0.3">
      <c r="A18" s="1" t="s">
        <v>14</v>
      </c>
      <c r="B18">
        <f>SUM(B3:B17)*0.3</f>
        <v>54</v>
      </c>
      <c r="C18">
        <f t="shared" si="0"/>
        <v>6.75</v>
      </c>
      <c r="E18">
        <v>12</v>
      </c>
    </row>
    <row r="19" spans="1:5" x14ac:dyDescent="0.3">
      <c r="A19" s="4" t="s">
        <v>16</v>
      </c>
      <c r="B19" s="5">
        <f>SUM(B2:B18)</f>
        <v>252</v>
      </c>
      <c r="C19">
        <f t="shared" si="0"/>
        <v>31.5</v>
      </c>
    </row>
    <row r="20" spans="1:5" x14ac:dyDescent="0.3">
      <c r="C20">
        <f t="shared" si="0"/>
        <v>0</v>
      </c>
    </row>
    <row r="21" spans="1:5" x14ac:dyDescent="0.3">
      <c r="A21" t="s">
        <v>33</v>
      </c>
      <c r="B21">
        <f>SUM(B3:B17)</f>
        <v>180</v>
      </c>
      <c r="C21">
        <f t="shared" si="0"/>
        <v>22.5</v>
      </c>
    </row>
    <row r="22" spans="1:5" x14ac:dyDescent="0.3">
      <c r="A22" t="s">
        <v>31</v>
      </c>
      <c r="B22">
        <f>B18</f>
        <v>54</v>
      </c>
      <c r="C22">
        <f t="shared" si="0"/>
        <v>6.75</v>
      </c>
    </row>
    <row r="23" spans="1:5" x14ac:dyDescent="0.3">
      <c r="A23" t="s">
        <v>25</v>
      </c>
      <c r="B23">
        <f>B2</f>
        <v>18</v>
      </c>
      <c r="C23">
        <f t="shared" si="0"/>
        <v>2.25</v>
      </c>
    </row>
    <row r="24" spans="1:5" x14ac:dyDescent="0.3">
      <c r="A24" t="s">
        <v>126</v>
      </c>
      <c r="B24">
        <v>8</v>
      </c>
      <c r="C24">
        <f t="shared" si="0"/>
        <v>1</v>
      </c>
    </row>
    <row r="25" spans="1:5" x14ac:dyDescent="0.3">
      <c r="A25" t="s">
        <v>16</v>
      </c>
      <c r="B25">
        <f>SUM(B21:B24)</f>
        <v>260</v>
      </c>
      <c r="C25">
        <f t="shared" si="0"/>
        <v>32.5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J20" sqref="J20"/>
    </sheetView>
  </sheetViews>
  <sheetFormatPr defaultRowHeight="14.4" x14ac:dyDescent="0.3"/>
  <cols>
    <col min="1" max="1" width="48.33203125" customWidth="1"/>
    <col min="2" max="2" width="16.5546875" customWidth="1"/>
    <col min="3" max="3" width="14.88671875" customWidth="1"/>
    <col min="4" max="4" width="12.5546875" customWidth="1"/>
    <col min="5" max="5" width="13.44140625" customWidth="1"/>
    <col min="8" max="8" width="16.33203125" bestFit="1" customWidth="1"/>
  </cols>
  <sheetData>
    <row r="1" spans="1:11" x14ac:dyDescent="0.3">
      <c r="A1" s="92" t="s">
        <v>19</v>
      </c>
      <c r="B1" s="92"/>
      <c r="C1" s="92"/>
      <c r="D1" s="92"/>
      <c r="E1" s="92"/>
    </row>
    <row r="2" spans="1:11" x14ac:dyDescent="0.3">
      <c r="A2" s="92"/>
      <c r="B2" s="92"/>
      <c r="C2" s="92"/>
      <c r="D2" s="92"/>
      <c r="E2" s="92"/>
    </row>
    <row r="3" spans="1:11" x14ac:dyDescent="0.3">
      <c r="A3" s="92"/>
      <c r="B3" s="92"/>
      <c r="C3" s="92"/>
      <c r="D3" s="92"/>
      <c r="E3" s="92"/>
    </row>
    <row r="4" spans="1:11" x14ac:dyDescent="0.3">
      <c r="A4" s="92"/>
      <c r="B4" s="92"/>
      <c r="C4" s="92"/>
      <c r="D4" s="92"/>
      <c r="E4" s="92"/>
    </row>
    <row r="5" spans="1:11" x14ac:dyDescent="0.3">
      <c r="A5" s="92"/>
      <c r="B5" s="92"/>
      <c r="C5" s="92"/>
      <c r="D5" s="92"/>
      <c r="E5" s="92"/>
    </row>
    <row r="6" spans="1:11" ht="15.6" x14ac:dyDescent="0.3">
      <c r="A6" s="6" t="s">
        <v>0</v>
      </c>
      <c r="B6" s="7" t="s">
        <v>20</v>
      </c>
      <c r="C6" s="8" t="s">
        <v>21</v>
      </c>
      <c r="D6" s="7" t="s">
        <v>20</v>
      </c>
      <c r="E6" s="8" t="s">
        <v>21</v>
      </c>
      <c r="H6" s="9" t="s">
        <v>22</v>
      </c>
      <c r="I6" s="9"/>
      <c r="J6" s="9" t="s">
        <v>21</v>
      </c>
      <c r="K6" s="9" t="s">
        <v>16</v>
      </c>
    </row>
    <row r="7" spans="1:11" x14ac:dyDescent="0.3">
      <c r="A7" s="10"/>
      <c r="B7" s="93" t="s">
        <v>23</v>
      </c>
      <c r="C7" s="94"/>
      <c r="D7" s="93" t="s">
        <v>24</v>
      </c>
      <c r="E7" s="94"/>
      <c r="F7" s="11"/>
      <c r="H7" t="s">
        <v>25</v>
      </c>
      <c r="I7">
        <v>1</v>
      </c>
      <c r="J7">
        <f>SUM(E13:E93)*0.1</f>
        <v>3.53125</v>
      </c>
      <c r="K7">
        <f>I7*J7</f>
        <v>3.53125</v>
      </c>
    </row>
    <row r="8" spans="1:11" x14ac:dyDescent="0.3">
      <c r="A8" s="12" t="s">
        <v>26</v>
      </c>
      <c r="B8" s="13"/>
      <c r="C8" s="13"/>
      <c r="D8" s="13"/>
      <c r="E8" s="13"/>
      <c r="F8" s="11"/>
      <c r="H8" t="s">
        <v>27</v>
      </c>
      <c r="I8">
        <v>1.5</v>
      </c>
      <c r="J8">
        <f>C9</f>
        <v>5</v>
      </c>
      <c r="K8">
        <f t="shared" ref="K8:K10" si="0">I8*J8</f>
        <v>7.5</v>
      </c>
    </row>
    <row r="9" spans="1:11" x14ac:dyDescent="0.3">
      <c r="A9" s="14" t="s">
        <v>28</v>
      </c>
      <c r="B9" s="15">
        <v>40</v>
      </c>
      <c r="C9" s="21">
        <f>SUM(B9/8)</f>
        <v>5</v>
      </c>
      <c r="D9" s="17"/>
      <c r="E9" s="18"/>
      <c r="F9" s="11"/>
      <c r="H9" t="s">
        <v>29</v>
      </c>
      <c r="I9">
        <v>1.5</v>
      </c>
      <c r="J9">
        <f>SUM(E13:E101)/1.5</f>
        <v>30.041666666666668</v>
      </c>
      <c r="K9">
        <f t="shared" si="0"/>
        <v>45.0625</v>
      </c>
    </row>
    <row r="10" spans="1:11" x14ac:dyDescent="0.3">
      <c r="A10" s="19" t="s">
        <v>30</v>
      </c>
      <c r="B10" s="20">
        <v>162</v>
      </c>
      <c r="C10" s="21">
        <f>SUM(B10/8)</f>
        <v>20.25</v>
      </c>
      <c r="D10" s="20">
        <v>162</v>
      </c>
      <c r="E10" s="21">
        <f>SUM(D10/8)</f>
        <v>20.25</v>
      </c>
      <c r="F10" s="11"/>
      <c r="H10" t="s">
        <v>31</v>
      </c>
      <c r="I10">
        <v>1</v>
      </c>
      <c r="J10">
        <f>SUM(E13:E93)*0.45</f>
        <v>15.890625</v>
      </c>
      <c r="K10">
        <f t="shared" si="0"/>
        <v>15.890625</v>
      </c>
    </row>
    <row r="11" spans="1:11" x14ac:dyDescent="0.3">
      <c r="A11" s="22"/>
      <c r="B11" s="15"/>
      <c r="C11" s="16"/>
      <c r="D11" s="15"/>
      <c r="E11" s="16"/>
      <c r="F11" s="11"/>
      <c r="I11" t="s">
        <v>32</v>
      </c>
      <c r="K11">
        <f>SUM(K7:K10)</f>
        <v>71.984375</v>
      </c>
    </row>
    <row r="12" spans="1:11" x14ac:dyDescent="0.3">
      <c r="A12" s="23" t="s">
        <v>33</v>
      </c>
      <c r="B12" s="13"/>
      <c r="C12" s="24"/>
      <c r="D12" s="13"/>
      <c r="E12" s="24"/>
      <c r="F12" s="11"/>
      <c r="G12" t="s">
        <v>34</v>
      </c>
      <c r="I12" s="25">
        <v>10</v>
      </c>
    </row>
    <row r="13" spans="1:11" s="27" customFormat="1" x14ac:dyDescent="0.3">
      <c r="A13" s="22" t="s">
        <v>35</v>
      </c>
      <c r="B13" s="26">
        <v>8</v>
      </c>
      <c r="C13" s="21">
        <f t="shared" ref="C13:C18" si="1">SUM(B13/8)</f>
        <v>1</v>
      </c>
      <c r="D13" s="26">
        <v>8</v>
      </c>
      <c r="E13" s="21">
        <f t="shared" ref="E13:E76" si="2">SUM(D13/8)</f>
        <v>1</v>
      </c>
      <c r="G13" s="27" t="s">
        <v>36</v>
      </c>
      <c r="H13" s="27" t="s">
        <v>37</v>
      </c>
      <c r="I13" s="22">
        <f>J10+J9+J8</f>
        <v>50.932291666666671</v>
      </c>
    </row>
    <row r="14" spans="1:11" x14ac:dyDescent="0.3">
      <c r="A14" s="28" t="s">
        <v>38</v>
      </c>
      <c r="B14" s="26">
        <v>1</v>
      </c>
      <c r="C14" s="21">
        <f t="shared" si="1"/>
        <v>0.125</v>
      </c>
      <c r="D14" s="26">
        <v>1</v>
      </c>
      <c r="E14" s="21">
        <f t="shared" si="2"/>
        <v>0.125</v>
      </c>
      <c r="F14" s="29"/>
      <c r="H14" t="s">
        <v>39</v>
      </c>
      <c r="I14" s="25">
        <f>K11</f>
        <v>71.984375</v>
      </c>
    </row>
    <row r="15" spans="1:11" x14ac:dyDescent="0.3">
      <c r="A15" s="22" t="s">
        <v>40</v>
      </c>
      <c r="B15" s="26">
        <v>2</v>
      </c>
      <c r="C15" s="21">
        <f t="shared" si="1"/>
        <v>0.25</v>
      </c>
      <c r="D15" s="26">
        <v>2</v>
      </c>
      <c r="E15" s="21">
        <f t="shared" si="2"/>
        <v>0.25</v>
      </c>
      <c r="F15" s="29"/>
    </row>
    <row r="16" spans="1:11" x14ac:dyDescent="0.3">
      <c r="A16" s="22" t="s">
        <v>41</v>
      </c>
      <c r="B16" s="26">
        <v>4</v>
      </c>
      <c r="C16" s="21">
        <f t="shared" si="1"/>
        <v>0.5</v>
      </c>
      <c r="D16" s="26">
        <v>4</v>
      </c>
      <c r="E16" s="21">
        <f t="shared" si="2"/>
        <v>0.5</v>
      </c>
      <c r="F16" s="29"/>
      <c r="G16" t="s">
        <v>42</v>
      </c>
    </row>
    <row r="17" spans="1:14" x14ac:dyDescent="0.3">
      <c r="A17" s="22" t="s">
        <v>43</v>
      </c>
      <c r="B17" s="26">
        <v>1.5</v>
      </c>
      <c r="C17" s="21">
        <f t="shared" si="1"/>
        <v>0.1875</v>
      </c>
      <c r="D17" s="26">
        <v>1.5</v>
      </c>
      <c r="E17" s="21">
        <f t="shared" si="2"/>
        <v>0.1875</v>
      </c>
      <c r="F17" s="30"/>
      <c r="H17" t="s">
        <v>22</v>
      </c>
      <c r="I17" t="s">
        <v>123</v>
      </c>
      <c r="J17" t="s">
        <v>21</v>
      </c>
      <c r="K17" t="s">
        <v>16</v>
      </c>
    </row>
    <row r="18" spans="1:14" x14ac:dyDescent="0.3">
      <c r="A18" s="31" t="s">
        <v>44</v>
      </c>
      <c r="B18" s="26"/>
      <c r="C18" s="21">
        <f t="shared" si="1"/>
        <v>0</v>
      </c>
      <c r="D18" s="26"/>
      <c r="E18" s="21">
        <f t="shared" si="2"/>
        <v>0</v>
      </c>
      <c r="H18" t="s">
        <v>25</v>
      </c>
      <c r="I18">
        <v>1</v>
      </c>
      <c r="J18">
        <f>SUM(E13:E97)*0.1</f>
        <v>4.2062499999999998</v>
      </c>
      <c r="K18">
        <f>I18*J18</f>
        <v>4.2062499999999998</v>
      </c>
    </row>
    <row r="19" spans="1:14" x14ac:dyDescent="0.3">
      <c r="A19" t="s">
        <v>108</v>
      </c>
      <c r="B19" s="21">
        <v>2</v>
      </c>
      <c r="C19" s="21">
        <f>SUM(B19/8)</f>
        <v>0.25</v>
      </c>
      <c r="D19" s="21">
        <v>2</v>
      </c>
      <c r="E19" s="21">
        <f t="shared" si="2"/>
        <v>0.25</v>
      </c>
      <c r="G19" s="21"/>
      <c r="H19" t="s">
        <v>34</v>
      </c>
      <c r="I19">
        <v>1</v>
      </c>
      <c r="J19">
        <f>C9</f>
        <v>5</v>
      </c>
      <c r="K19">
        <f t="shared" ref="K19:K24" si="3">I19*J19</f>
        <v>5</v>
      </c>
    </row>
    <row r="20" spans="1:14" x14ac:dyDescent="0.3">
      <c r="A20" t="s">
        <v>45</v>
      </c>
      <c r="B20" s="21">
        <v>4</v>
      </c>
      <c r="C20" s="21">
        <f t="shared" ref="C20:E62" si="4">SUM(B20/8)</f>
        <v>0.5</v>
      </c>
      <c r="D20" s="21">
        <v>4</v>
      </c>
      <c r="E20" s="21">
        <f t="shared" si="2"/>
        <v>0.5</v>
      </c>
      <c r="H20" t="s">
        <v>124</v>
      </c>
      <c r="I20">
        <v>1</v>
      </c>
      <c r="J20">
        <f>SUM(E10:E100)</f>
        <v>65.3125</v>
      </c>
      <c r="K20">
        <f t="shared" si="3"/>
        <v>65.3125</v>
      </c>
    </row>
    <row r="21" spans="1:14" x14ac:dyDescent="0.3">
      <c r="A21" t="s">
        <v>111</v>
      </c>
      <c r="B21" s="21">
        <v>4</v>
      </c>
      <c r="C21" s="21">
        <f t="shared" si="4"/>
        <v>0.5</v>
      </c>
      <c r="D21" s="21">
        <v>4</v>
      </c>
      <c r="E21" s="21">
        <f t="shared" si="2"/>
        <v>0.5</v>
      </c>
      <c r="F21" s="32"/>
      <c r="G21" s="21"/>
      <c r="H21" t="s">
        <v>125</v>
      </c>
      <c r="I21">
        <v>1</v>
      </c>
      <c r="J21">
        <f>SUM(C10:C100)</f>
        <v>65.3125</v>
      </c>
      <c r="K21">
        <f t="shared" si="3"/>
        <v>65.3125</v>
      </c>
    </row>
    <row r="22" spans="1:14" x14ac:dyDescent="0.3">
      <c r="A22" t="s">
        <v>46</v>
      </c>
      <c r="B22" s="21">
        <v>1</v>
      </c>
      <c r="C22" s="21">
        <f t="shared" si="4"/>
        <v>0.125</v>
      </c>
      <c r="D22" s="21">
        <v>1</v>
      </c>
      <c r="E22" s="21">
        <f t="shared" si="2"/>
        <v>0.125</v>
      </c>
      <c r="F22" s="30"/>
      <c r="G22" s="21"/>
      <c r="H22" t="s">
        <v>135</v>
      </c>
      <c r="I22">
        <v>1</v>
      </c>
      <c r="J22">
        <f>J20*0.45</f>
        <v>29.390625</v>
      </c>
      <c r="K22">
        <f t="shared" si="3"/>
        <v>29.390625</v>
      </c>
      <c r="N22">
        <f>K22*8</f>
        <v>235.125</v>
      </c>
    </row>
    <row r="23" spans="1:14" x14ac:dyDescent="0.3">
      <c r="A23" t="s">
        <v>109</v>
      </c>
      <c r="B23" s="21">
        <v>4</v>
      </c>
      <c r="C23" s="21">
        <f t="shared" si="4"/>
        <v>0.5</v>
      </c>
      <c r="D23" s="21">
        <v>4</v>
      </c>
      <c r="E23" s="21">
        <f t="shared" si="2"/>
        <v>0.5</v>
      </c>
      <c r="F23" s="30"/>
      <c r="G23" s="21"/>
      <c r="H23" t="s">
        <v>136</v>
      </c>
      <c r="I23">
        <v>1</v>
      </c>
      <c r="J23">
        <f>J21*0.45</f>
        <v>29.390625</v>
      </c>
      <c r="K23">
        <f t="shared" si="3"/>
        <v>29.390625</v>
      </c>
    </row>
    <row r="24" spans="1:14" x14ac:dyDescent="0.3">
      <c r="A24" t="s">
        <v>110</v>
      </c>
      <c r="B24" s="21">
        <v>2</v>
      </c>
      <c r="C24" s="21">
        <f t="shared" si="4"/>
        <v>0.25</v>
      </c>
      <c r="D24" s="21">
        <v>2</v>
      </c>
      <c r="E24" s="21">
        <f t="shared" si="2"/>
        <v>0.25</v>
      </c>
      <c r="F24" s="30"/>
      <c r="G24" s="21"/>
      <c r="H24" t="s">
        <v>126</v>
      </c>
      <c r="I24">
        <v>1</v>
      </c>
      <c r="J24">
        <v>3</v>
      </c>
      <c r="K24">
        <f t="shared" si="3"/>
        <v>3</v>
      </c>
    </row>
    <row r="25" spans="1:14" x14ac:dyDescent="0.3">
      <c r="A25" t="s">
        <v>112</v>
      </c>
      <c r="B25" s="21">
        <v>2</v>
      </c>
      <c r="C25" s="21">
        <f t="shared" si="4"/>
        <v>0.25</v>
      </c>
      <c r="D25" s="21">
        <v>2</v>
      </c>
      <c r="E25" s="21">
        <f t="shared" si="2"/>
        <v>0.25</v>
      </c>
      <c r="F25" s="30"/>
      <c r="G25" s="21"/>
      <c r="H25" t="s">
        <v>16</v>
      </c>
      <c r="K25">
        <f>SUM(K18:K24)</f>
        <v>201.61250000000001</v>
      </c>
    </row>
    <row r="26" spans="1:14" x14ac:dyDescent="0.3">
      <c r="A26" t="s">
        <v>113</v>
      </c>
      <c r="B26" s="21">
        <v>2</v>
      </c>
      <c r="C26" s="21">
        <f t="shared" si="4"/>
        <v>0.25</v>
      </c>
      <c r="D26" s="21">
        <v>2</v>
      </c>
      <c r="E26" s="21">
        <f t="shared" si="2"/>
        <v>0.25</v>
      </c>
      <c r="F26" s="30"/>
      <c r="G26" s="21"/>
    </row>
    <row r="27" spans="1:14" x14ac:dyDescent="0.3">
      <c r="A27" s="25" t="s">
        <v>47</v>
      </c>
      <c r="B27" s="21"/>
      <c r="C27" s="21">
        <f t="shared" si="4"/>
        <v>0</v>
      </c>
      <c r="D27" s="21"/>
      <c r="E27" s="21">
        <f t="shared" si="2"/>
        <v>0</v>
      </c>
    </row>
    <row r="28" spans="1:14" x14ac:dyDescent="0.3">
      <c r="A28" t="s">
        <v>48</v>
      </c>
      <c r="B28" s="21">
        <v>1</v>
      </c>
      <c r="C28" s="21">
        <f t="shared" si="4"/>
        <v>0.125</v>
      </c>
      <c r="D28" s="21">
        <v>1</v>
      </c>
      <c r="E28" s="21">
        <f t="shared" si="2"/>
        <v>0.125</v>
      </c>
      <c r="G28" s="21"/>
    </row>
    <row r="29" spans="1:14" x14ac:dyDescent="0.3">
      <c r="A29" t="s">
        <v>49</v>
      </c>
      <c r="B29" s="21">
        <v>8</v>
      </c>
      <c r="C29" s="21">
        <f t="shared" si="4"/>
        <v>1</v>
      </c>
      <c r="D29" s="21">
        <v>8</v>
      </c>
      <c r="E29" s="21">
        <f t="shared" si="2"/>
        <v>1</v>
      </c>
      <c r="G29" s="21"/>
      <c r="H29" t="s">
        <v>141</v>
      </c>
      <c r="I29">
        <f>(J18+J24+J19)/2 +J22+J20</f>
        <v>100.80625000000001</v>
      </c>
    </row>
    <row r="30" spans="1:14" x14ac:dyDescent="0.3">
      <c r="A30" s="51" t="s">
        <v>50</v>
      </c>
      <c r="B30" s="21">
        <v>12</v>
      </c>
      <c r="C30" s="21">
        <f t="shared" si="4"/>
        <v>1.5</v>
      </c>
      <c r="D30" s="21">
        <v>12</v>
      </c>
      <c r="E30" s="21">
        <f t="shared" si="2"/>
        <v>1.5</v>
      </c>
      <c r="G30" s="21"/>
      <c r="H30" t="s">
        <v>143</v>
      </c>
      <c r="I30">
        <f>I29</f>
        <v>100.80625000000001</v>
      </c>
    </row>
    <row r="31" spans="1:14" x14ac:dyDescent="0.3">
      <c r="A31" s="51" t="s">
        <v>51</v>
      </c>
      <c r="B31" s="21"/>
      <c r="C31" s="21"/>
      <c r="D31" s="21"/>
      <c r="E31" s="21"/>
    </row>
    <row r="32" spans="1:14" x14ac:dyDescent="0.3">
      <c r="A32" s="51" t="s">
        <v>52</v>
      </c>
      <c r="B32" s="21">
        <v>6</v>
      </c>
      <c r="C32" s="21"/>
      <c r="D32" s="21">
        <v>6</v>
      </c>
      <c r="E32" s="21"/>
      <c r="G32" s="21"/>
    </row>
    <row r="33" spans="1:7" x14ac:dyDescent="0.3">
      <c r="A33" s="51" t="s">
        <v>53</v>
      </c>
      <c r="B33" s="21">
        <v>4</v>
      </c>
      <c r="C33" s="21">
        <f t="shared" si="4"/>
        <v>0.5</v>
      </c>
      <c r="D33" s="21">
        <v>4</v>
      </c>
      <c r="E33" s="21">
        <f t="shared" si="2"/>
        <v>0.5</v>
      </c>
      <c r="G33" s="21"/>
    </row>
    <row r="34" spans="1:7" x14ac:dyDescent="0.3">
      <c r="A34" s="51" t="s">
        <v>107</v>
      </c>
      <c r="B34" s="21">
        <v>8</v>
      </c>
      <c r="C34" s="21">
        <f t="shared" si="4"/>
        <v>1</v>
      </c>
      <c r="D34" s="21">
        <v>8</v>
      </c>
      <c r="E34" s="21">
        <f t="shared" si="2"/>
        <v>1</v>
      </c>
      <c r="G34" s="21"/>
    </row>
    <row r="35" spans="1:7" x14ac:dyDescent="0.3">
      <c r="A35" s="25" t="s">
        <v>54</v>
      </c>
      <c r="B35" s="21"/>
      <c r="C35" s="21">
        <f t="shared" si="4"/>
        <v>0</v>
      </c>
      <c r="D35" s="21"/>
      <c r="E35" s="21">
        <f t="shared" si="2"/>
        <v>0</v>
      </c>
    </row>
    <row r="36" spans="1:7" x14ac:dyDescent="0.3">
      <c r="A36" t="s">
        <v>55</v>
      </c>
      <c r="B36" s="21">
        <v>2</v>
      </c>
      <c r="C36" s="21">
        <f t="shared" si="4"/>
        <v>0.25</v>
      </c>
      <c r="D36" s="21">
        <v>2</v>
      </c>
      <c r="E36" s="21">
        <f t="shared" si="2"/>
        <v>0.25</v>
      </c>
      <c r="G36" s="21"/>
    </row>
    <row r="37" spans="1:7" x14ac:dyDescent="0.3">
      <c r="A37" s="51" t="s">
        <v>56</v>
      </c>
      <c r="B37" s="21">
        <v>6</v>
      </c>
      <c r="C37" s="21">
        <f t="shared" si="4"/>
        <v>0.75</v>
      </c>
      <c r="D37" s="21">
        <v>6</v>
      </c>
      <c r="E37" s="21">
        <f t="shared" si="2"/>
        <v>0.75</v>
      </c>
      <c r="G37" s="21"/>
    </row>
    <row r="38" spans="1:7" x14ac:dyDescent="0.3">
      <c r="A38" s="52" t="s">
        <v>57</v>
      </c>
      <c r="B38" s="21"/>
      <c r="C38" s="21">
        <f t="shared" si="4"/>
        <v>0</v>
      </c>
      <c r="D38" s="21"/>
      <c r="E38" s="21">
        <f t="shared" si="2"/>
        <v>0</v>
      </c>
    </row>
    <row r="39" spans="1:7" x14ac:dyDescent="0.3">
      <c r="A39" s="51" t="s">
        <v>114</v>
      </c>
      <c r="B39" s="21">
        <v>8</v>
      </c>
      <c r="C39" s="21">
        <f t="shared" si="4"/>
        <v>1</v>
      </c>
      <c r="D39" s="21">
        <v>8</v>
      </c>
      <c r="E39" s="21">
        <f t="shared" si="2"/>
        <v>1</v>
      </c>
      <c r="G39" s="21"/>
    </row>
    <row r="40" spans="1:7" x14ac:dyDescent="0.3">
      <c r="A40" t="s">
        <v>115</v>
      </c>
      <c r="B40" s="21">
        <v>6</v>
      </c>
      <c r="C40" s="21">
        <f t="shared" si="4"/>
        <v>0.75</v>
      </c>
      <c r="D40" s="21">
        <v>6</v>
      </c>
      <c r="E40" s="21">
        <f t="shared" si="2"/>
        <v>0.75</v>
      </c>
      <c r="G40" s="21"/>
    </row>
    <row r="41" spans="1:7" x14ac:dyDescent="0.3">
      <c r="A41" t="s">
        <v>58</v>
      </c>
      <c r="B41" s="21">
        <v>6</v>
      </c>
      <c r="C41" s="21">
        <f t="shared" si="4"/>
        <v>0.75</v>
      </c>
      <c r="D41" s="21">
        <v>6</v>
      </c>
      <c r="E41" s="21">
        <f t="shared" si="2"/>
        <v>0.75</v>
      </c>
      <c r="G41" s="21"/>
    </row>
    <row r="42" spans="1:7" x14ac:dyDescent="0.3">
      <c r="A42" s="25" t="s">
        <v>59</v>
      </c>
      <c r="B42" s="21"/>
      <c r="C42" s="21">
        <f t="shared" si="4"/>
        <v>0</v>
      </c>
      <c r="D42" s="21"/>
      <c r="E42" s="21">
        <f t="shared" si="2"/>
        <v>0</v>
      </c>
    </row>
    <row r="43" spans="1:7" x14ac:dyDescent="0.3">
      <c r="A43" t="s">
        <v>60</v>
      </c>
      <c r="B43" s="21">
        <v>8</v>
      </c>
      <c r="C43" s="21">
        <f t="shared" si="4"/>
        <v>1</v>
      </c>
      <c r="D43" s="21">
        <v>8</v>
      </c>
      <c r="E43" s="21">
        <f t="shared" si="2"/>
        <v>1</v>
      </c>
      <c r="G43" s="21"/>
    </row>
    <row r="44" spans="1:7" x14ac:dyDescent="0.3">
      <c r="A44" s="51" t="s">
        <v>116</v>
      </c>
      <c r="B44" s="21">
        <v>4</v>
      </c>
      <c r="C44" s="21">
        <f t="shared" si="4"/>
        <v>0.5</v>
      </c>
      <c r="D44" s="21">
        <v>4</v>
      </c>
      <c r="E44" s="21">
        <f t="shared" si="2"/>
        <v>0.5</v>
      </c>
      <c r="G44" s="21"/>
    </row>
    <row r="45" spans="1:7" x14ac:dyDescent="0.3">
      <c r="A45" s="52" t="s">
        <v>61</v>
      </c>
      <c r="B45" s="21"/>
      <c r="C45" s="21"/>
      <c r="D45" s="21"/>
      <c r="E45" s="21"/>
    </row>
    <row r="46" spans="1:7" x14ac:dyDescent="0.3">
      <c r="A46" s="53" t="s">
        <v>60</v>
      </c>
      <c r="B46" s="21">
        <v>2</v>
      </c>
      <c r="C46" s="21">
        <f t="shared" si="4"/>
        <v>0.25</v>
      </c>
      <c r="D46" s="21">
        <v>2</v>
      </c>
      <c r="E46" s="21">
        <f t="shared" si="4"/>
        <v>0.25</v>
      </c>
      <c r="G46" s="21"/>
    </row>
    <row r="47" spans="1:7" x14ac:dyDescent="0.3">
      <c r="A47" s="51" t="s">
        <v>62</v>
      </c>
      <c r="B47" s="21">
        <v>1</v>
      </c>
      <c r="C47" s="21">
        <f t="shared" si="4"/>
        <v>0.125</v>
      </c>
      <c r="D47" s="21">
        <v>1</v>
      </c>
      <c r="E47" s="21">
        <f t="shared" si="2"/>
        <v>0.125</v>
      </c>
      <c r="G47" s="21"/>
    </row>
    <row r="48" spans="1:7" x14ac:dyDescent="0.3">
      <c r="A48" s="51" t="s">
        <v>63</v>
      </c>
      <c r="B48" s="21">
        <v>1</v>
      </c>
      <c r="C48" s="21">
        <f t="shared" si="4"/>
        <v>0.125</v>
      </c>
      <c r="D48" s="21">
        <v>1</v>
      </c>
      <c r="E48" s="21">
        <f t="shared" si="2"/>
        <v>0.125</v>
      </c>
      <c r="G48" s="21"/>
    </row>
    <row r="49" spans="1:7" x14ac:dyDescent="0.3">
      <c r="A49" s="51" t="s">
        <v>64</v>
      </c>
      <c r="B49" s="21">
        <v>2</v>
      </c>
      <c r="C49" s="21">
        <f t="shared" si="4"/>
        <v>0.25</v>
      </c>
      <c r="D49" s="21">
        <v>2</v>
      </c>
      <c r="E49" s="21">
        <f t="shared" si="2"/>
        <v>0.25</v>
      </c>
      <c r="G49" s="21"/>
    </row>
    <row r="50" spans="1:7" x14ac:dyDescent="0.3">
      <c r="A50" s="51" t="s">
        <v>65</v>
      </c>
      <c r="B50" s="21">
        <v>2</v>
      </c>
      <c r="C50" s="21">
        <f t="shared" si="4"/>
        <v>0.25</v>
      </c>
      <c r="D50" s="21">
        <v>2</v>
      </c>
      <c r="E50" s="21">
        <f t="shared" si="2"/>
        <v>0.25</v>
      </c>
      <c r="G50" s="21"/>
    </row>
    <row r="51" spans="1:7" x14ac:dyDescent="0.3">
      <c r="A51" s="51" t="s">
        <v>66</v>
      </c>
      <c r="B51" s="21">
        <v>4</v>
      </c>
      <c r="C51" s="21">
        <f t="shared" si="4"/>
        <v>0.5</v>
      </c>
      <c r="D51" s="21">
        <v>4</v>
      </c>
      <c r="E51" s="21">
        <f t="shared" si="2"/>
        <v>0.5</v>
      </c>
      <c r="G51" s="21"/>
    </row>
    <row r="52" spans="1:7" x14ac:dyDescent="0.3">
      <c r="A52" s="51" t="s">
        <v>67</v>
      </c>
      <c r="B52" s="21">
        <v>2</v>
      </c>
      <c r="C52" s="21">
        <f t="shared" si="4"/>
        <v>0.25</v>
      </c>
      <c r="D52" s="21">
        <v>2</v>
      </c>
      <c r="E52" s="21">
        <f t="shared" si="2"/>
        <v>0.25</v>
      </c>
      <c r="G52" s="21"/>
    </row>
    <row r="53" spans="1:7" x14ac:dyDescent="0.3">
      <c r="A53" s="52" t="s">
        <v>68</v>
      </c>
      <c r="B53" s="21"/>
      <c r="C53" s="21"/>
      <c r="D53" s="21"/>
      <c r="E53" s="21"/>
    </row>
    <row r="54" spans="1:7" x14ac:dyDescent="0.3">
      <c r="A54" s="53" t="s">
        <v>60</v>
      </c>
      <c r="B54" s="21">
        <v>1</v>
      </c>
      <c r="C54" s="21">
        <f t="shared" ref="C54" si="5">SUM(B54/8)</f>
        <v>0.125</v>
      </c>
      <c r="D54" s="21">
        <v>1</v>
      </c>
      <c r="E54" s="21">
        <f t="shared" ref="E54" si="6">SUM(D54/8)</f>
        <v>0.125</v>
      </c>
      <c r="G54" s="21"/>
    </row>
    <row r="55" spans="1:7" x14ac:dyDescent="0.3">
      <c r="A55" s="51" t="s">
        <v>117</v>
      </c>
      <c r="B55" s="21">
        <v>4</v>
      </c>
      <c r="C55" s="21">
        <f t="shared" si="4"/>
        <v>0.5</v>
      </c>
      <c r="D55" s="21">
        <v>4</v>
      </c>
      <c r="E55" s="21">
        <f t="shared" si="2"/>
        <v>0.5</v>
      </c>
      <c r="G55" s="21"/>
    </row>
    <row r="56" spans="1:7" x14ac:dyDescent="0.3">
      <c r="A56" s="51" t="s">
        <v>69</v>
      </c>
      <c r="B56" s="21">
        <v>6</v>
      </c>
      <c r="C56" s="21">
        <f t="shared" si="4"/>
        <v>0.75</v>
      </c>
      <c r="D56" s="21">
        <v>6</v>
      </c>
      <c r="E56" s="21">
        <f t="shared" si="2"/>
        <v>0.75</v>
      </c>
      <c r="G56" s="21"/>
    </row>
    <row r="57" spans="1:7" x14ac:dyDescent="0.3">
      <c r="A57" s="51" t="s">
        <v>70</v>
      </c>
      <c r="B57" s="21">
        <v>12</v>
      </c>
      <c r="C57" s="21">
        <f t="shared" si="4"/>
        <v>1.5</v>
      </c>
      <c r="D57" s="21">
        <v>12</v>
      </c>
      <c r="E57" s="21">
        <f t="shared" si="2"/>
        <v>1.5</v>
      </c>
      <c r="G57" s="21"/>
    </row>
    <row r="58" spans="1:7" x14ac:dyDescent="0.3">
      <c r="A58" s="51" t="s">
        <v>118</v>
      </c>
      <c r="B58" s="21">
        <v>6</v>
      </c>
      <c r="C58" s="21">
        <f t="shared" si="4"/>
        <v>0.75</v>
      </c>
      <c r="D58" s="21">
        <v>6</v>
      </c>
      <c r="E58" s="21">
        <f t="shared" si="2"/>
        <v>0.75</v>
      </c>
      <c r="G58" s="21"/>
    </row>
    <row r="59" spans="1:7" x14ac:dyDescent="0.3">
      <c r="A59" s="51" t="s">
        <v>71</v>
      </c>
      <c r="B59" s="21">
        <v>4</v>
      </c>
      <c r="C59" s="21">
        <f t="shared" si="4"/>
        <v>0.5</v>
      </c>
      <c r="D59" s="21">
        <v>4</v>
      </c>
      <c r="E59" s="21">
        <f t="shared" si="2"/>
        <v>0.5</v>
      </c>
      <c r="G59" s="21"/>
    </row>
    <row r="60" spans="1:7" x14ac:dyDescent="0.3">
      <c r="A60" t="s">
        <v>72</v>
      </c>
      <c r="B60" s="21">
        <v>4</v>
      </c>
      <c r="C60" s="21">
        <f t="shared" si="4"/>
        <v>0.5</v>
      </c>
      <c r="D60" s="21">
        <v>4</v>
      </c>
      <c r="E60" s="21">
        <f t="shared" si="2"/>
        <v>0.5</v>
      </c>
      <c r="G60" s="21"/>
    </row>
    <row r="61" spans="1:7" x14ac:dyDescent="0.3">
      <c r="A61" s="25" t="s">
        <v>73</v>
      </c>
      <c r="B61" s="21"/>
      <c r="C61" s="21">
        <f t="shared" si="4"/>
        <v>0</v>
      </c>
      <c r="D61" s="21"/>
      <c r="E61" s="21">
        <f t="shared" si="2"/>
        <v>0</v>
      </c>
    </row>
    <row r="62" spans="1:7" x14ac:dyDescent="0.3">
      <c r="A62" s="51" t="s">
        <v>74</v>
      </c>
      <c r="B62" s="21">
        <v>1</v>
      </c>
      <c r="C62" s="21">
        <f t="shared" si="4"/>
        <v>0.125</v>
      </c>
      <c r="D62" s="21">
        <v>1</v>
      </c>
      <c r="E62" s="21">
        <f t="shared" si="2"/>
        <v>0.125</v>
      </c>
      <c r="G62" s="21"/>
    </row>
    <row r="63" spans="1:7" x14ac:dyDescent="0.3">
      <c r="A63" s="51" t="s">
        <v>75</v>
      </c>
      <c r="B63" s="21">
        <v>4</v>
      </c>
      <c r="C63" s="21">
        <f t="shared" ref="C63:C96" si="7">SUM(B63/8)</f>
        <v>0.5</v>
      </c>
      <c r="D63" s="21">
        <v>4</v>
      </c>
      <c r="E63" s="21">
        <f t="shared" si="2"/>
        <v>0.5</v>
      </c>
      <c r="G63" s="21"/>
    </row>
    <row r="64" spans="1:7" x14ac:dyDescent="0.3">
      <c r="A64" s="51" t="s">
        <v>76</v>
      </c>
      <c r="B64" s="21">
        <v>2</v>
      </c>
      <c r="C64" s="21">
        <f t="shared" si="7"/>
        <v>0.25</v>
      </c>
      <c r="D64" s="21">
        <v>2</v>
      </c>
      <c r="E64" s="21">
        <f t="shared" si="2"/>
        <v>0.25</v>
      </c>
      <c r="G64" s="21"/>
    </row>
    <row r="65" spans="1:7" x14ac:dyDescent="0.3">
      <c r="A65" s="51" t="s">
        <v>77</v>
      </c>
      <c r="B65" s="21">
        <v>1</v>
      </c>
      <c r="C65" s="21">
        <f t="shared" si="7"/>
        <v>0.125</v>
      </c>
      <c r="D65" s="21">
        <v>1</v>
      </c>
      <c r="E65" s="21">
        <f t="shared" si="2"/>
        <v>0.125</v>
      </c>
      <c r="G65" s="21"/>
    </row>
    <row r="66" spans="1:7" x14ac:dyDescent="0.3">
      <c r="A66" s="51" t="s">
        <v>78</v>
      </c>
      <c r="B66" s="21">
        <v>6</v>
      </c>
      <c r="C66" s="21">
        <f t="shared" si="7"/>
        <v>0.75</v>
      </c>
      <c r="D66" s="21">
        <v>6</v>
      </c>
      <c r="E66" s="21">
        <f t="shared" si="2"/>
        <v>0.75</v>
      </c>
      <c r="G66" s="21"/>
    </row>
    <row r="67" spans="1:7" x14ac:dyDescent="0.3">
      <c r="A67" s="52" t="s">
        <v>79</v>
      </c>
      <c r="B67" s="21"/>
      <c r="C67" s="21"/>
      <c r="D67" s="21"/>
      <c r="E67" s="21"/>
      <c r="G67" s="21"/>
    </row>
    <row r="68" spans="1:7" x14ac:dyDescent="0.3">
      <c r="A68" s="51" t="s">
        <v>80</v>
      </c>
      <c r="B68" s="21">
        <v>1</v>
      </c>
      <c r="C68" s="21">
        <f t="shared" si="7"/>
        <v>0.125</v>
      </c>
      <c r="D68" s="21">
        <v>1</v>
      </c>
      <c r="E68" s="21">
        <f t="shared" si="2"/>
        <v>0.125</v>
      </c>
      <c r="G68" s="21"/>
    </row>
    <row r="69" spans="1:7" x14ac:dyDescent="0.3">
      <c r="A69" s="51" t="s">
        <v>81</v>
      </c>
      <c r="B69" s="21">
        <v>1</v>
      </c>
      <c r="C69" s="21">
        <f t="shared" si="7"/>
        <v>0.125</v>
      </c>
      <c r="D69" s="21">
        <v>1</v>
      </c>
      <c r="E69" s="21">
        <f t="shared" si="2"/>
        <v>0.125</v>
      </c>
      <c r="G69" s="21"/>
    </row>
    <row r="70" spans="1:7" x14ac:dyDescent="0.3">
      <c r="A70" s="51" t="s">
        <v>82</v>
      </c>
      <c r="B70" s="21">
        <v>1</v>
      </c>
      <c r="C70" s="21">
        <f t="shared" si="7"/>
        <v>0.125</v>
      </c>
      <c r="D70" s="21">
        <v>1</v>
      </c>
      <c r="E70" s="21">
        <f t="shared" si="2"/>
        <v>0.125</v>
      </c>
      <c r="G70" s="21"/>
    </row>
    <row r="71" spans="1:7" x14ac:dyDescent="0.3">
      <c r="A71" s="51" t="s">
        <v>83</v>
      </c>
      <c r="B71" s="21">
        <v>2</v>
      </c>
      <c r="C71" s="21">
        <f t="shared" si="7"/>
        <v>0.25</v>
      </c>
      <c r="D71" s="21">
        <v>2</v>
      </c>
      <c r="E71" s="21">
        <f t="shared" si="2"/>
        <v>0.25</v>
      </c>
      <c r="G71" s="21"/>
    </row>
    <row r="72" spans="1:7" x14ac:dyDescent="0.3">
      <c r="A72" s="51" t="s">
        <v>84</v>
      </c>
      <c r="B72" s="21">
        <v>1</v>
      </c>
      <c r="C72" s="21">
        <f t="shared" si="7"/>
        <v>0.125</v>
      </c>
      <c r="D72" s="21">
        <v>1</v>
      </c>
      <c r="E72" s="21">
        <f t="shared" si="2"/>
        <v>0.125</v>
      </c>
      <c r="G72" s="21"/>
    </row>
    <row r="73" spans="1:7" x14ac:dyDescent="0.3">
      <c r="A73" s="51" t="s">
        <v>85</v>
      </c>
      <c r="B73" s="21">
        <v>1</v>
      </c>
      <c r="C73" s="21">
        <f t="shared" si="7"/>
        <v>0.125</v>
      </c>
      <c r="D73" s="21">
        <v>1</v>
      </c>
      <c r="E73" s="21">
        <f t="shared" si="2"/>
        <v>0.125</v>
      </c>
      <c r="G73" s="21"/>
    </row>
    <row r="74" spans="1:7" x14ac:dyDescent="0.3">
      <c r="A74" s="51" t="s">
        <v>86</v>
      </c>
      <c r="B74" s="21">
        <v>1</v>
      </c>
      <c r="C74" s="21">
        <f t="shared" si="7"/>
        <v>0.125</v>
      </c>
      <c r="D74" s="21">
        <v>1</v>
      </c>
      <c r="E74" s="21">
        <f t="shared" si="2"/>
        <v>0.125</v>
      </c>
      <c r="G74" s="21"/>
    </row>
    <row r="75" spans="1:7" x14ac:dyDescent="0.3">
      <c r="A75" s="51" t="s">
        <v>87</v>
      </c>
      <c r="B75" s="21">
        <v>2</v>
      </c>
      <c r="C75" s="21">
        <f t="shared" si="7"/>
        <v>0.25</v>
      </c>
      <c r="D75" s="21">
        <v>2</v>
      </c>
      <c r="E75" s="21">
        <f t="shared" si="2"/>
        <v>0.25</v>
      </c>
      <c r="G75" s="21"/>
    </row>
    <row r="76" spans="1:7" x14ac:dyDescent="0.3">
      <c r="A76" s="51" t="s">
        <v>88</v>
      </c>
      <c r="B76" s="21">
        <v>3</v>
      </c>
      <c r="C76" s="21">
        <f t="shared" si="7"/>
        <v>0.375</v>
      </c>
      <c r="D76" s="21">
        <v>3</v>
      </c>
      <c r="E76" s="21">
        <f t="shared" si="2"/>
        <v>0.375</v>
      </c>
      <c r="G76" s="21"/>
    </row>
    <row r="77" spans="1:7" x14ac:dyDescent="0.3">
      <c r="A77" s="51" t="s">
        <v>89</v>
      </c>
      <c r="B77" s="21">
        <v>4</v>
      </c>
      <c r="C77" s="21">
        <f t="shared" si="7"/>
        <v>0.5</v>
      </c>
      <c r="D77" s="21">
        <v>4</v>
      </c>
      <c r="E77" s="21">
        <f t="shared" ref="E77:E94" si="8">SUM(D77/8)</f>
        <v>0.5</v>
      </c>
      <c r="G77" s="21"/>
    </row>
    <row r="78" spans="1:7" x14ac:dyDescent="0.3">
      <c r="A78" s="51" t="s">
        <v>90</v>
      </c>
      <c r="B78" s="21">
        <v>5</v>
      </c>
      <c r="C78" s="21">
        <f t="shared" si="7"/>
        <v>0.625</v>
      </c>
      <c r="D78" s="21">
        <v>5</v>
      </c>
      <c r="E78" s="21">
        <f t="shared" si="8"/>
        <v>0.625</v>
      </c>
      <c r="G78" s="21"/>
    </row>
    <row r="79" spans="1:7" x14ac:dyDescent="0.3">
      <c r="A79" s="51" t="s">
        <v>119</v>
      </c>
      <c r="B79" s="21">
        <v>2</v>
      </c>
      <c r="C79" s="21">
        <f t="shared" si="7"/>
        <v>0.25</v>
      </c>
      <c r="D79" s="21">
        <v>2</v>
      </c>
      <c r="E79" s="21">
        <f t="shared" si="8"/>
        <v>0.25</v>
      </c>
      <c r="G79" s="21"/>
    </row>
    <row r="80" spans="1:7" x14ac:dyDescent="0.3">
      <c r="A80" s="51" t="s">
        <v>120</v>
      </c>
      <c r="B80" s="21">
        <v>1</v>
      </c>
      <c r="C80" s="21">
        <f t="shared" si="7"/>
        <v>0.125</v>
      </c>
      <c r="D80" s="21">
        <v>1</v>
      </c>
      <c r="E80" s="21">
        <f t="shared" si="8"/>
        <v>0.125</v>
      </c>
      <c r="G80" s="21"/>
    </row>
    <row r="81" spans="1:17" x14ac:dyDescent="0.3">
      <c r="A81" s="52" t="s">
        <v>91</v>
      </c>
      <c r="B81" s="21"/>
      <c r="C81" s="21">
        <f t="shared" si="7"/>
        <v>0</v>
      </c>
      <c r="D81" s="21"/>
      <c r="E81" s="21">
        <f t="shared" si="8"/>
        <v>0</v>
      </c>
    </row>
    <row r="82" spans="1:17" x14ac:dyDescent="0.3">
      <c r="A82" s="51" t="s">
        <v>92</v>
      </c>
      <c r="B82" s="21">
        <v>2</v>
      </c>
      <c r="C82" s="21">
        <f t="shared" si="7"/>
        <v>0.25</v>
      </c>
      <c r="D82" s="21">
        <v>2</v>
      </c>
      <c r="E82" s="21">
        <f t="shared" si="8"/>
        <v>0.25</v>
      </c>
      <c r="G82" s="21"/>
    </row>
    <row r="83" spans="1:17" s="27" customFormat="1" x14ac:dyDescent="0.3">
      <c r="A83" s="51" t="s">
        <v>93</v>
      </c>
      <c r="B83" s="21">
        <v>4</v>
      </c>
      <c r="C83" s="21">
        <f t="shared" si="7"/>
        <v>0.5</v>
      </c>
      <c r="D83" s="21">
        <v>4</v>
      </c>
      <c r="E83" s="21">
        <f t="shared" si="8"/>
        <v>0.5</v>
      </c>
      <c r="F83"/>
      <c r="G83" s="21"/>
      <c r="H83"/>
      <c r="I83"/>
      <c r="J83"/>
      <c r="K83"/>
    </row>
    <row r="84" spans="1:17" s="35" customFormat="1" x14ac:dyDescent="0.3">
      <c r="A84" s="51" t="s">
        <v>94</v>
      </c>
      <c r="B84" s="21">
        <v>6</v>
      </c>
      <c r="C84" s="21">
        <f t="shared" si="7"/>
        <v>0.75</v>
      </c>
      <c r="D84" s="21">
        <v>6</v>
      </c>
      <c r="E84" s="21">
        <f t="shared" si="8"/>
        <v>0.75</v>
      </c>
      <c r="F84"/>
      <c r="G84" s="34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1:17" s="35" customFormat="1" x14ac:dyDescent="0.3">
      <c r="A85" s="51" t="s">
        <v>122</v>
      </c>
      <c r="B85" s="21">
        <v>8</v>
      </c>
      <c r="C85" s="21">
        <f t="shared" si="7"/>
        <v>1</v>
      </c>
      <c r="D85" s="21">
        <v>8</v>
      </c>
      <c r="E85" s="21">
        <f t="shared" si="8"/>
        <v>1</v>
      </c>
      <c r="F85"/>
      <c r="G85" s="34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17" s="35" customFormat="1" x14ac:dyDescent="0.3">
      <c r="A86" s="51" t="s">
        <v>121</v>
      </c>
      <c r="B86" s="21">
        <v>12</v>
      </c>
      <c r="C86" s="21">
        <f t="shared" si="7"/>
        <v>1.5</v>
      </c>
      <c r="D86" s="21">
        <v>12</v>
      </c>
      <c r="E86" s="21">
        <f t="shared" si="8"/>
        <v>1.5</v>
      </c>
      <c r="F86"/>
      <c r="G86" s="34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1:17" s="35" customFormat="1" x14ac:dyDescent="0.3">
      <c r="A87" s="52" t="s">
        <v>95</v>
      </c>
      <c r="B87" s="21"/>
      <c r="C87" s="21">
        <f t="shared" si="7"/>
        <v>0</v>
      </c>
      <c r="D87"/>
      <c r="E87" s="21">
        <f t="shared" si="8"/>
        <v>0</v>
      </c>
      <c r="F87"/>
      <c r="G8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17" s="35" customFormat="1" x14ac:dyDescent="0.3">
      <c r="A88" s="53" t="s">
        <v>96</v>
      </c>
      <c r="B88" s="21">
        <v>32</v>
      </c>
      <c r="C88" s="21">
        <f t="shared" si="7"/>
        <v>4</v>
      </c>
      <c r="D88" s="21">
        <v>32</v>
      </c>
      <c r="E88" s="21">
        <f t="shared" si="8"/>
        <v>4</v>
      </c>
      <c r="F88"/>
      <c r="G88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1:17" s="35" customFormat="1" x14ac:dyDescent="0.3">
      <c r="A89" s="53" t="s">
        <v>97</v>
      </c>
      <c r="B89" s="21">
        <v>4</v>
      </c>
      <c r="C89" s="21">
        <f t="shared" si="7"/>
        <v>0.5</v>
      </c>
      <c r="D89" s="21">
        <v>4</v>
      </c>
      <c r="E89" s="21">
        <f t="shared" si="8"/>
        <v>0.5</v>
      </c>
      <c r="F89"/>
      <c r="G89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spans="1:17" s="35" customFormat="1" x14ac:dyDescent="0.3">
      <c r="A90" s="52" t="s">
        <v>98</v>
      </c>
      <c r="B90" s="21"/>
      <c r="C90" s="21">
        <f t="shared" si="7"/>
        <v>0</v>
      </c>
      <c r="D90"/>
      <c r="E90" s="21">
        <f t="shared" si="8"/>
        <v>0</v>
      </c>
      <c r="F90"/>
      <c r="G90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spans="1:17" s="35" customFormat="1" x14ac:dyDescent="0.3">
      <c r="A91" s="53" t="s">
        <v>99</v>
      </c>
      <c r="B91" s="21">
        <v>8</v>
      </c>
      <c r="C91" s="21">
        <f t="shared" si="7"/>
        <v>1</v>
      </c>
      <c r="D91" s="21">
        <v>8</v>
      </c>
      <c r="E91" s="21">
        <f t="shared" si="8"/>
        <v>1</v>
      </c>
      <c r="F91"/>
      <c r="G91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spans="1:17" s="35" customFormat="1" x14ac:dyDescent="0.3">
      <c r="A92" s="53" t="s">
        <v>100</v>
      </c>
      <c r="B92" s="21">
        <v>4</v>
      </c>
      <c r="C92" s="21">
        <f t="shared" si="7"/>
        <v>0.5</v>
      </c>
      <c r="D92" s="21">
        <v>4</v>
      </c>
      <c r="E92" s="21">
        <f t="shared" si="8"/>
        <v>0.5</v>
      </c>
      <c r="F92"/>
      <c r="G92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s="35" customFormat="1" x14ac:dyDescent="0.3">
      <c r="A93" s="53" t="s">
        <v>101</v>
      </c>
      <c r="B93" s="21">
        <v>2</v>
      </c>
      <c r="C93" s="21">
        <f t="shared" si="7"/>
        <v>0.25</v>
      </c>
      <c r="D93" s="21">
        <v>2</v>
      </c>
      <c r="E93" s="21">
        <f t="shared" si="8"/>
        <v>0.25</v>
      </c>
      <c r="F93"/>
      <c r="G93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s="35" customFormat="1" x14ac:dyDescent="0.3">
      <c r="A94" s="33" t="s">
        <v>106</v>
      </c>
      <c r="B94" s="21">
        <v>20</v>
      </c>
      <c r="C94" s="21">
        <f t="shared" si="7"/>
        <v>2.5</v>
      </c>
      <c r="D94" s="21">
        <v>20</v>
      </c>
      <c r="E94" s="21">
        <f t="shared" si="8"/>
        <v>2.5</v>
      </c>
      <c r="F94"/>
      <c r="G94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x14ac:dyDescent="0.3">
      <c r="A95" s="36" t="s">
        <v>102</v>
      </c>
      <c r="B95" s="24"/>
      <c r="C95" s="21">
        <f t="shared" si="7"/>
        <v>0</v>
      </c>
      <c r="D95" s="24"/>
      <c r="E95" s="24"/>
      <c r="H95" s="27"/>
      <c r="I95" s="27"/>
      <c r="J95" s="27"/>
      <c r="K95" s="27"/>
      <c r="L95" s="37"/>
      <c r="M95" s="37"/>
      <c r="N95" s="37"/>
      <c r="O95" s="37"/>
      <c r="P95" s="37"/>
      <c r="Q95" s="37"/>
    </row>
    <row r="96" spans="1:17" x14ac:dyDescent="0.3">
      <c r="A96" s="38" t="s">
        <v>103</v>
      </c>
      <c r="B96" s="39">
        <v>34</v>
      </c>
      <c r="C96" s="21">
        <f t="shared" si="7"/>
        <v>4.25</v>
      </c>
      <c r="D96" s="39">
        <v>34</v>
      </c>
      <c r="E96" s="21">
        <f t="shared" ref="E96" si="9">SUM(D96/8)</f>
        <v>4.25</v>
      </c>
      <c r="F96" s="27"/>
      <c r="G96" s="27"/>
      <c r="H96" s="37"/>
      <c r="I96" s="37"/>
      <c r="J96" s="37"/>
      <c r="K96" s="37"/>
    </row>
    <row r="97" spans="1:7" x14ac:dyDescent="0.3">
      <c r="A97" s="40"/>
      <c r="B97" s="39"/>
      <c r="C97" s="39"/>
      <c r="D97" s="39"/>
      <c r="E97" s="41"/>
      <c r="F97" s="27"/>
      <c r="G97" s="27"/>
    </row>
    <row r="98" spans="1:7" x14ac:dyDescent="0.3">
      <c r="A98" s="42" t="s">
        <v>14</v>
      </c>
      <c r="B98" s="24"/>
      <c r="C98" s="24"/>
      <c r="D98" s="24"/>
      <c r="E98" s="24"/>
      <c r="F98" s="37"/>
      <c r="G98" s="37"/>
    </row>
    <row r="99" spans="1:7" x14ac:dyDescent="0.3">
      <c r="A99" s="43"/>
      <c r="B99" s="44"/>
      <c r="C99" s="44"/>
      <c r="D99" s="44"/>
      <c r="E99" s="44"/>
    </row>
    <row r="100" spans="1:7" x14ac:dyDescent="0.3">
      <c r="A100" s="45" t="s">
        <v>104</v>
      </c>
      <c r="B100" s="21">
        <v>24</v>
      </c>
      <c r="C100" s="21">
        <f t="shared" ref="C100" si="10">B100/8</f>
        <v>3</v>
      </c>
      <c r="D100" s="21">
        <v>24</v>
      </c>
      <c r="E100" s="21">
        <f t="shared" ref="E100" si="11">D100/8</f>
        <v>3</v>
      </c>
    </row>
    <row r="101" spans="1:7" x14ac:dyDescent="0.3">
      <c r="A101" s="46"/>
      <c r="B101" s="21"/>
      <c r="C101" s="21"/>
      <c r="D101" s="21"/>
      <c r="E101" s="21"/>
    </row>
    <row r="102" spans="1:7" x14ac:dyDescent="0.3">
      <c r="A102" s="47" t="s">
        <v>105</v>
      </c>
      <c r="B102" s="48"/>
      <c r="C102" s="49">
        <f>SUM(C10:C100)</f>
        <v>65.3125</v>
      </c>
      <c r="D102" s="48"/>
      <c r="E102" s="49">
        <f>SUM(E9:E100)</f>
        <v>65.3125</v>
      </c>
    </row>
  </sheetData>
  <mergeCells count="3">
    <mergeCell ref="A1:E5"/>
    <mergeCell ref="B7:C7"/>
    <mergeCell ref="D7:E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8" sqref="G8"/>
    </sheetView>
  </sheetViews>
  <sheetFormatPr defaultRowHeight="14.4" x14ac:dyDescent="0.3"/>
  <cols>
    <col min="1" max="1" width="20.109375" customWidth="1"/>
    <col min="2" max="2" width="13.33203125" bestFit="1" customWidth="1"/>
    <col min="3" max="3" width="16.5546875" bestFit="1" customWidth="1"/>
    <col min="4" max="4" width="54.88671875" bestFit="1" customWidth="1"/>
  </cols>
  <sheetData>
    <row r="1" spans="1:10" x14ac:dyDescent="0.3">
      <c r="A1" s="87" t="s">
        <v>171</v>
      </c>
      <c r="D1" t="s">
        <v>189</v>
      </c>
      <c r="G1" t="s">
        <v>14</v>
      </c>
    </row>
    <row r="2" spans="1:10" x14ac:dyDescent="0.3">
      <c r="A2" s="87" t="s">
        <v>172</v>
      </c>
      <c r="D2" t="s">
        <v>182</v>
      </c>
      <c r="G2" t="s">
        <v>198</v>
      </c>
      <c r="H2" s="21" t="s">
        <v>200</v>
      </c>
      <c r="I2" t="s">
        <v>204</v>
      </c>
      <c r="J2" t="s">
        <v>16</v>
      </c>
    </row>
    <row r="3" spans="1:10" x14ac:dyDescent="0.3">
      <c r="A3" s="88" t="s">
        <v>173</v>
      </c>
      <c r="B3" t="s">
        <v>188</v>
      </c>
      <c r="G3" t="s">
        <v>199</v>
      </c>
      <c r="H3" s="21">
        <v>2</v>
      </c>
      <c r="I3" s="21">
        <v>6</v>
      </c>
      <c r="J3" s="21">
        <f>H3*I3</f>
        <v>12</v>
      </c>
    </row>
    <row r="4" spans="1:10" x14ac:dyDescent="0.3">
      <c r="A4" s="88" t="s">
        <v>187</v>
      </c>
      <c r="G4" t="s">
        <v>201</v>
      </c>
      <c r="H4" s="21">
        <v>1</v>
      </c>
      <c r="I4" s="21">
        <v>6</v>
      </c>
      <c r="J4" s="21">
        <f t="shared" ref="J4:J6" si="0">H4*I4</f>
        <v>6</v>
      </c>
    </row>
    <row r="5" spans="1:10" x14ac:dyDescent="0.3">
      <c r="A5" s="86" t="s">
        <v>23</v>
      </c>
      <c r="B5" t="s">
        <v>183</v>
      </c>
      <c r="G5" t="s">
        <v>202</v>
      </c>
      <c r="H5" s="21">
        <v>3</v>
      </c>
      <c r="I5" s="21">
        <v>6</v>
      </c>
      <c r="J5" s="21">
        <f t="shared" si="0"/>
        <v>18</v>
      </c>
    </row>
    <row r="6" spans="1:10" x14ac:dyDescent="0.3">
      <c r="A6" s="88" t="s">
        <v>181</v>
      </c>
      <c r="B6" t="s">
        <v>180</v>
      </c>
      <c r="G6" t="s">
        <v>203</v>
      </c>
      <c r="H6" s="21">
        <v>1</v>
      </c>
      <c r="I6" s="21">
        <v>6</v>
      </c>
      <c r="J6" s="21">
        <f t="shared" si="0"/>
        <v>6</v>
      </c>
    </row>
    <row r="7" spans="1:10" x14ac:dyDescent="0.3">
      <c r="A7" s="88" t="s">
        <v>174</v>
      </c>
      <c r="B7" t="s">
        <v>179</v>
      </c>
      <c r="I7" t="s">
        <v>205</v>
      </c>
      <c r="J7" s="21">
        <f>SUM(J3:J6)</f>
        <v>42</v>
      </c>
    </row>
    <row r="8" spans="1:10" x14ac:dyDescent="0.3">
      <c r="A8" s="88" t="s">
        <v>175</v>
      </c>
      <c r="B8" t="s">
        <v>178</v>
      </c>
    </row>
    <row r="9" spans="1:10" x14ac:dyDescent="0.3">
      <c r="A9" s="88" t="s">
        <v>176</v>
      </c>
      <c r="B9" t="s">
        <v>177</v>
      </c>
    </row>
    <row r="10" spans="1:10" x14ac:dyDescent="0.3">
      <c r="A10" s="88"/>
    </row>
    <row r="11" spans="1:10" x14ac:dyDescent="0.3">
      <c r="A11" s="88"/>
    </row>
    <row r="12" spans="1:10" x14ac:dyDescent="0.3">
      <c r="A12" s="88"/>
    </row>
    <row r="13" spans="1:10" x14ac:dyDescent="0.3">
      <c r="A13" s="91" t="s">
        <v>132</v>
      </c>
      <c r="B13" s="21">
        <v>292</v>
      </c>
      <c r="E13" s="87" t="s">
        <v>192</v>
      </c>
    </row>
    <row r="14" spans="1:10" x14ac:dyDescent="0.3">
      <c r="A14" s="87" t="s">
        <v>191</v>
      </c>
      <c r="B14" s="21">
        <f>SUM(Summary!K8,Summary!K9, Summary!K7)</f>
        <v>78.637499999999989</v>
      </c>
      <c r="C14" s="61">
        <f>B14/SUM(B14:B18)</f>
        <v>0.28016032064128255</v>
      </c>
      <c r="E14" s="87" t="s">
        <v>193</v>
      </c>
    </row>
    <row r="15" spans="1:10" x14ac:dyDescent="0.3">
      <c r="A15" s="87" t="s">
        <v>184</v>
      </c>
      <c r="B15" s="21">
        <f>SUM(Summary!K6,Summary!K5)</f>
        <v>156.75</v>
      </c>
      <c r="C15" s="61">
        <f>B15/SUM(B14:B18)</f>
        <v>0.55845023380093517</v>
      </c>
      <c r="D15" t="s">
        <v>186</v>
      </c>
      <c r="E15" s="87" t="s">
        <v>194</v>
      </c>
    </row>
    <row r="16" spans="1:10" x14ac:dyDescent="0.3">
      <c r="A16" s="87" t="s">
        <v>185</v>
      </c>
      <c r="B16" s="21">
        <f>Summary!K3</f>
        <v>6</v>
      </c>
      <c r="C16" s="61">
        <f>B16/SUM(B14:B18)</f>
        <v>2.1376085504342019E-2</v>
      </c>
    </row>
    <row r="17" spans="1:9" x14ac:dyDescent="0.3">
      <c r="A17" s="87" t="s">
        <v>127</v>
      </c>
      <c r="B17" s="21">
        <f>SUM(Summary!K4)</f>
        <v>27</v>
      </c>
      <c r="C17" s="61">
        <f>B17/SUM(B14:B18)</f>
        <v>9.6192384769539077E-2</v>
      </c>
      <c r="E17" s="87" t="s">
        <v>196</v>
      </c>
      <c r="I17" t="s">
        <v>195</v>
      </c>
    </row>
    <row r="18" spans="1:9" x14ac:dyDescent="0.3">
      <c r="A18" t="s">
        <v>190</v>
      </c>
      <c r="B18" s="21">
        <f>SUM(Summary!K11,Summary!K10)</f>
        <v>12.299999999999999</v>
      </c>
      <c r="C18" s="61">
        <f>B18/SUM(B14:B18)</f>
        <v>4.382097528390113E-2</v>
      </c>
    </row>
    <row r="19" spans="1:9" x14ac:dyDescent="0.3">
      <c r="E19" s="87" t="s">
        <v>197</v>
      </c>
      <c r="G19">
        <f>6*7</f>
        <v>42</v>
      </c>
    </row>
    <row r="20" spans="1:9" x14ac:dyDescent="0.3">
      <c r="G20">
        <v>5</v>
      </c>
    </row>
    <row r="21" spans="1:9" x14ac:dyDescent="0.3">
      <c r="G21">
        <v>42</v>
      </c>
    </row>
    <row r="22" spans="1:9" x14ac:dyDescent="0.3">
      <c r="F22" t="s">
        <v>16</v>
      </c>
      <c r="G22">
        <f>SUM(G19:G21)</f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Web Api</vt:lpstr>
      <vt:lpstr>Mobile App - Android &amp; iOS</vt:lpstr>
      <vt:lpstr>Call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Gisha G. Nath</dc:creator>
  <cp:lastModifiedBy>Prashant</cp:lastModifiedBy>
  <dcterms:created xsi:type="dcterms:W3CDTF">2018-08-02T05:50:55Z</dcterms:created>
  <dcterms:modified xsi:type="dcterms:W3CDTF">2018-08-16T12:14:56Z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ddecaba7-d85e-4a05-9e9a-4908f5e70296</vt:lpwstr>
  </property>
</Properties>
</file>