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4C99613A-0EA7-4D9C-A8E0-D8ABD8991F59}" xr6:coauthVersionLast="47" xr6:coauthVersionMax="47" xr10:uidLastSave="{00000000-0000-0000-0000-000000000000}"/>
  <bookViews>
    <workbookView xWindow="-108" yWindow="-108" windowWidth="23256" windowHeight="12456" xr2:uid="{8932B3E6-939D-4082-9B53-8984750C4F04}"/>
  </bookViews>
  <sheets>
    <sheet name="Sheet1" sheetId="1" r:id="rId1"/>
    <sheet name="Sheet3" sheetId="3" r:id="rId2"/>
    <sheet name="Sheet4" sheetId="5" r:id="rId3"/>
    <sheet name="Sheet2" sheetId="4" r:id="rId4"/>
  </sheets>
  <definedNames>
    <definedName name="_xlnm._FilterDatabase" localSheetId="3" hidden="1">Sheet2!$AJ$2:$AK$2</definedName>
    <definedName name="_xlnm._FilterDatabase" localSheetId="0" hidden="1">Sheet1!$A$1:$AJ$28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" i="1"/>
  <c r="AW28" i="1"/>
  <c r="AW10" i="1"/>
  <c r="AW7" i="1"/>
  <c r="AW4" i="1"/>
  <c r="AW17" i="1"/>
  <c r="AW16" i="1"/>
  <c r="AW20" i="1"/>
  <c r="AF28" i="1"/>
  <c r="AF20" i="1"/>
  <c r="AF17" i="1"/>
  <c r="AF16" i="1"/>
  <c r="AF10" i="1"/>
  <c r="AF7" i="1"/>
  <c r="AF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J10" i="1"/>
  <c r="J7" i="1"/>
  <c r="J4" i="1"/>
  <c r="C28" i="1"/>
  <c r="C10" i="1"/>
  <c r="C7" i="1"/>
  <c r="C4" i="1"/>
  <c r="J28" i="1"/>
  <c r="J20" i="1"/>
  <c r="J17" i="1"/>
  <c r="J16" i="1"/>
  <c r="AT10" i="1"/>
  <c r="AT7" i="1"/>
  <c r="AT4" i="1"/>
  <c r="AT28" i="1"/>
  <c r="AT20" i="1"/>
  <c r="AT17" i="1"/>
  <c r="AT16" i="1"/>
  <c r="Z3" i="1"/>
  <c r="Z5" i="1"/>
  <c r="Z6" i="1"/>
  <c r="Z8" i="1"/>
  <c r="Z9" i="1"/>
  <c r="Z11" i="1"/>
  <c r="Z12" i="1"/>
  <c r="Z13" i="1"/>
  <c r="Z14" i="1"/>
  <c r="Z15" i="1"/>
  <c r="Z18" i="1"/>
  <c r="Z19" i="1"/>
  <c r="Z21" i="1"/>
  <c r="Z22" i="1"/>
  <c r="Z23" i="1"/>
  <c r="Z24" i="1"/>
  <c r="Z25" i="1"/>
  <c r="Z26" i="1"/>
  <c r="Z27" i="1"/>
  <c r="Z2" i="1"/>
  <c r="X4" i="1"/>
  <c r="M31" i="5"/>
  <c r="L31" i="5"/>
  <c r="K31" i="5"/>
  <c r="J31" i="5"/>
  <c r="I31" i="5"/>
  <c r="H31" i="5"/>
  <c r="M30" i="5"/>
  <c r="L30" i="5"/>
  <c r="K30" i="5"/>
  <c r="J30" i="5"/>
  <c r="I30" i="5"/>
  <c r="H30" i="5"/>
  <c r="M29" i="5"/>
  <c r="L29" i="5"/>
  <c r="K29" i="5"/>
  <c r="J29" i="5"/>
  <c r="I29" i="5"/>
  <c r="H29" i="5"/>
  <c r="M28" i="5"/>
  <c r="L28" i="5"/>
  <c r="K28" i="5"/>
  <c r="J28" i="5"/>
  <c r="I28" i="5"/>
  <c r="H28" i="5"/>
  <c r="M27" i="5"/>
  <c r="L27" i="5"/>
  <c r="K27" i="5"/>
  <c r="J27" i="5"/>
  <c r="I27" i="5"/>
  <c r="H27" i="5"/>
  <c r="M26" i="5"/>
  <c r="L26" i="5"/>
  <c r="K26" i="5"/>
  <c r="J26" i="5"/>
  <c r="I26" i="5"/>
  <c r="H26" i="5"/>
  <c r="M25" i="5"/>
  <c r="L25" i="5"/>
  <c r="K25" i="5"/>
  <c r="J25" i="5"/>
  <c r="I25" i="5"/>
  <c r="H25" i="5"/>
  <c r="M24" i="5"/>
  <c r="L24" i="5"/>
  <c r="K24" i="5"/>
  <c r="J24" i="5"/>
  <c r="I24" i="5"/>
  <c r="H24" i="5"/>
  <c r="M23" i="5"/>
  <c r="L23" i="5"/>
  <c r="K23" i="5"/>
  <c r="J23" i="5"/>
  <c r="I23" i="5"/>
  <c r="H23" i="5"/>
  <c r="M22" i="5"/>
  <c r="L22" i="5"/>
  <c r="K22" i="5"/>
  <c r="J22" i="5"/>
  <c r="I22" i="5"/>
  <c r="H22" i="5"/>
  <c r="M21" i="5"/>
  <c r="L21" i="5"/>
  <c r="K21" i="5"/>
  <c r="J21" i="5"/>
  <c r="I21" i="5"/>
  <c r="H21" i="5"/>
  <c r="M20" i="5"/>
  <c r="L20" i="5"/>
  <c r="K20" i="5"/>
  <c r="J20" i="5"/>
  <c r="I20" i="5"/>
  <c r="H20" i="5"/>
  <c r="M19" i="5"/>
  <c r="L19" i="5"/>
  <c r="K19" i="5"/>
  <c r="J19" i="5"/>
  <c r="I19" i="5"/>
  <c r="H19" i="5"/>
  <c r="M18" i="5"/>
  <c r="L18" i="5"/>
  <c r="K18" i="5"/>
  <c r="J18" i="5"/>
  <c r="I18" i="5"/>
  <c r="H18" i="5"/>
  <c r="M17" i="5"/>
  <c r="L17" i="5"/>
  <c r="K17" i="5"/>
  <c r="J17" i="5"/>
  <c r="I17" i="5"/>
  <c r="H17" i="5"/>
  <c r="M16" i="5"/>
  <c r="L16" i="5"/>
  <c r="K16" i="5"/>
  <c r="J16" i="5"/>
  <c r="I16" i="5"/>
  <c r="H16" i="5"/>
  <c r="M15" i="5"/>
  <c r="L15" i="5"/>
  <c r="K15" i="5"/>
  <c r="J15" i="5"/>
  <c r="I15" i="5"/>
  <c r="H15" i="5"/>
  <c r="M14" i="5"/>
  <c r="L14" i="5"/>
  <c r="K14" i="5"/>
  <c r="J14" i="5"/>
  <c r="I14" i="5"/>
  <c r="H14" i="5"/>
  <c r="M13" i="5"/>
  <c r="L13" i="5"/>
  <c r="K13" i="5"/>
  <c r="J13" i="5"/>
  <c r="I13" i="5"/>
  <c r="H13" i="5"/>
  <c r="M12" i="5"/>
  <c r="L12" i="5"/>
  <c r="K12" i="5"/>
  <c r="J12" i="5"/>
  <c r="I12" i="5"/>
  <c r="H12" i="5"/>
  <c r="X7" i="1"/>
  <c r="X10" i="1"/>
  <c r="X17" i="1"/>
  <c r="X20" i="1"/>
  <c r="X28" i="1"/>
  <c r="X16" i="1"/>
  <c r="E16" i="1"/>
  <c r="F16" i="1"/>
  <c r="G16" i="1"/>
  <c r="H16" i="1"/>
  <c r="I16" i="1"/>
  <c r="K16" i="1"/>
  <c r="L16" i="1"/>
  <c r="M16" i="1"/>
  <c r="N16" i="1"/>
  <c r="O16" i="1"/>
  <c r="D16" i="1"/>
  <c r="Z16" i="1" s="1"/>
  <c r="E10" i="1"/>
  <c r="F10" i="1"/>
  <c r="G10" i="1"/>
  <c r="H10" i="1"/>
  <c r="I10" i="1"/>
  <c r="K10" i="1"/>
  <c r="L10" i="1"/>
  <c r="M10" i="1"/>
  <c r="N10" i="1"/>
  <c r="O10" i="1"/>
  <c r="E4" i="1"/>
  <c r="F4" i="1"/>
  <c r="G4" i="1"/>
  <c r="H4" i="1"/>
  <c r="I4" i="1"/>
  <c r="K4" i="1"/>
  <c r="L4" i="1"/>
  <c r="M4" i="1"/>
  <c r="N4" i="1"/>
  <c r="O4" i="1"/>
  <c r="D10" i="1"/>
  <c r="Z10" i="1" s="1"/>
  <c r="D4" i="1"/>
  <c r="Z4" i="1" s="1"/>
  <c r="E7" i="1"/>
  <c r="F7" i="1"/>
  <c r="G7" i="1"/>
  <c r="H7" i="1"/>
  <c r="I7" i="1"/>
  <c r="K7" i="1"/>
  <c r="L7" i="1"/>
  <c r="M7" i="1"/>
  <c r="N7" i="1"/>
  <c r="O7" i="1"/>
  <c r="D7" i="1"/>
  <c r="Z7" i="1" s="1"/>
  <c r="E28" i="1"/>
  <c r="F28" i="1"/>
  <c r="G28" i="1"/>
  <c r="H28" i="1"/>
  <c r="I28" i="1"/>
  <c r="K28" i="1"/>
  <c r="P28" i="1" s="1"/>
  <c r="L28" i="1"/>
  <c r="M28" i="1"/>
  <c r="N28" i="1"/>
  <c r="O28" i="1"/>
  <c r="D28" i="1"/>
  <c r="Z28" i="1" s="1"/>
  <c r="E20" i="1"/>
  <c r="F20" i="1"/>
  <c r="G20" i="1"/>
  <c r="H20" i="1"/>
  <c r="I20" i="1"/>
  <c r="K20" i="1"/>
  <c r="L20" i="1"/>
  <c r="M20" i="1"/>
  <c r="N20" i="1"/>
  <c r="O20" i="1"/>
  <c r="D20" i="1"/>
  <c r="Z20" i="1" s="1"/>
  <c r="E17" i="1"/>
  <c r="F17" i="1"/>
  <c r="G17" i="1"/>
  <c r="H17" i="1"/>
  <c r="I17" i="1"/>
  <c r="K17" i="1"/>
  <c r="L17" i="1"/>
  <c r="M17" i="1"/>
  <c r="N17" i="1"/>
  <c r="O17" i="1"/>
  <c r="D17" i="1"/>
  <c r="Z17" i="1" s="1"/>
</calcChain>
</file>

<file path=xl/sharedStrings.xml><?xml version="1.0" encoding="utf-8"?>
<sst xmlns="http://schemas.openxmlformats.org/spreadsheetml/2006/main" count="549" uniqueCount="161">
  <si>
    <t>Zone</t>
  </si>
  <si>
    <t>Brand</t>
  </si>
  <si>
    <t>Month Tgt (Oct)</t>
  </si>
  <si>
    <t>Month Tgt (Sep)</t>
  </si>
  <si>
    <t>Month Tgt (Aug)</t>
  </si>
  <si>
    <t>Month Tgt (July)</t>
  </si>
  <si>
    <t>Month Tgt (June)</t>
  </si>
  <si>
    <t>Month Tgt (May)</t>
  </si>
  <si>
    <t>Month Tgt (Apr)</t>
  </si>
  <si>
    <t>Monthly Achievement(Sep)</t>
  </si>
  <si>
    <t>Monthly Achievement(Aug)</t>
  </si>
  <si>
    <t>Monthly Achievement(July)</t>
  </si>
  <si>
    <t>Monthly Achievement(June)</t>
  </si>
  <si>
    <t>Monthly Achievement(May)</t>
  </si>
  <si>
    <t>Monthly Achievement(Apr)</t>
  </si>
  <si>
    <t>FY 2025 Till Sep</t>
  </si>
  <si>
    <t>Trade Sep</t>
  </si>
  <si>
    <t>Premium Sep</t>
  </si>
  <si>
    <t>Green Sep</t>
  </si>
  <si>
    <t>Yellow Sep</t>
  </si>
  <si>
    <t>Red Sep</t>
  </si>
  <si>
    <t>Unidentified Sep</t>
  </si>
  <si>
    <t>Blended Sep</t>
  </si>
  <si>
    <t>Till Yesterday Total Sales</t>
  </si>
  <si>
    <t>Commitment for Today</t>
  </si>
  <si>
    <t>Asking for Today</t>
  </si>
  <si>
    <t>Yesterday Sales</t>
  </si>
  <si>
    <t>Yesterday Commitment</t>
  </si>
  <si>
    <t>Trade Sep 2023</t>
  </si>
  <si>
    <t>Blended Sep 2023</t>
  </si>
  <si>
    <t>Premium Sep 2023</t>
  </si>
  <si>
    <t>Total Sep 2023</t>
  </si>
  <si>
    <t>Q4 2023</t>
  </si>
  <si>
    <t>Q4 2023 Trade</t>
  </si>
  <si>
    <t>Q4 2023 Blended</t>
  </si>
  <si>
    <t>Q4 2023 Premium</t>
  </si>
  <si>
    <t>EBITDA Aug 2023 Overall</t>
  </si>
  <si>
    <t>EBITDA Aug 2023 Trade</t>
  </si>
  <si>
    <t>EBITDA Aug 2023 Non-Trade</t>
  </si>
  <si>
    <t>EBITDA Aug 2023 Normal</t>
  </si>
  <si>
    <t>EBITDA Aug 2023 Premium</t>
  </si>
  <si>
    <t>EBITDA Aug 2023 OPC Trade</t>
  </si>
  <si>
    <t>EBITDA Aug 2023 OPC Non-Trade</t>
  </si>
  <si>
    <t>EBITDA Aug 2023 PPC Trade</t>
  </si>
  <si>
    <t>EBITDA Aug 2023 PPC Non-Trade</t>
  </si>
  <si>
    <t>Till Yesterday Total sales in Trade</t>
  </si>
  <si>
    <t>Till Yesterday total sales in Blended</t>
  </si>
  <si>
    <t>Till Yesterday total sales in Premium</t>
  </si>
  <si>
    <t>Total Oct 2023</t>
  </si>
  <si>
    <t>Rajasthan</t>
  </si>
  <si>
    <t>LC</t>
  </si>
  <si>
    <t>PHD</t>
  </si>
  <si>
    <t>LC+PHD</t>
  </si>
  <si>
    <t>MP-West</t>
  </si>
  <si>
    <t>Gujarat</t>
  </si>
  <si>
    <t>Mumbai</t>
  </si>
  <si>
    <t>Delhi</t>
  </si>
  <si>
    <t>Haryana</t>
  </si>
  <si>
    <t>Punjab&amp;HP</t>
  </si>
  <si>
    <t>J&amp;K</t>
  </si>
  <si>
    <t>Punjab,HP and J&amp;K</t>
  </si>
  <si>
    <t>North-I</t>
  </si>
  <si>
    <t>UP</t>
  </si>
  <si>
    <t>Uttrakhand</t>
  </si>
  <si>
    <t>U.P.+U.K.</t>
  </si>
  <si>
    <t>U.P East</t>
  </si>
  <si>
    <t>Chhattisgarh</t>
  </si>
  <si>
    <t>Odisha</t>
  </si>
  <si>
    <t>MP-East</t>
  </si>
  <si>
    <t>Maharashtra</t>
  </si>
  <si>
    <t>Jharkhand</t>
  </si>
  <si>
    <t>Bihar</t>
  </si>
  <si>
    <t>Odisha+Jharkhand+Bihar</t>
  </si>
  <si>
    <t>Region</t>
  </si>
  <si>
    <t>Collection</t>
  </si>
  <si>
    <t>District under this collection</t>
  </si>
  <si>
    <t>EBITDA Aug Trade</t>
  </si>
  <si>
    <t>EBITDA Aug Non-Trade</t>
  </si>
  <si>
    <t>EBITDA Aug Normal</t>
  </si>
  <si>
    <t>EBITDA Aug Premium</t>
  </si>
  <si>
    <t>EBITDA July 2023 Trade</t>
  </si>
  <si>
    <t>EBITDA July 2023 Non-Trade</t>
  </si>
  <si>
    <t>EBITDA July 2023 Normal</t>
  </si>
  <si>
    <t>EBITDA July 2023 Premium</t>
  </si>
  <si>
    <t>EBITDA June 2023 Trade</t>
  </si>
  <si>
    <t>EBITDA June 2023 Non-Trade</t>
  </si>
  <si>
    <t>EBITDA June 2023 Normal</t>
  </si>
  <si>
    <t>EBITDA June 2023 Premium</t>
  </si>
  <si>
    <t>EBITDA May 2023 Trade</t>
  </si>
  <si>
    <t>EBITDA May 2023 Non-Trade</t>
  </si>
  <si>
    <t>EBITDA May 2023 Normal</t>
  </si>
  <si>
    <t>EBITDA May 2023 Premium</t>
  </si>
  <si>
    <t>EBITDA April 2023 Trade</t>
  </si>
  <si>
    <t>EBITDA April 2023 Non-Trade</t>
  </si>
  <si>
    <t>EBITDA April 2023 Normal</t>
  </si>
  <si>
    <t>EBITDA April 2023 Premium</t>
  </si>
  <si>
    <t>EBITDA Aug G</t>
  </si>
  <si>
    <t>EBITDA Aug Y</t>
  </si>
  <si>
    <t>EBITDA Aug R</t>
  </si>
  <si>
    <t>EBITDA July G</t>
  </si>
  <si>
    <t>EBITDA July Y</t>
  </si>
  <si>
    <t>EBITDA July R</t>
  </si>
  <si>
    <t>JKLC</t>
  </si>
  <si>
    <t>Overall</t>
  </si>
  <si>
    <t>NGK-AGS</t>
  </si>
  <si>
    <t>SAU</t>
  </si>
  <si>
    <t>MG1-MG2</t>
  </si>
  <si>
    <t>SG1-SG2</t>
  </si>
  <si>
    <t>Zone-1</t>
  </si>
  <si>
    <t>Zone-2</t>
  </si>
  <si>
    <t>Zone-3</t>
  </si>
  <si>
    <t>Zone-4</t>
  </si>
  <si>
    <t>Month</t>
  </si>
  <si>
    <t>Type</t>
  </si>
  <si>
    <t>Region subsets</t>
  </si>
  <si>
    <t>Normal Quantity</t>
  </si>
  <si>
    <t>Premium Quantity</t>
  </si>
  <si>
    <t>Normal NSR</t>
  </si>
  <si>
    <t>Premium NSR</t>
  </si>
  <si>
    <t>Normal Contribution</t>
  </si>
  <si>
    <t>Premium Contribution</t>
  </si>
  <si>
    <t>Normal EBITDA</t>
  </si>
  <si>
    <t>Premium EBITDA</t>
  </si>
  <si>
    <t>April</t>
  </si>
  <si>
    <t>PPC</t>
  </si>
  <si>
    <t>UCWL</t>
  </si>
  <si>
    <t>May</t>
  </si>
  <si>
    <t>June</t>
  </si>
  <si>
    <t>July</t>
  </si>
  <si>
    <t>August</t>
  </si>
  <si>
    <t>Rajasthan Total</t>
  </si>
  <si>
    <t>Trade EBIDTA Rs PMT</t>
  </si>
  <si>
    <t>NT EBIDTA Rs PMT</t>
  </si>
  <si>
    <t>Madhya Pradesh Total</t>
  </si>
  <si>
    <t>Region Name</t>
  </si>
  <si>
    <t>MATERIAL</t>
  </si>
  <si>
    <t>Increase</t>
  </si>
  <si>
    <t>Gujarat Total</t>
  </si>
  <si>
    <t>Maharashtra Total</t>
  </si>
  <si>
    <t>OPC</t>
  </si>
  <si>
    <t>Delhi Total</t>
  </si>
  <si>
    <t>Madhya Pradesh (WEST)</t>
  </si>
  <si>
    <t>Haryana Total</t>
  </si>
  <si>
    <t>Jammu&amp;Kashmir Total</t>
  </si>
  <si>
    <t>Punjab,Chd &amp; H.P Total</t>
  </si>
  <si>
    <t>PREMIUM</t>
  </si>
  <si>
    <t>Uttar Pradesh Total</t>
  </si>
  <si>
    <t>Uttarakhand Total</t>
  </si>
  <si>
    <t>(A) Total North, West &amp; Central zone</t>
  </si>
  <si>
    <t>Bihar Total</t>
  </si>
  <si>
    <t>Chhattisgarh Total</t>
  </si>
  <si>
    <t>Jammu&amp;Kashmir</t>
  </si>
  <si>
    <t>Jharkhand Total</t>
  </si>
  <si>
    <t>Punjab,Chd &amp; H.P</t>
  </si>
  <si>
    <t>Uttar Pradesh</t>
  </si>
  <si>
    <t>Uttarakhand</t>
  </si>
  <si>
    <t>Odisha Total</t>
  </si>
  <si>
    <t>(B) TOTAL EAST ZONE</t>
  </si>
  <si>
    <t>© TOTAL U.P EAST</t>
  </si>
  <si>
    <t>Madhya Pradesh (East)</t>
  </si>
  <si>
    <t>Maharashtra (East)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</si>
</sst>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242424"/>
      <name val="Aptos Narrow"/>
      <charset val="1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B4C6E7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/>
    <xf numFmtId="1" fontId="0" fillId="0" borderId="1" xfId="0" applyNumberFormat="1" applyBorder="1"/>
    <xf numFmtId="0" fontId="2" fillId="0" borderId="1" xfId="0" applyFont="1" applyBorder="1" applyAlignment="1">
      <alignment vertical="center"/>
    </xf>
    <xf numFmtId="165" fontId="0" fillId="0" borderId="1" xfId="1" applyNumberFormat="1" applyFont="1" applyBorder="1"/>
    <xf numFmtId="0" fontId="0" fillId="2" borderId="1" xfId="0" applyFill="1" applyBorder="1"/>
    <xf numFmtId="0" fontId="0" fillId="0" borderId="3" xfId="0" applyBorder="1"/>
    <xf numFmtId="0" fontId="0" fillId="2" borderId="2" xfId="0" applyFill="1" applyBorder="1"/>
    <xf numFmtId="0" fontId="3" fillId="2" borderId="2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3" fillId="3" borderId="1" xfId="0" applyFont="1" applyFill="1" applyBorder="1"/>
    <xf numFmtId="0" fontId="0" fillId="3" borderId="0" xfId="0" applyFill="1"/>
    <xf numFmtId="1" fontId="0" fillId="0" borderId="0" xfId="0" applyNumberFormat="1"/>
    <xf numFmtId="14" fontId="0" fillId="0" borderId="0" xfId="0" applyNumberFormat="1"/>
    <xf numFmtId="0" fontId="0" fillId="4" borderId="1" xfId="0" applyFill="1" applyBorder="1"/>
    <xf numFmtId="1" fontId="0" fillId="4" borderId="1" xfId="0" applyNumberFormat="1" applyFill="1" applyBorder="1"/>
    <xf numFmtId="1" fontId="2" fillId="4" borderId="1" xfId="0" applyNumberFormat="1" applyFont="1" applyFill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/>
    <xf numFmtId="0" fontId="0" fillId="5" borderId="1" xfId="0" applyFill="1" applyBorder="1"/>
    <xf numFmtId="0" fontId="6" fillId="6" borderId="5" xfId="0" applyFont="1" applyFill="1" applyBorder="1"/>
    <xf numFmtId="0" fontId="7" fillId="0" borderId="6" xfId="0" applyFont="1" applyBorder="1"/>
    <xf numFmtId="0" fontId="8" fillId="0" borderId="6" xfId="0" applyFont="1" applyBorder="1"/>
    <xf numFmtId="0" fontId="8" fillId="0" borderId="7" xfId="0" applyFont="1" applyBorder="1"/>
    <xf numFmtId="0" fontId="7" fillId="0" borderId="8" xfId="0" applyFont="1" applyBorder="1"/>
    <xf numFmtId="0" fontId="7" fillId="0" borderId="7" xfId="0" applyFont="1" applyBorder="1"/>
    <xf numFmtId="0" fontId="8" fillId="7" borderId="5" xfId="0" applyFont="1" applyFill="1" applyBorder="1"/>
    <xf numFmtId="0" fontId="6" fillId="6" borderId="9" xfId="0" applyFont="1" applyFill="1" applyBorder="1"/>
    <xf numFmtId="0" fontId="6" fillId="6" borderId="10" xfId="0" applyFont="1" applyFill="1" applyBorder="1"/>
    <xf numFmtId="0" fontId="7" fillId="0" borderId="11" xfId="0" applyFont="1" applyBorder="1"/>
    <xf numFmtId="0" fontId="7" fillId="0" borderId="0" xfId="0" applyFont="1"/>
    <xf numFmtId="0" fontId="8" fillId="0" borderId="0" xfId="0" applyFont="1"/>
    <xf numFmtId="0" fontId="8" fillId="0" borderId="12" xfId="0" applyFont="1" applyBorder="1"/>
    <xf numFmtId="0" fontId="8" fillId="0" borderId="13" xfId="0" applyFont="1" applyBorder="1"/>
    <xf numFmtId="0" fontId="7" fillId="0" borderId="14" xfId="0" applyFont="1" applyBorder="1"/>
    <xf numFmtId="0" fontId="7" fillId="0" borderId="12" xfId="0" applyFont="1" applyBorder="1"/>
    <xf numFmtId="0" fontId="7" fillId="0" borderId="13" xfId="0" applyFont="1" applyBorder="1"/>
    <xf numFmtId="0" fontId="8" fillId="0" borderId="11" xfId="0" applyFont="1" applyBorder="1"/>
    <xf numFmtId="0" fontId="8" fillId="7" borderId="10" xfId="0" applyFont="1" applyFill="1" applyBorder="1"/>
    <xf numFmtId="0" fontId="6" fillId="6" borderId="15" xfId="0" applyFont="1" applyFill="1" applyBorder="1"/>
    <xf numFmtId="0" fontId="7" fillId="0" borderId="16" xfId="0" applyFont="1" applyBorder="1"/>
    <xf numFmtId="0" fontId="8" fillId="0" borderId="8" xfId="0" applyFont="1" applyBorder="1"/>
    <xf numFmtId="3" fontId="9" fillId="0" borderId="16" xfId="0" applyNumberFormat="1" applyFont="1" applyBorder="1"/>
    <xf numFmtId="3" fontId="9" fillId="0" borderId="8" xfId="0" applyNumberFormat="1" applyFont="1" applyBorder="1"/>
    <xf numFmtId="0" fontId="9" fillId="0" borderId="11" xfId="0" applyFont="1" applyBorder="1"/>
    <xf numFmtId="3" fontId="9" fillId="0" borderId="11" xfId="0" applyNumberFormat="1" applyFont="1" applyBorder="1"/>
    <xf numFmtId="3" fontId="7" fillId="0" borderId="0" xfId="0" applyNumberFormat="1" applyFont="1"/>
    <xf numFmtId="0" fontId="9" fillId="0" borderId="6" xfId="0" applyFont="1" applyBorder="1"/>
    <xf numFmtId="3" fontId="9" fillId="0" borderId="6" xfId="0" applyNumberFormat="1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0" borderId="17" xfId="0" applyFont="1" applyBorder="1"/>
    <xf numFmtId="0" fontId="8" fillId="0" borderId="19" xfId="0" applyFont="1" applyBorder="1"/>
    <xf numFmtId="0" fontId="8" fillId="0" borderId="18" xfId="0" applyFont="1" applyBorder="1"/>
    <xf numFmtId="0" fontId="8" fillId="0" borderId="9" xfId="0" applyFont="1" applyBorder="1"/>
    <xf numFmtId="0" fontId="8" fillId="0" borderId="15" xfId="0" applyFont="1" applyBorder="1"/>
    <xf numFmtId="0" fontId="8" fillId="8" borderId="20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7" fontId="0" fillId="5" borderId="1" xfId="0" applyNumberFormat="1" applyFill="1" applyBorder="1"/>
    <xf numFmtId="0" fontId="0" fillId="5" borderId="1" xfId="0" applyFill="1" applyBorder="1" applyAlignment="1">
      <alignment wrapText="1"/>
    </xf>
    <xf numFmtId="0" fontId="0" fillId="5" borderId="2" xfId="0" applyFill="1" applyBorder="1"/>
    <xf numFmtId="0" fontId="3" fillId="5" borderId="2" xfId="0" applyFont="1" applyFill="1" applyBorder="1"/>
    <xf numFmtId="0" fontId="3" fillId="5" borderId="1" xfId="0" applyFont="1" applyFill="1" applyBorder="1"/>
    <xf numFmtId="0" fontId="7" fillId="0" borderId="11" xfId="0" applyFont="1" applyBorder="1" applyAlignment="1"/>
    <xf numFmtId="0" fontId="7" fillId="0" borderId="0" xfId="0" applyFont="1" applyAlignment="1"/>
    <xf numFmtId="0" fontId="10" fillId="0" borderId="17" xfId="0" applyFont="1" applyBorder="1" applyAlignment="1"/>
    <xf numFmtId="0" fontId="10" fillId="0" borderId="19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23B8-9BEB-40C7-B1E0-11F46D370AF4}">
  <dimension ref="A1:AX62"/>
  <sheetViews>
    <sheetView tabSelected="1" workbookViewId="0">
      <pane xSplit="1" topLeftCell="B18" activePane="topRight" state="frozen"/>
      <selection pane="topRight" activeCell="F29" sqref="F29"/>
    </sheetView>
  </sheetViews>
  <sheetFormatPr defaultColWidth="9.140625" defaultRowHeight="15"/>
  <cols>
    <col min="1" max="1" width="18.85546875" style="1" bestFit="1" customWidth="1"/>
    <col min="2" max="2" width="7.5703125" style="1" bestFit="1" customWidth="1"/>
    <col min="3" max="3" width="10.5703125" style="1" customWidth="1"/>
    <col min="4" max="9" width="11.42578125" style="1" bestFit="1" customWidth="1"/>
    <col min="10" max="10" width="13.85546875" style="1" customWidth="1"/>
    <col min="11" max="11" width="18.5703125" style="1" customWidth="1"/>
    <col min="12" max="13" width="17.140625" style="1" customWidth="1"/>
    <col min="14" max="14" width="19.140625" style="1" customWidth="1"/>
    <col min="15" max="15" width="17.140625" style="1" customWidth="1"/>
    <col min="16" max="16" width="15" style="1" hidden="1" customWidth="1"/>
    <col min="17" max="17" width="12.28515625" style="1" hidden="1" customWidth="1"/>
    <col min="18" max="18" width="15.28515625" style="1" hidden="1" customWidth="1"/>
    <col min="19" max="19" width="12.7109375" style="1" hidden="1" customWidth="1"/>
    <col min="20" max="20" width="13" style="1" hidden="1" customWidth="1"/>
    <col min="21" max="21" width="10.7109375" style="1" hidden="1" customWidth="1"/>
    <col min="22" max="22" width="18.28515625" style="1" hidden="1" customWidth="1"/>
    <col min="23" max="23" width="14.42578125" style="1" hidden="1" customWidth="1"/>
    <col min="24" max="24" width="25.28515625" style="20" hidden="1" customWidth="1"/>
    <col min="25" max="25" width="24.140625" style="20" hidden="1" customWidth="1"/>
    <col min="26" max="26" width="18" style="20" hidden="1" customWidth="1"/>
    <col min="27" max="27" width="17" style="20" hidden="1" customWidth="1"/>
    <col min="28" max="28" width="24.42578125" style="20" hidden="1" customWidth="1"/>
    <col min="29" max="29" width="17.28515625" style="1" hidden="1" customWidth="1"/>
    <col min="30" max="30" width="19.42578125" style="1" hidden="1" customWidth="1"/>
    <col min="31" max="31" width="20.42578125" style="1" hidden="1" customWidth="1"/>
    <col min="32" max="32" width="16.7109375" style="1" customWidth="1"/>
    <col min="33" max="33" width="10.7109375" style="1" hidden="1" customWidth="1"/>
    <col min="34" max="34" width="16.42578125" style="1" hidden="1" customWidth="1"/>
    <col min="35" max="35" width="18.5703125" style="1" hidden="1" customWidth="1"/>
    <col min="36" max="36" width="19.42578125" style="1" hidden="1" customWidth="1"/>
    <col min="37" max="37" width="23.28515625" style="1" hidden="1" customWidth="1"/>
    <col min="38" max="38" width="22.140625" style="1" hidden="1" customWidth="1"/>
    <col min="39" max="39" width="26.5703125" style="1" hidden="1" customWidth="1"/>
    <col min="40" max="40" width="22.85546875" style="1" hidden="1" customWidth="1"/>
    <col min="41" max="41" width="24.28515625" style="1" hidden="1" customWidth="1"/>
    <col min="42" max="42" width="26.42578125" style="1" hidden="1" customWidth="1"/>
    <col min="43" max="43" width="30.85546875" style="1" hidden="1" customWidth="1"/>
    <col min="44" max="44" width="26.140625" style="1" hidden="1" customWidth="1"/>
    <col min="45" max="45" width="30.5703125" style="1" hidden="1" customWidth="1"/>
    <col min="46" max="46" width="28.42578125" style="1" hidden="1" customWidth="1"/>
    <col min="47" max="47" width="30.5703125" style="1" hidden="1" customWidth="1"/>
    <col min="48" max="48" width="36" style="1" hidden="1" customWidth="1"/>
    <col min="49" max="49" width="27.7109375" style="1" customWidth="1"/>
    <col min="50" max="50" width="30.7109375" style="1" customWidth="1"/>
    <col min="51" max="51" width="26.85546875" style="1" customWidth="1"/>
    <col min="52" max="52" width="22.7109375" style="1" customWidth="1"/>
    <col min="53" max="53" width="27.7109375" style="1" customWidth="1"/>
    <col min="54" max="54" width="30.7109375" style="1" customWidth="1"/>
    <col min="55" max="55" width="26.85546875" style="1" customWidth="1"/>
    <col min="56" max="56" width="18.42578125" style="1" customWidth="1"/>
    <col min="57" max="16384" width="9.140625" style="1"/>
  </cols>
  <sheetData>
    <row r="1" spans="1:50" s="28" customFormat="1" ht="23.25" customHeight="1">
      <c r="A1" s="67" t="s">
        <v>0</v>
      </c>
      <c r="B1" s="67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69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0" t="s">
        <v>36</v>
      </c>
      <c r="AL1" s="28" t="s">
        <v>37</v>
      </c>
      <c r="AM1" s="71" t="s">
        <v>38</v>
      </c>
      <c r="AN1" s="72" t="s">
        <v>39</v>
      </c>
      <c r="AO1" s="73" t="s">
        <v>40</v>
      </c>
      <c r="AP1" s="28" t="s">
        <v>41</v>
      </c>
      <c r="AQ1" s="71" t="s">
        <v>42</v>
      </c>
      <c r="AR1" s="28" t="s">
        <v>43</v>
      </c>
      <c r="AS1" s="71" t="s">
        <v>44</v>
      </c>
      <c r="AT1" s="28" t="s">
        <v>45</v>
      </c>
      <c r="AU1" s="28" t="s">
        <v>46</v>
      </c>
      <c r="AV1" s="28" t="s">
        <v>47</v>
      </c>
      <c r="AW1" s="28" t="s">
        <v>48</v>
      </c>
    </row>
    <row r="2" spans="1:50">
      <c r="A2" s="2" t="s">
        <v>49</v>
      </c>
      <c r="B2" s="3" t="s">
        <v>50</v>
      </c>
      <c r="C2" s="4">
        <v>186525</v>
      </c>
      <c r="D2" s="4">
        <v>198340</v>
      </c>
      <c r="E2" s="4">
        <v>172130</v>
      </c>
      <c r="F2" s="4">
        <v>198730</v>
      </c>
      <c r="G2" s="4">
        <v>208445</v>
      </c>
      <c r="H2" s="4">
        <v>205880</v>
      </c>
      <c r="I2" s="4">
        <v>210981.16075356986</v>
      </c>
      <c r="J2" s="4">
        <v>138371</v>
      </c>
      <c r="K2" s="4">
        <v>122862</v>
      </c>
      <c r="L2" s="4">
        <v>149994</v>
      </c>
      <c r="M2" s="3">
        <v>158856</v>
      </c>
      <c r="N2" s="3">
        <v>168726</v>
      </c>
      <c r="O2" s="3">
        <v>139499</v>
      </c>
      <c r="P2" s="4">
        <f>J2+K2+L2+M2+N2+O2</f>
        <v>878308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5">
        <v>7</v>
      </c>
      <c r="X2" s="20">
        <v>97560</v>
      </c>
      <c r="Y2" s="20">
        <v>1</v>
      </c>
      <c r="Z2" s="21">
        <f>(D2-X2)/6</f>
        <v>16796.666666666668</v>
      </c>
      <c r="AA2" s="20">
        <v>1</v>
      </c>
      <c r="AB2" s="20">
        <v>1</v>
      </c>
      <c r="AC2" s="1">
        <v>1</v>
      </c>
      <c r="AD2" s="1">
        <v>1</v>
      </c>
      <c r="AE2" s="1">
        <v>1</v>
      </c>
      <c r="AF2" s="1">
        <v>140869</v>
      </c>
      <c r="AG2" s="1">
        <v>1</v>
      </c>
      <c r="AH2" s="1">
        <v>1</v>
      </c>
      <c r="AI2" s="1">
        <v>1</v>
      </c>
      <c r="AJ2" s="1">
        <v>1</v>
      </c>
      <c r="AK2" s="1">
        <v>291</v>
      </c>
      <c r="AL2" s="1">
        <v>439</v>
      </c>
      <c r="AM2" s="1">
        <v>96</v>
      </c>
      <c r="AN2" s="1">
        <v>498</v>
      </c>
      <c r="AO2" s="1">
        <v>458</v>
      </c>
      <c r="AP2" s="1">
        <v>88</v>
      </c>
      <c r="AQ2" s="1">
        <v>87</v>
      </c>
      <c r="AR2" s="1">
        <v>498</v>
      </c>
      <c r="AS2" s="1">
        <v>56</v>
      </c>
      <c r="AT2" s="1">
        <v>57924</v>
      </c>
      <c r="AU2" s="1">
        <v>1</v>
      </c>
      <c r="AV2" s="1">
        <v>1</v>
      </c>
      <c r="AW2" s="1">
        <v>160553</v>
      </c>
      <c r="AX2" s="5">
        <f>AF2-J2</f>
        <v>2498</v>
      </c>
    </row>
    <row r="3" spans="1:50">
      <c r="A3" s="2" t="s">
        <v>49</v>
      </c>
      <c r="B3" s="3" t="s">
        <v>51</v>
      </c>
      <c r="C3" s="4">
        <v>74975</v>
      </c>
      <c r="D3" s="4">
        <v>87975</v>
      </c>
      <c r="E3" s="4">
        <v>71870</v>
      </c>
      <c r="F3" s="4">
        <v>81270</v>
      </c>
      <c r="G3" s="4">
        <v>86260</v>
      </c>
      <c r="H3" s="4">
        <v>92230</v>
      </c>
      <c r="I3" s="4">
        <v>89018.839246430143</v>
      </c>
      <c r="J3" s="4">
        <v>50771</v>
      </c>
      <c r="K3" s="4">
        <v>42539</v>
      </c>
      <c r="L3" s="4">
        <v>56414</v>
      </c>
      <c r="M3" s="3">
        <v>70443</v>
      </c>
      <c r="N3" s="3">
        <v>65104</v>
      </c>
      <c r="O3" s="3">
        <v>63060</v>
      </c>
      <c r="P3" s="4">
        <f t="shared" ref="P3:P28" si="0">J3+K3+L3+M3+N3+O3</f>
        <v>348331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20">
        <v>35655</v>
      </c>
      <c r="Y3" s="20">
        <v>1</v>
      </c>
      <c r="Z3" s="21">
        <f t="shared" ref="Z3:Z28" si="1">(D3-X3)/6</f>
        <v>8720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1">
        <v>43063</v>
      </c>
      <c r="AG3" s="20">
        <v>1</v>
      </c>
      <c r="AH3" s="20">
        <v>1</v>
      </c>
      <c r="AI3" s="20">
        <v>1</v>
      </c>
      <c r="AJ3" s="20">
        <v>1</v>
      </c>
      <c r="AK3" s="1">
        <v>265</v>
      </c>
      <c r="AL3" s="1">
        <v>365</v>
      </c>
      <c r="AM3" s="1">
        <v>129</v>
      </c>
      <c r="AN3" s="1">
        <v>389</v>
      </c>
      <c r="AO3" s="1">
        <v>458</v>
      </c>
      <c r="AP3" s="1">
        <v>118</v>
      </c>
      <c r="AQ3" s="1">
        <v>52</v>
      </c>
      <c r="AR3" s="1">
        <v>389</v>
      </c>
      <c r="AS3" s="1">
        <v>201</v>
      </c>
      <c r="AT3" s="1">
        <v>19774</v>
      </c>
      <c r="AU3" s="20">
        <v>1</v>
      </c>
      <c r="AV3" s="20">
        <v>1</v>
      </c>
      <c r="AW3" s="1">
        <v>61277</v>
      </c>
      <c r="AX3" s="5">
        <f t="shared" ref="AX3:AX28" si="2">AF3-J3</f>
        <v>-7708</v>
      </c>
    </row>
    <row r="4" spans="1:50">
      <c r="A4" s="2" t="s">
        <v>49</v>
      </c>
      <c r="B4" s="3" t="s">
        <v>52</v>
      </c>
      <c r="C4" s="4">
        <f>C2+C3</f>
        <v>261500</v>
      </c>
      <c r="D4" s="4">
        <f>D2+D3</f>
        <v>286315</v>
      </c>
      <c r="E4" s="4">
        <f>E2+E3</f>
        <v>244000</v>
      </c>
      <c r="F4" s="4">
        <f>F2+F3</f>
        <v>280000</v>
      </c>
      <c r="G4" s="4">
        <f>G2+G3</f>
        <v>294705</v>
      </c>
      <c r="H4" s="4">
        <f>H2+H3</f>
        <v>298110</v>
      </c>
      <c r="I4" s="4">
        <f>I2+I3</f>
        <v>300000</v>
      </c>
      <c r="J4" s="4">
        <f>J2+J3</f>
        <v>189142</v>
      </c>
      <c r="K4" s="4">
        <f>K2+K3</f>
        <v>165401</v>
      </c>
      <c r="L4" s="4">
        <f>L2+L3</f>
        <v>206408</v>
      </c>
      <c r="M4" s="4">
        <f>M2+M3</f>
        <v>229299</v>
      </c>
      <c r="N4" s="4">
        <f>N2+N3</f>
        <v>233830</v>
      </c>
      <c r="O4" s="4">
        <f>O2+O3</f>
        <v>202559</v>
      </c>
      <c r="P4" s="4">
        <f t="shared" si="0"/>
        <v>1226639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22">
        <f>X2+X3</f>
        <v>133215</v>
      </c>
      <c r="Y4" s="20">
        <v>1</v>
      </c>
      <c r="Z4" s="21">
        <f t="shared" si="1"/>
        <v>25516.666666666668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1">
        <f>AF2+AF3</f>
        <v>183932</v>
      </c>
      <c r="AG4" s="20">
        <v>1</v>
      </c>
      <c r="AH4" s="20">
        <v>1</v>
      </c>
      <c r="AI4" s="20">
        <v>1</v>
      </c>
      <c r="AJ4" s="20">
        <v>1</v>
      </c>
      <c r="AK4" s="1">
        <v>284</v>
      </c>
      <c r="AL4" s="1">
        <v>420</v>
      </c>
      <c r="AM4" s="1">
        <v>104</v>
      </c>
      <c r="AN4" s="1">
        <v>461</v>
      </c>
      <c r="AO4" s="1">
        <v>458</v>
      </c>
      <c r="AP4" s="1">
        <v>98</v>
      </c>
      <c r="AQ4" s="1">
        <v>78</v>
      </c>
      <c r="AR4" s="1">
        <v>461</v>
      </c>
      <c r="AS4" s="1">
        <v>95</v>
      </c>
      <c r="AT4" s="1">
        <f>AT2+AT3</f>
        <v>77698</v>
      </c>
      <c r="AU4" s="20">
        <v>1</v>
      </c>
      <c r="AV4" s="20">
        <v>1</v>
      </c>
      <c r="AW4" s="1">
        <f>AW2+AW3</f>
        <v>221830</v>
      </c>
      <c r="AX4" s="5">
        <f t="shared" si="2"/>
        <v>-5210</v>
      </c>
    </row>
    <row r="5" spans="1:50">
      <c r="A5" s="2" t="s">
        <v>53</v>
      </c>
      <c r="B5" s="3" t="s">
        <v>50</v>
      </c>
      <c r="C5" s="4">
        <v>22000</v>
      </c>
      <c r="D5" s="4">
        <v>37124.5</v>
      </c>
      <c r="E5" s="4">
        <v>32250</v>
      </c>
      <c r="F5" s="4">
        <v>30025</v>
      </c>
      <c r="G5" s="4">
        <v>39000</v>
      </c>
      <c r="H5" s="4">
        <v>38110</v>
      </c>
      <c r="I5" s="4">
        <v>36900</v>
      </c>
      <c r="J5" s="4">
        <v>16492</v>
      </c>
      <c r="K5" s="4">
        <v>15789</v>
      </c>
      <c r="L5" s="4">
        <v>20514</v>
      </c>
      <c r="M5" s="3">
        <v>21389</v>
      </c>
      <c r="N5" s="3">
        <v>18277</v>
      </c>
      <c r="O5" s="3">
        <v>18134</v>
      </c>
      <c r="P5" s="4">
        <f t="shared" si="0"/>
        <v>110595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20">
        <v>11289</v>
      </c>
      <c r="Y5" s="20">
        <v>1</v>
      </c>
      <c r="Z5" s="21">
        <f t="shared" si="1"/>
        <v>4305.916666666667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1">
        <v>18138</v>
      </c>
      <c r="AG5" s="20">
        <v>1</v>
      </c>
      <c r="AH5" s="20">
        <v>1</v>
      </c>
      <c r="AI5" s="20">
        <v>1</v>
      </c>
      <c r="AJ5" s="20">
        <v>1</v>
      </c>
      <c r="AK5" s="1">
        <v>333</v>
      </c>
      <c r="AL5" s="1">
        <v>330</v>
      </c>
      <c r="AM5" s="1">
        <v>338</v>
      </c>
      <c r="AN5" s="1">
        <v>324</v>
      </c>
      <c r="AO5" s="1">
        <v>341</v>
      </c>
      <c r="AP5" s="1">
        <v>0</v>
      </c>
      <c r="AQ5" s="1">
        <v>420</v>
      </c>
      <c r="AR5" s="1">
        <v>324</v>
      </c>
      <c r="AS5" s="1">
        <v>316</v>
      </c>
      <c r="AT5" s="1">
        <v>6671</v>
      </c>
      <c r="AU5" s="20">
        <v>1</v>
      </c>
      <c r="AV5" s="20">
        <v>1</v>
      </c>
      <c r="AW5" s="1">
        <v>23676</v>
      </c>
      <c r="AX5" s="5">
        <f t="shared" si="2"/>
        <v>1646</v>
      </c>
    </row>
    <row r="6" spans="1:50">
      <c r="A6" s="2" t="s">
        <v>53</v>
      </c>
      <c r="B6" s="3" t="s">
        <v>51</v>
      </c>
      <c r="C6" s="4">
        <v>13000</v>
      </c>
      <c r="D6" s="4">
        <v>12150</v>
      </c>
      <c r="E6" s="4">
        <v>10515</v>
      </c>
      <c r="F6" s="4">
        <v>9975</v>
      </c>
      <c r="G6" s="4">
        <v>12550</v>
      </c>
      <c r="H6" s="4">
        <v>12280</v>
      </c>
      <c r="I6" s="4">
        <v>9100</v>
      </c>
      <c r="J6" s="4">
        <v>4082</v>
      </c>
      <c r="K6" s="4">
        <v>5719</v>
      </c>
      <c r="L6" s="4">
        <v>6038</v>
      </c>
      <c r="M6" s="3">
        <v>6576</v>
      </c>
      <c r="N6" s="3">
        <v>8423</v>
      </c>
      <c r="O6" s="3">
        <v>5281</v>
      </c>
      <c r="P6" s="4">
        <f t="shared" si="0"/>
        <v>36119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20">
        <v>2678</v>
      </c>
      <c r="Y6" s="20">
        <v>1</v>
      </c>
      <c r="Z6" s="21">
        <f t="shared" si="1"/>
        <v>1578.6666666666667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1">
        <v>4523</v>
      </c>
      <c r="AG6" s="20">
        <v>1</v>
      </c>
      <c r="AH6" s="20">
        <v>1</v>
      </c>
      <c r="AI6" s="20">
        <v>1</v>
      </c>
      <c r="AJ6" s="20">
        <v>1</v>
      </c>
      <c r="AK6" s="1">
        <v>383</v>
      </c>
      <c r="AL6" s="1">
        <v>463</v>
      </c>
      <c r="AM6" s="1">
        <v>303</v>
      </c>
      <c r="AN6" s="1">
        <v>432</v>
      </c>
      <c r="AO6" s="1">
        <v>737</v>
      </c>
      <c r="AP6" s="1">
        <v>0</v>
      </c>
      <c r="AQ6" s="1">
        <v>327</v>
      </c>
      <c r="AR6" s="1">
        <v>432</v>
      </c>
      <c r="AS6" s="1">
        <v>289</v>
      </c>
      <c r="AT6" s="1">
        <v>1584</v>
      </c>
      <c r="AU6" s="20">
        <v>1</v>
      </c>
      <c r="AV6" s="20">
        <v>1</v>
      </c>
      <c r="AW6" s="1">
        <v>4750</v>
      </c>
      <c r="AX6" s="5">
        <f t="shared" si="2"/>
        <v>441</v>
      </c>
    </row>
    <row r="7" spans="1:50">
      <c r="A7" s="2" t="s">
        <v>53</v>
      </c>
      <c r="B7" s="3" t="s">
        <v>52</v>
      </c>
      <c r="C7" s="4">
        <f>C5+C6</f>
        <v>35000</v>
      </c>
      <c r="D7" s="4">
        <f>D5+D6</f>
        <v>49274.5</v>
      </c>
      <c r="E7" s="4">
        <f>E5+E6</f>
        <v>42765</v>
      </c>
      <c r="F7" s="4">
        <f>F5+F6</f>
        <v>40000</v>
      </c>
      <c r="G7" s="4">
        <f>G5+G6</f>
        <v>51550</v>
      </c>
      <c r="H7" s="4">
        <f>H5+H6</f>
        <v>50390</v>
      </c>
      <c r="I7" s="4">
        <f>I5+I6</f>
        <v>46000</v>
      </c>
      <c r="J7" s="4">
        <f>J5+J6</f>
        <v>20574</v>
      </c>
      <c r="K7" s="4">
        <f>K5+K6</f>
        <v>21508</v>
      </c>
      <c r="L7" s="4">
        <f>L5+L6</f>
        <v>26552</v>
      </c>
      <c r="M7" s="4">
        <f>M5+M6</f>
        <v>27965</v>
      </c>
      <c r="N7" s="4">
        <f>N5+N6</f>
        <v>26700</v>
      </c>
      <c r="O7" s="4">
        <f>O5+O6</f>
        <v>23415</v>
      </c>
      <c r="P7" s="4">
        <f t="shared" si="0"/>
        <v>146714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22">
        <f>X5+X6</f>
        <v>13967</v>
      </c>
      <c r="Y7" s="20">
        <v>1</v>
      </c>
      <c r="Z7" s="21">
        <f t="shared" si="1"/>
        <v>5884.583333333333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1">
        <f>AF5+AF6</f>
        <v>22661</v>
      </c>
      <c r="AG7" s="20">
        <v>1</v>
      </c>
      <c r="AH7" s="20">
        <v>1</v>
      </c>
      <c r="AI7" s="20">
        <v>1</v>
      </c>
      <c r="AJ7" s="20">
        <v>1</v>
      </c>
      <c r="AK7" s="1">
        <v>346</v>
      </c>
      <c r="AL7" s="1">
        <v>359</v>
      </c>
      <c r="AM7" s="1">
        <v>326</v>
      </c>
      <c r="AN7" s="1">
        <v>354</v>
      </c>
      <c r="AO7" s="1">
        <v>373</v>
      </c>
      <c r="AP7" s="1">
        <v>0</v>
      </c>
      <c r="AQ7" s="1">
        <v>376</v>
      </c>
      <c r="AR7" s="1">
        <v>354</v>
      </c>
      <c r="AS7" s="1">
        <v>308</v>
      </c>
      <c r="AT7" s="1">
        <f>AT5+AT6</f>
        <v>8255</v>
      </c>
      <c r="AU7" s="20">
        <v>1</v>
      </c>
      <c r="AV7" s="20">
        <v>1</v>
      </c>
      <c r="AW7" s="1">
        <f>AW5+AW6</f>
        <v>28426</v>
      </c>
      <c r="AX7" s="5">
        <f t="shared" si="2"/>
        <v>2087</v>
      </c>
    </row>
    <row r="8" spans="1:50">
      <c r="A8" s="2" t="s">
        <v>54</v>
      </c>
      <c r="B8" s="3" t="s">
        <v>50</v>
      </c>
      <c r="C8" s="4">
        <v>277829</v>
      </c>
      <c r="D8" s="4">
        <v>272879</v>
      </c>
      <c r="E8" s="4">
        <v>243487</v>
      </c>
      <c r="F8" s="4">
        <v>283206</v>
      </c>
      <c r="G8" s="4">
        <v>283206</v>
      </c>
      <c r="H8" s="4">
        <v>277910</v>
      </c>
      <c r="I8" s="4">
        <v>282650</v>
      </c>
      <c r="J8" s="4">
        <v>229251</v>
      </c>
      <c r="K8" s="4">
        <v>215936</v>
      </c>
      <c r="L8" s="4">
        <v>219361</v>
      </c>
      <c r="M8" s="3">
        <v>270417</v>
      </c>
      <c r="N8" s="3">
        <v>265677</v>
      </c>
      <c r="O8" s="3">
        <v>205462</v>
      </c>
      <c r="P8" s="4">
        <f t="shared" si="0"/>
        <v>1406104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20">
        <v>146359</v>
      </c>
      <c r="Y8" s="20">
        <v>1</v>
      </c>
      <c r="Z8" s="21">
        <f t="shared" si="1"/>
        <v>21086.666666666668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1">
        <v>213177</v>
      </c>
      <c r="AG8" s="20">
        <v>1</v>
      </c>
      <c r="AH8" s="20">
        <v>1</v>
      </c>
      <c r="AI8" s="20">
        <v>1</v>
      </c>
      <c r="AJ8" s="20">
        <v>1</v>
      </c>
      <c r="AK8" s="1">
        <v>176</v>
      </c>
      <c r="AL8" s="1">
        <v>551</v>
      </c>
      <c r="AM8" s="1">
        <v>38</v>
      </c>
      <c r="AN8" s="1">
        <v>594</v>
      </c>
      <c r="AO8" s="1">
        <v>711</v>
      </c>
      <c r="AP8" s="1">
        <v>228</v>
      </c>
      <c r="AQ8" s="1">
        <v>-8</v>
      </c>
      <c r="AR8" s="1">
        <v>594</v>
      </c>
      <c r="AS8" s="1">
        <v>111</v>
      </c>
      <c r="AT8" s="1">
        <v>54382</v>
      </c>
      <c r="AU8" s="20">
        <v>1</v>
      </c>
      <c r="AV8" s="20">
        <v>1</v>
      </c>
      <c r="AW8" s="1">
        <v>277507</v>
      </c>
      <c r="AX8" s="5">
        <f t="shared" si="2"/>
        <v>-16074</v>
      </c>
    </row>
    <row r="9" spans="1:50">
      <c r="A9" s="2" t="s">
        <v>54</v>
      </c>
      <c r="B9" s="3" t="s">
        <v>51</v>
      </c>
      <c r="C9" s="4">
        <v>52171</v>
      </c>
      <c r="D9" s="4">
        <v>57529.605600574418</v>
      </c>
      <c r="E9" s="4">
        <v>42929</v>
      </c>
      <c r="F9" s="4">
        <v>62655</v>
      </c>
      <c r="G9" s="4">
        <v>62655</v>
      </c>
      <c r="H9" s="4">
        <v>60029</v>
      </c>
      <c r="I9" s="4">
        <v>48900</v>
      </c>
      <c r="J9" s="4">
        <v>46307</v>
      </c>
      <c r="K9" s="4">
        <v>42634</v>
      </c>
      <c r="L9" s="4">
        <v>42504</v>
      </c>
      <c r="M9" s="3">
        <v>46015</v>
      </c>
      <c r="N9" s="3">
        <v>43651</v>
      </c>
      <c r="O9" s="3">
        <v>29628</v>
      </c>
      <c r="P9" s="4">
        <f t="shared" si="0"/>
        <v>250739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20">
        <v>30064</v>
      </c>
      <c r="Y9" s="20">
        <v>1</v>
      </c>
      <c r="Z9" s="21">
        <f t="shared" si="1"/>
        <v>4577.6009334290693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1">
        <v>29328</v>
      </c>
      <c r="AG9" s="20">
        <v>1</v>
      </c>
      <c r="AH9" s="20">
        <v>1</v>
      </c>
      <c r="AI9" s="20">
        <v>1</v>
      </c>
      <c r="AJ9" s="20">
        <v>1</v>
      </c>
      <c r="AK9" s="1">
        <v>179</v>
      </c>
      <c r="AL9" s="1">
        <v>575</v>
      </c>
      <c r="AM9" s="1">
        <v>99</v>
      </c>
      <c r="AN9" s="1">
        <v>636</v>
      </c>
      <c r="AO9" s="1">
        <v>787</v>
      </c>
      <c r="AP9" s="1">
        <v>351</v>
      </c>
      <c r="AQ9" s="1">
        <v>63</v>
      </c>
      <c r="AR9" s="1">
        <v>636</v>
      </c>
      <c r="AS9" s="1">
        <v>270</v>
      </c>
      <c r="AT9" s="1">
        <v>7548</v>
      </c>
      <c r="AU9" s="20">
        <v>1</v>
      </c>
      <c r="AV9" s="20">
        <v>1</v>
      </c>
      <c r="AW9" s="1">
        <v>41324</v>
      </c>
      <c r="AX9" s="5">
        <f t="shared" si="2"/>
        <v>-16979</v>
      </c>
    </row>
    <row r="10" spans="1:50">
      <c r="A10" s="2" t="s">
        <v>54</v>
      </c>
      <c r="B10" s="3" t="s">
        <v>52</v>
      </c>
      <c r="C10" s="4">
        <f>C8+C9</f>
        <v>330000</v>
      </c>
      <c r="D10" s="4">
        <f>D8+D9</f>
        <v>330408.6056005744</v>
      </c>
      <c r="E10" s="4">
        <f>E8+E9</f>
        <v>286416</v>
      </c>
      <c r="F10" s="4">
        <f>F8+F9</f>
        <v>345861</v>
      </c>
      <c r="G10" s="4">
        <f>G8+G9</f>
        <v>345861</v>
      </c>
      <c r="H10" s="4">
        <f>H8+H9</f>
        <v>337939</v>
      </c>
      <c r="I10" s="4">
        <f>I8+I9</f>
        <v>331550</v>
      </c>
      <c r="J10" s="4">
        <f>J8+J9</f>
        <v>275558</v>
      </c>
      <c r="K10" s="4">
        <f>K8+K9</f>
        <v>258570</v>
      </c>
      <c r="L10" s="4">
        <f>L8+L9</f>
        <v>261865</v>
      </c>
      <c r="M10" s="4">
        <f>M8+M9</f>
        <v>316432</v>
      </c>
      <c r="N10" s="4">
        <f>N8+N9</f>
        <v>309328</v>
      </c>
      <c r="O10" s="4">
        <f>O8+O9</f>
        <v>235090</v>
      </c>
      <c r="P10" s="4">
        <f t="shared" si="0"/>
        <v>1656843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22">
        <f>X8+X9</f>
        <v>176423</v>
      </c>
      <c r="Y10" s="20">
        <v>1</v>
      </c>
      <c r="Z10" s="21">
        <f t="shared" si="1"/>
        <v>25664.267600095733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1">
        <f>AF8+AF9</f>
        <v>242505</v>
      </c>
      <c r="AG10" s="20">
        <v>1</v>
      </c>
      <c r="AH10" s="20">
        <v>1</v>
      </c>
      <c r="AI10" s="20">
        <v>1</v>
      </c>
      <c r="AJ10" s="20">
        <v>1</v>
      </c>
      <c r="AK10" s="1">
        <v>176</v>
      </c>
      <c r="AL10" s="1">
        <v>553</v>
      </c>
      <c r="AM10" s="1">
        <v>50</v>
      </c>
      <c r="AN10" s="1">
        <v>598</v>
      </c>
      <c r="AO10" s="1">
        <v>718</v>
      </c>
      <c r="AP10" s="1">
        <v>248</v>
      </c>
      <c r="AQ10" s="1">
        <v>6</v>
      </c>
      <c r="AR10" s="1">
        <v>598</v>
      </c>
      <c r="AS10" s="1">
        <v>136</v>
      </c>
      <c r="AT10" s="1">
        <f>AT8+AT9</f>
        <v>61930</v>
      </c>
      <c r="AU10" s="20">
        <v>1</v>
      </c>
      <c r="AV10" s="20">
        <v>1</v>
      </c>
      <c r="AW10" s="1">
        <f>AW8+AW9</f>
        <v>318831</v>
      </c>
      <c r="AX10" s="5">
        <f t="shared" si="2"/>
        <v>-33053</v>
      </c>
    </row>
    <row r="11" spans="1:50">
      <c r="A11" s="2" t="s">
        <v>55</v>
      </c>
      <c r="B11" s="3" t="s">
        <v>50</v>
      </c>
      <c r="C11" s="4">
        <v>54720</v>
      </c>
      <c r="D11" s="4">
        <v>59112</v>
      </c>
      <c r="E11" s="4">
        <v>51120</v>
      </c>
      <c r="F11" s="4">
        <v>61920</v>
      </c>
      <c r="G11" s="4">
        <v>61920</v>
      </c>
      <c r="H11" s="4">
        <v>60480</v>
      </c>
      <c r="I11" s="4">
        <v>59328</v>
      </c>
      <c r="J11" s="4">
        <v>43912</v>
      </c>
      <c r="K11" s="4">
        <v>39512</v>
      </c>
      <c r="L11" s="4">
        <v>29432</v>
      </c>
      <c r="M11" s="3">
        <v>39526</v>
      </c>
      <c r="N11" s="3">
        <v>50338</v>
      </c>
      <c r="O11" s="3">
        <v>51182</v>
      </c>
      <c r="P11" s="4">
        <f t="shared" si="0"/>
        <v>253902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20">
        <v>34017</v>
      </c>
      <c r="Y11" s="20">
        <v>1</v>
      </c>
      <c r="Z11" s="21">
        <f t="shared" si="1"/>
        <v>4182.5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1">
        <v>37338</v>
      </c>
      <c r="AG11" s="20">
        <v>1</v>
      </c>
      <c r="AH11" s="20">
        <v>1</v>
      </c>
      <c r="AI11" s="20">
        <v>1</v>
      </c>
      <c r="AJ11" s="20">
        <v>1</v>
      </c>
      <c r="AK11" s="1">
        <v>-345</v>
      </c>
      <c r="AL11" s="1">
        <v>-35</v>
      </c>
      <c r="AM11" s="1">
        <v>-348</v>
      </c>
      <c r="AN11" s="1">
        <v>-171</v>
      </c>
      <c r="AO11" s="1">
        <v>-170</v>
      </c>
      <c r="AP11" s="1">
        <v>0</v>
      </c>
      <c r="AQ11" s="1">
        <v>-358</v>
      </c>
      <c r="AR11" s="1">
        <v>-171</v>
      </c>
      <c r="AS11" s="1">
        <v>-322</v>
      </c>
      <c r="AT11" s="1">
        <v>406</v>
      </c>
      <c r="AU11" s="20">
        <v>1</v>
      </c>
      <c r="AV11" s="20">
        <v>1</v>
      </c>
      <c r="AW11" s="1">
        <v>38818</v>
      </c>
      <c r="AX11" s="5">
        <f t="shared" si="2"/>
        <v>-6574</v>
      </c>
    </row>
    <row r="12" spans="1:50">
      <c r="A12" s="2" t="s">
        <v>56</v>
      </c>
      <c r="B12" s="6" t="s">
        <v>50</v>
      </c>
      <c r="C12" s="4">
        <v>12000</v>
      </c>
      <c r="D12" s="4">
        <v>12000</v>
      </c>
      <c r="E12" s="4">
        <v>11500</v>
      </c>
      <c r="F12" s="4">
        <v>11200</v>
      </c>
      <c r="G12" s="4">
        <v>12400</v>
      </c>
      <c r="H12" s="4">
        <v>12000</v>
      </c>
      <c r="I12" s="4">
        <v>12000</v>
      </c>
      <c r="J12" s="4">
        <v>10659</v>
      </c>
      <c r="K12" s="4">
        <v>10074</v>
      </c>
      <c r="L12" s="4">
        <v>8218</v>
      </c>
      <c r="M12" s="3">
        <v>8424</v>
      </c>
      <c r="N12" s="3">
        <v>8384</v>
      </c>
      <c r="O12" s="3">
        <v>7568</v>
      </c>
      <c r="P12" s="4">
        <f t="shared" si="0"/>
        <v>53327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20">
        <v>7873</v>
      </c>
      <c r="Y12" s="20">
        <v>1</v>
      </c>
      <c r="Z12" s="21">
        <f t="shared" si="1"/>
        <v>687.83333333333337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1">
        <v>9704</v>
      </c>
      <c r="AG12" s="20">
        <v>1</v>
      </c>
      <c r="AH12" s="20">
        <v>1</v>
      </c>
      <c r="AI12" s="20">
        <v>1</v>
      </c>
      <c r="AJ12" s="20">
        <v>1</v>
      </c>
      <c r="AK12" s="1">
        <v>-27</v>
      </c>
      <c r="AL12" s="1">
        <v>-20</v>
      </c>
      <c r="AM12" s="1">
        <v>-203</v>
      </c>
      <c r="AN12" s="1">
        <v>-63</v>
      </c>
      <c r="AO12" s="1">
        <v>23</v>
      </c>
      <c r="AP12" s="1">
        <v>123</v>
      </c>
      <c r="AQ12" s="1">
        <v>-1285</v>
      </c>
      <c r="AR12" s="1">
        <v>-63</v>
      </c>
      <c r="AS12" s="1">
        <v>-201</v>
      </c>
      <c r="AT12" s="1">
        <v>7471</v>
      </c>
      <c r="AU12" s="20">
        <v>1</v>
      </c>
      <c r="AV12" s="20">
        <v>1</v>
      </c>
      <c r="AW12" s="1">
        <v>10749</v>
      </c>
      <c r="AX12" s="5">
        <f t="shared" si="2"/>
        <v>-955</v>
      </c>
    </row>
    <row r="13" spans="1:50">
      <c r="A13" s="2" t="s">
        <v>57</v>
      </c>
      <c r="B13" s="6" t="s">
        <v>50</v>
      </c>
      <c r="C13" s="4">
        <v>47400</v>
      </c>
      <c r="D13" s="4">
        <v>51200</v>
      </c>
      <c r="E13" s="4">
        <v>42600</v>
      </c>
      <c r="F13" s="4">
        <v>50100</v>
      </c>
      <c r="G13" s="4">
        <v>53400</v>
      </c>
      <c r="H13" s="4">
        <v>52500</v>
      </c>
      <c r="I13" s="4">
        <v>51500</v>
      </c>
      <c r="J13" s="4">
        <v>35120</v>
      </c>
      <c r="K13" s="4">
        <v>32255</v>
      </c>
      <c r="L13" s="4">
        <v>34754</v>
      </c>
      <c r="M13" s="3">
        <v>42421</v>
      </c>
      <c r="N13" s="3">
        <v>36787</v>
      </c>
      <c r="O13" s="3">
        <v>32496</v>
      </c>
      <c r="P13" s="4">
        <f t="shared" si="0"/>
        <v>213833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20">
        <v>25149</v>
      </c>
      <c r="Y13" s="20">
        <v>1</v>
      </c>
      <c r="Z13" s="21">
        <f t="shared" si="1"/>
        <v>4341.833333333333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1">
        <v>39617</v>
      </c>
      <c r="AG13" s="20">
        <v>1</v>
      </c>
      <c r="AH13" s="20">
        <v>1</v>
      </c>
      <c r="AI13" s="20">
        <v>1</v>
      </c>
      <c r="AJ13" s="20">
        <v>1</v>
      </c>
      <c r="AK13" s="1">
        <v>128</v>
      </c>
      <c r="AL13" s="1">
        <v>177</v>
      </c>
      <c r="AM13" s="1">
        <v>-165</v>
      </c>
      <c r="AN13" s="1">
        <v>94</v>
      </c>
      <c r="AO13" s="1">
        <v>344</v>
      </c>
      <c r="AP13" s="1">
        <v>127</v>
      </c>
      <c r="AQ13" s="1">
        <v>255</v>
      </c>
      <c r="AR13" s="1">
        <v>94</v>
      </c>
      <c r="AS13" s="1">
        <v>-211</v>
      </c>
      <c r="AT13" s="1">
        <v>19955</v>
      </c>
      <c r="AU13" s="20">
        <v>1</v>
      </c>
      <c r="AV13" s="20">
        <v>1</v>
      </c>
      <c r="AW13" s="1">
        <v>39669</v>
      </c>
      <c r="AX13" s="5">
        <f t="shared" si="2"/>
        <v>4497</v>
      </c>
    </row>
    <row r="14" spans="1:50">
      <c r="A14" s="2" t="s">
        <v>58</v>
      </c>
      <c r="B14" s="6" t="s">
        <v>50</v>
      </c>
      <c r="C14" s="4">
        <v>21300</v>
      </c>
      <c r="D14" s="4">
        <v>19100</v>
      </c>
      <c r="E14" s="4">
        <v>24500</v>
      </c>
      <c r="F14" s="4">
        <v>26500</v>
      </c>
      <c r="G14" s="4">
        <v>28200</v>
      </c>
      <c r="H14" s="4">
        <v>27500</v>
      </c>
      <c r="I14" s="4">
        <v>27000</v>
      </c>
      <c r="J14" s="4">
        <v>16544</v>
      </c>
      <c r="K14" s="4">
        <v>14319</v>
      </c>
      <c r="L14" s="4">
        <v>13209</v>
      </c>
      <c r="M14" s="3">
        <v>15938</v>
      </c>
      <c r="N14" s="3">
        <v>15544</v>
      </c>
      <c r="O14" s="3">
        <v>14615</v>
      </c>
      <c r="P14" s="4">
        <f t="shared" si="0"/>
        <v>90169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20">
        <v>12305</v>
      </c>
      <c r="Y14" s="20">
        <v>1</v>
      </c>
      <c r="Z14" s="21">
        <f t="shared" si="1"/>
        <v>1132.5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1">
        <v>18336</v>
      </c>
      <c r="AG14" s="20">
        <v>1</v>
      </c>
      <c r="AH14" s="20">
        <v>1</v>
      </c>
      <c r="AI14" s="20">
        <v>1</v>
      </c>
      <c r="AJ14" s="20">
        <v>1</v>
      </c>
      <c r="AK14" s="1">
        <v>-44</v>
      </c>
      <c r="AL14" s="1">
        <v>-38</v>
      </c>
      <c r="AM14" s="1">
        <v>-162</v>
      </c>
      <c r="AN14" s="1">
        <v>-142</v>
      </c>
      <c r="AO14" s="1">
        <v>123</v>
      </c>
      <c r="AP14" s="1">
        <v>3</v>
      </c>
      <c r="AQ14" s="1">
        <v>-16</v>
      </c>
      <c r="AR14" s="1">
        <v>-142</v>
      </c>
      <c r="AS14" s="1">
        <v>-171</v>
      </c>
      <c r="AT14" s="1">
        <v>11722</v>
      </c>
      <c r="AU14" s="20">
        <v>1</v>
      </c>
      <c r="AV14" s="20">
        <v>1</v>
      </c>
      <c r="AW14" s="1">
        <v>20219</v>
      </c>
      <c r="AX14" s="5">
        <f t="shared" si="2"/>
        <v>1792</v>
      </c>
    </row>
    <row r="15" spans="1:50">
      <c r="A15" s="2" t="s">
        <v>59</v>
      </c>
      <c r="B15" s="6" t="s">
        <v>50</v>
      </c>
      <c r="C15" s="4">
        <v>1400</v>
      </c>
      <c r="D15" s="4">
        <v>1400</v>
      </c>
      <c r="E15" s="4">
        <v>1900</v>
      </c>
      <c r="F15" s="4">
        <v>2150</v>
      </c>
      <c r="G15" s="4">
        <v>3600</v>
      </c>
      <c r="H15" s="4">
        <v>3200</v>
      </c>
      <c r="I15" s="4">
        <v>3500</v>
      </c>
      <c r="J15" s="4">
        <v>504</v>
      </c>
      <c r="K15" s="4">
        <v>710</v>
      </c>
      <c r="L15" s="4">
        <v>731</v>
      </c>
      <c r="M15" s="3">
        <v>1256</v>
      </c>
      <c r="N15" s="3">
        <v>1261</v>
      </c>
      <c r="O15" s="3">
        <v>1501</v>
      </c>
      <c r="P15" s="4">
        <f t="shared" si="0"/>
        <v>5963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20">
        <v>416</v>
      </c>
      <c r="Y15" s="20">
        <v>1</v>
      </c>
      <c r="Z15" s="21">
        <f t="shared" si="1"/>
        <v>164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1">
        <v>2217</v>
      </c>
      <c r="AG15" s="20">
        <v>1</v>
      </c>
      <c r="AH15" s="20">
        <v>1</v>
      </c>
      <c r="AI15" s="20">
        <v>1</v>
      </c>
      <c r="AJ15" s="20">
        <v>1</v>
      </c>
      <c r="AK15" s="1">
        <v>61</v>
      </c>
      <c r="AL15" s="1">
        <v>140</v>
      </c>
      <c r="AM15" s="1">
        <v>-228</v>
      </c>
      <c r="AN15" s="1">
        <v>77</v>
      </c>
      <c r="AO15" s="1">
        <v>285</v>
      </c>
      <c r="AP15" s="1">
        <v>0</v>
      </c>
      <c r="AQ15" s="1">
        <v>0</v>
      </c>
      <c r="AR15" s="1">
        <v>77</v>
      </c>
      <c r="AS15" s="1">
        <v>-228</v>
      </c>
      <c r="AT15" s="1">
        <v>416</v>
      </c>
      <c r="AU15" s="20">
        <v>1</v>
      </c>
      <c r="AV15" s="20">
        <v>1</v>
      </c>
      <c r="AW15" s="1">
        <v>2085</v>
      </c>
      <c r="AX15" s="5">
        <f t="shared" si="2"/>
        <v>1713</v>
      </c>
    </row>
    <row r="16" spans="1:50">
      <c r="A16" s="2" t="s">
        <v>60</v>
      </c>
      <c r="B16" s="6" t="s">
        <v>50</v>
      </c>
      <c r="C16" s="4">
        <v>22700</v>
      </c>
      <c r="D16" s="4">
        <f>D14+D15</f>
        <v>20500</v>
      </c>
      <c r="E16" s="4">
        <f>E14+E15</f>
        <v>26400</v>
      </c>
      <c r="F16" s="4">
        <f>F14+F15</f>
        <v>28650</v>
      </c>
      <c r="G16" s="4">
        <f>G14+G15</f>
        <v>31800</v>
      </c>
      <c r="H16" s="4">
        <f>H14+H15</f>
        <v>30700</v>
      </c>
      <c r="I16" s="4">
        <f>I14+I15</f>
        <v>30500</v>
      </c>
      <c r="J16" s="4">
        <f>J14+J15</f>
        <v>17048</v>
      </c>
      <c r="K16" s="4">
        <f>K14+K15</f>
        <v>15029</v>
      </c>
      <c r="L16" s="4">
        <f>L14+L15</f>
        <v>13940</v>
      </c>
      <c r="M16" s="4">
        <f>M14+M15</f>
        <v>17194</v>
      </c>
      <c r="N16" s="4">
        <f>N14+N15</f>
        <v>16805</v>
      </c>
      <c r="O16" s="4">
        <f>O14+O15</f>
        <v>16116</v>
      </c>
      <c r="P16" s="4">
        <f t="shared" si="0"/>
        <v>96132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22">
        <f>X14+X15</f>
        <v>12721</v>
      </c>
      <c r="Y16" s="20">
        <v>1</v>
      </c>
      <c r="Z16" s="21">
        <f t="shared" si="1"/>
        <v>1296.5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1">
        <f>AF14+AF15</f>
        <v>20553</v>
      </c>
      <c r="AG16" s="20">
        <v>1</v>
      </c>
      <c r="AH16" s="20">
        <v>1</v>
      </c>
      <c r="AI16" s="20">
        <v>1</v>
      </c>
      <c r="AJ16" s="20">
        <v>1</v>
      </c>
      <c r="AK16" s="4"/>
      <c r="AT16" s="1">
        <f>AT14+AT15</f>
        <v>12138</v>
      </c>
      <c r="AU16" s="20">
        <v>1</v>
      </c>
      <c r="AV16" s="20">
        <v>1</v>
      </c>
      <c r="AW16" s="1">
        <f>AW14+AW15</f>
        <v>22304</v>
      </c>
      <c r="AX16" s="5">
        <f t="shared" si="2"/>
        <v>3505</v>
      </c>
    </row>
    <row r="17" spans="1:50">
      <c r="A17" s="2" t="s">
        <v>61</v>
      </c>
      <c r="B17" s="6" t="s">
        <v>50</v>
      </c>
      <c r="C17" s="4">
        <v>82100</v>
      </c>
      <c r="D17" s="4">
        <f>D13+D12+D14+D15</f>
        <v>83700</v>
      </c>
      <c r="E17" s="4">
        <f>E13+E12+E14+E15</f>
        <v>80500</v>
      </c>
      <c r="F17" s="4">
        <f>F13+F12+F14+F15</f>
        <v>89950</v>
      </c>
      <c r="G17" s="4">
        <f>G13+G12+G14+G15</f>
        <v>97600</v>
      </c>
      <c r="H17" s="4">
        <f>H13+H12+H14+H15</f>
        <v>95200</v>
      </c>
      <c r="I17" s="4">
        <f>I13+I12+I14+I15</f>
        <v>94000</v>
      </c>
      <c r="J17" s="4">
        <f>J12+J13+J14+J15</f>
        <v>62827</v>
      </c>
      <c r="K17" s="4">
        <f>K13+K12+K14+K15</f>
        <v>57358</v>
      </c>
      <c r="L17" s="4">
        <f>L13+L12+L14+L15</f>
        <v>56912</v>
      </c>
      <c r="M17" s="4">
        <f>M13+M12+M14+M15</f>
        <v>68039</v>
      </c>
      <c r="N17" s="4">
        <f>N13+N12+N14+N15</f>
        <v>61976</v>
      </c>
      <c r="O17" s="4">
        <f>O13+O12+O14+O15</f>
        <v>56180</v>
      </c>
      <c r="P17" s="4">
        <f t="shared" si="0"/>
        <v>363292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22">
        <f>X13+X12+X14+X15</f>
        <v>45743</v>
      </c>
      <c r="Y17" s="20">
        <v>1</v>
      </c>
      <c r="Z17" s="21">
        <f t="shared" si="1"/>
        <v>6326.166666666667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1">
        <f>AF12+AF13+AF14+AF15</f>
        <v>69874</v>
      </c>
      <c r="AG17" s="20">
        <v>1</v>
      </c>
      <c r="AH17" s="20">
        <v>1</v>
      </c>
      <c r="AI17" s="20">
        <v>1</v>
      </c>
      <c r="AJ17" s="20">
        <v>1</v>
      </c>
      <c r="AT17" s="1">
        <f>AT12+AT13+AT14+AT15</f>
        <v>39564</v>
      </c>
      <c r="AU17" s="20">
        <v>1</v>
      </c>
      <c r="AV17" s="20">
        <v>1</v>
      </c>
      <c r="AW17" s="1">
        <f>AW12+AW13+AW14+AW15</f>
        <v>72722</v>
      </c>
      <c r="AX17" s="5">
        <f t="shared" si="2"/>
        <v>7047</v>
      </c>
    </row>
    <row r="18" spans="1:50">
      <c r="A18" s="2" t="s">
        <v>62</v>
      </c>
      <c r="B18" s="6" t="s">
        <v>50</v>
      </c>
      <c r="C18" s="4">
        <v>34000</v>
      </c>
      <c r="D18" s="4">
        <v>39440</v>
      </c>
      <c r="E18" s="4">
        <v>36100</v>
      </c>
      <c r="F18" s="4">
        <v>36200</v>
      </c>
      <c r="G18" s="4">
        <v>39200</v>
      </c>
      <c r="H18" s="4">
        <v>41930</v>
      </c>
      <c r="I18" s="4">
        <v>40000</v>
      </c>
      <c r="J18" s="4">
        <v>24261</v>
      </c>
      <c r="K18" s="4">
        <v>26684</v>
      </c>
      <c r="L18" s="4">
        <v>23673</v>
      </c>
      <c r="M18" s="3">
        <v>24128</v>
      </c>
      <c r="N18" s="3">
        <v>23176</v>
      </c>
      <c r="O18" s="3">
        <v>17871</v>
      </c>
      <c r="P18" s="4">
        <f t="shared" si="0"/>
        <v>139793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20">
        <v>14582</v>
      </c>
      <c r="Y18" s="20">
        <v>1</v>
      </c>
      <c r="Z18" s="21">
        <f t="shared" si="1"/>
        <v>4143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1">
        <v>25583</v>
      </c>
      <c r="AG18" s="20">
        <v>1</v>
      </c>
      <c r="AH18" s="20">
        <v>1</v>
      </c>
      <c r="AI18" s="20">
        <v>1</v>
      </c>
      <c r="AJ18" s="20">
        <v>1</v>
      </c>
      <c r="AK18" s="1">
        <v>49</v>
      </c>
      <c r="AL18" s="1">
        <v>112</v>
      </c>
      <c r="AM18" s="1">
        <v>-214</v>
      </c>
      <c r="AN18" s="1">
        <v>36</v>
      </c>
      <c r="AO18" s="1">
        <v>196</v>
      </c>
      <c r="AP18" s="1">
        <v>76</v>
      </c>
      <c r="AQ18" s="1">
        <v>-2</v>
      </c>
      <c r="AR18" s="1">
        <v>36</v>
      </c>
      <c r="AS18" s="1">
        <v>-243</v>
      </c>
      <c r="AT18" s="1">
        <v>12064</v>
      </c>
      <c r="AU18" s="20">
        <v>1</v>
      </c>
      <c r="AV18" s="20">
        <v>1</v>
      </c>
      <c r="AW18" s="1">
        <v>24554</v>
      </c>
      <c r="AX18" s="5">
        <f t="shared" si="2"/>
        <v>1322</v>
      </c>
    </row>
    <row r="19" spans="1:50">
      <c r="A19" s="2" t="s">
        <v>63</v>
      </c>
      <c r="B19" s="6" t="s">
        <v>50</v>
      </c>
      <c r="C19" s="4">
        <v>4000</v>
      </c>
      <c r="D19" s="4">
        <v>4926</v>
      </c>
      <c r="E19" s="4">
        <v>4355</v>
      </c>
      <c r="F19" s="4">
        <v>4500</v>
      </c>
      <c r="G19" s="4">
        <v>7000</v>
      </c>
      <c r="H19" s="4">
        <v>4058</v>
      </c>
      <c r="I19" s="4">
        <v>5000</v>
      </c>
      <c r="J19" s="4">
        <v>5397</v>
      </c>
      <c r="K19" s="4">
        <v>5811</v>
      </c>
      <c r="L19" s="4">
        <v>4955</v>
      </c>
      <c r="M19" s="3">
        <v>6123</v>
      </c>
      <c r="N19" s="3">
        <v>3797</v>
      </c>
      <c r="O19" s="3">
        <v>3425</v>
      </c>
      <c r="P19" s="4">
        <f t="shared" si="0"/>
        <v>29508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20">
        <v>3601</v>
      </c>
      <c r="Y19" s="20">
        <v>1</v>
      </c>
      <c r="Z19" s="21">
        <f t="shared" si="1"/>
        <v>220.83333333333334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1">
        <v>2197</v>
      </c>
      <c r="AG19" s="20">
        <v>1</v>
      </c>
      <c r="AH19" s="20">
        <v>1</v>
      </c>
      <c r="AI19" s="20">
        <v>1</v>
      </c>
      <c r="AJ19" s="20">
        <v>1</v>
      </c>
      <c r="AK19" s="1">
        <v>-69</v>
      </c>
      <c r="AL19" s="1">
        <v>-72</v>
      </c>
      <c r="AM19" s="1">
        <v>-63</v>
      </c>
      <c r="AN19" s="1">
        <v>-105</v>
      </c>
      <c r="AO19" s="1">
        <v>2</v>
      </c>
      <c r="AP19" s="1">
        <v>0</v>
      </c>
      <c r="AQ19" s="1">
        <v>33</v>
      </c>
      <c r="AR19" s="1">
        <v>-105</v>
      </c>
      <c r="AS19" s="1">
        <v>-72</v>
      </c>
      <c r="AT19" s="1">
        <v>2329</v>
      </c>
      <c r="AU19" s="20">
        <v>1</v>
      </c>
      <c r="AV19" s="20">
        <v>1</v>
      </c>
      <c r="AW19" s="1">
        <v>4574</v>
      </c>
      <c r="AX19" s="5">
        <f t="shared" si="2"/>
        <v>-3200</v>
      </c>
    </row>
    <row r="20" spans="1:50">
      <c r="A20" s="2" t="s">
        <v>64</v>
      </c>
      <c r="B20" s="6" t="s">
        <v>50</v>
      </c>
      <c r="C20" s="4">
        <v>38000</v>
      </c>
      <c r="D20" s="4">
        <f>D18+D19</f>
        <v>44366</v>
      </c>
      <c r="E20" s="4">
        <f t="shared" ref="E20:Z20" si="3">E18+E19</f>
        <v>40455</v>
      </c>
      <c r="F20" s="4">
        <f t="shared" si="3"/>
        <v>40700</v>
      </c>
      <c r="G20" s="4">
        <f t="shared" si="3"/>
        <v>46200</v>
      </c>
      <c r="H20" s="4">
        <f t="shared" si="3"/>
        <v>45988</v>
      </c>
      <c r="I20" s="4">
        <f t="shared" si="3"/>
        <v>45000</v>
      </c>
      <c r="J20" s="4">
        <f>J18+J19</f>
        <v>29658</v>
      </c>
      <c r="K20" s="4">
        <f t="shared" si="3"/>
        <v>32495</v>
      </c>
      <c r="L20" s="4">
        <f t="shared" si="3"/>
        <v>28628</v>
      </c>
      <c r="M20" s="4">
        <f t="shared" si="3"/>
        <v>30251</v>
      </c>
      <c r="N20" s="4">
        <f t="shared" si="3"/>
        <v>26973</v>
      </c>
      <c r="O20" s="4">
        <f t="shared" si="3"/>
        <v>21296</v>
      </c>
      <c r="P20" s="4">
        <f t="shared" si="0"/>
        <v>169301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22">
        <f t="shared" si="3"/>
        <v>18183</v>
      </c>
      <c r="Y20" s="20">
        <v>1</v>
      </c>
      <c r="Z20" s="21">
        <f t="shared" si="1"/>
        <v>4363.833333333333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1">
        <f>AF18+AF19</f>
        <v>27780</v>
      </c>
      <c r="AG20" s="20">
        <v>1</v>
      </c>
      <c r="AH20" s="20">
        <v>1</v>
      </c>
      <c r="AI20" s="20">
        <v>1</v>
      </c>
      <c r="AJ20" s="20">
        <v>1</v>
      </c>
      <c r="AT20" s="1">
        <f>AT18+AT19</f>
        <v>14393</v>
      </c>
      <c r="AU20" s="20">
        <v>1</v>
      </c>
      <c r="AV20" s="20">
        <v>1</v>
      </c>
      <c r="AW20" s="1">
        <f>AW18+AW19</f>
        <v>29128</v>
      </c>
      <c r="AX20" s="5">
        <f t="shared" si="2"/>
        <v>-1878</v>
      </c>
    </row>
    <row r="21" spans="1:50">
      <c r="A21" s="2" t="s">
        <v>65</v>
      </c>
      <c r="B21" s="6" t="s">
        <v>50</v>
      </c>
      <c r="C21" s="4">
        <v>30000</v>
      </c>
      <c r="D21" s="4">
        <v>30000</v>
      </c>
      <c r="E21" s="4">
        <v>35000</v>
      </c>
      <c r="F21" s="4">
        <v>35000</v>
      </c>
      <c r="G21" s="4">
        <v>45000</v>
      </c>
      <c r="H21" s="4">
        <v>44300</v>
      </c>
      <c r="I21" s="4">
        <v>45000</v>
      </c>
      <c r="J21" s="4">
        <v>20363</v>
      </c>
      <c r="K21" s="4">
        <v>20161</v>
      </c>
      <c r="L21" s="4">
        <v>20538</v>
      </c>
      <c r="M21" s="3">
        <v>28412</v>
      </c>
      <c r="N21" s="3">
        <v>31513</v>
      </c>
      <c r="O21" s="3">
        <v>31416</v>
      </c>
      <c r="P21" s="4">
        <f t="shared" si="0"/>
        <v>152403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20">
        <v>13343</v>
      </c>
      <c r="Y21" s="20">
        <v>1</v>
      </c>
      <c r="Z21" s="21">
        <f t="shared" si="1"/>
        <v>2776.1666666666665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1">
        <v>36946</v>
      </c>
      <c r="AG21" s="20">
        <v>1</v>
      </c>
      <c r="AH21" s="20">
        <v>1</v>
      </c>
      <c r="AI21" s="20">
        <v>1</v>
      </c>
      <c r="AJ21" s="20">
        <v>1</v>
      </c>
      <c r="AK21" s="1">
        <v>-1399</v>
      </c>
      <c r="AL21" s="1">
        <v>-1393</v>
      </c>
      <c r="AM21" s="1">
        <v>-1718</v>
      </c>
      <c r="AN21" s="1">
        <v>-1565</v>
      </c>
      <c r="AO21" s="1">
        <v>-1331</v>
      </c>
      <c r="AP21" s="1">
        <v>0</v>
      </c>
      <c r="AQ21" s="1">
        <v>0</v>
      </c>
      <c r="AR21" s="1">
        <v>-1565</v>
      </c>
      <c r="AS21" s="1">
        <v>-1748</v>
      </c>
      <c r="AT21" s="1">
        <v>12606</v>
      </c>
      <c r="AU21" s="20">
        <v>1</v>
      </c>
      <c r="AV21" s="20">
        <v>1</v>
      </c>
      <c r="AW21" s="1">
        <v>34713</v>
      </c>
      <c r="AX21" s="5">
        <f t="shared" si="2"/>
        <v>16583</v>
      </c>
    </row>
    <row r="22" spans="1:50">
      <c r="A22" s="2" t="s">
        <v>66</v>
      </c>
      <c r="B22" s="6" t="s">
        <v>50</v>
      </c>
      <c r="C22" s="4">
        <v>113000</v>
      </c>
      <c r="D22" s="4">
        <v>118224</v>
      </c>
      <c r="E22" s="4">
        <v>102240</v>
      </c>
      <c r="F22" s="4">
        <v>120000</v>
      </c>
      <c r="G22" s="4">
        <v>135000</v>
      </c>
      <c r="H22" s="4">
        <v>135000</v>
      </c>
      <c r="I22" s="4">
        <v>125000</v>
      </c>
      <c r="J22" s="4">
        <v>92050</v>
      </c>
      <c r="K22" s="4">
        <v>75484</v>
      </c>
      <c r="L22" s="4">
        <v>77118</v>
      </c>
      <c r="M22" s="3">
        <v>121539</v>
      </c>
      <c r="N22" s="3">
        <v>116741</v>
      </c>
      <c r="O22" s="3">
        <v>121840</v>
      </c>
      <c r="P22" s="4">
        <f t="shared" si="0"/>
        <v>604772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20">
        <v>61764</v>
      </c>
      <c r="Y22" s="20">
        <v>1</v>
      </c>
      <c r="Z22" s="21">
        <f t="shared" si="1"/>
        <v>9410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1">
        <v>89274</v>
      </c>
      <c r="AG22" s="20">
        <v>1</v>
      </c>
      <c r="AH22" s="20">
        <v>1</v>
      </c>
      <c r="AI22" s="20">
        <v>1</v>
      </c>
      <c r="AJ22" s="20">
        <v>1</v>
      </c>
      <c r="AK22" s="1">
        <v>555</v>
      </c>
      <c r="AL22" s="1">
        <v>560</v>
      </c>
      <c r="AM22" s="1">
        <v>538</v>
      </c>
      <c r="AN22" s="1">
        <v>480</v>
      </c>
      <c r="AO22" s="1">
        <v>744</v>
      </c>
      <c r="AP22" s="1">
        <v>905</v>
      </c>
      <c r="AQ22" s="1">
        <v>1163</v>
      </c>
      <c r="AR22" s="1">
        <v>480</v>
      </c>
      <c r="AS22" s="1">
        <v>412</v>
      </c>
      <c r="AT22" s="1">
        <v>48621</v>
      </c>
      <c r="AU22" s="20">
        <v>1</v>
      </c>
      <c r="AV22" s="20">
        <v>1</v>
      </c>
      <c r="AW22" s="1">
        <v>108016</v>
      </c>
      <c r="AX22" s="5">
        <f t="shared" si="2"/>
        <v>-2776</v>
      </c>
    </row>
    <row r="23" spans="1:50">
      <c r="A23" s="2" t="s">
        <v>67</v>
      </c>
      <c r="B23" s="6" t="s">
        <v>50</v>
      </c>
      <c r="C23" s="4">
        <v>72736</v>
      </c>
      <c r="D23" s="4">
        <v>78778</v>
      </c>
      <c r="E23" s="4">
        <v>67783</v>
      </c>
      <c r="F23" s="4">
        <v>75000</v>
      </c>
      <c r="G23" s="4">
        <v>80000</v>
      </c>
      <c r="H23" s="4">
        <v>80000</v>
      </c>
      <c r="I23" s="4">
        <v>85000</v>
      </c>
      <c r="J23" s="4">
        <v>46869</v>
      </c>
      <c r="K23" s="4">
        <v>49638</v>
      </c>
      <c r="L23" s="4">
        <v>48479</v>
      </c>
      <c r="M23" s="3">
        <v>63827</v>
      </c>
      <c r="N23" s="3">
        <v>69552</v>
      </c>
      <c r="O23" s="3">
        <v>78801</v>
      </c>
      <c r="P23" s="4">
        <f t="shared" si="0"/>
        <v>357166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20">
        <v>32093</v>
      </c>
      <c r="Y23" s="20">
        <v>1</v>
      </c>
      <c r="Z23" s="21">
        <f t="shared" si="1"/>
        <v>7780.833333333333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1">
        <v>65193</v>
      </c>
      <c r="AG23" s="20">
        <v>1</v>
      </c>
      <c r="AH23" s="20">
        <v>1</v>
      </c>
      <c r="AI23" s="20">
        <v>1</v>
      </c>
      <c r="AJ23" s="20">
        <v>1</v>
      </c>
      <c r="AK23" s="1">
        <v>61</v>
      </c>
      <c r="AL23" s="1">
        <v>146</v>
      </c>
      <c r="AM23" s="1">
        <v>-69</v>
      </c>
      <c r="AN23" s="1">
        <v>33</v>
      </c>
      <c r="AO23" s="1">
        <v>405</v>
      </c>
      <c r="AP23" s="1">
        <v>0</v>
      </c>
      <c r="AQ23" s="1">
        <v>403</v>
      </c>
      <c r="AR23" s="1">
        <v>33</v>
      </c>
      <c r="AS23" s="1">
        <v>-290</v>
      </c>
      <c r="AT23" s="1">
        <v>19710</v>
      </c>
      <c r="AU23" s="20">
        <v>1</v>
      </c>
      <c r="AV23" s="20">
        <v>1</v>
      </c>
      <c r="AW23" s="1">
        <v>71566</v>
      </c>
      <c r="AX23" s="5">
        <f t="shared" si="2"/>
        <v>18324</v>
      </c>
    </row>
    <row r="24" spans="1:50">
      <c r="A24" s="2" t="s">
        <v>68</v>
      </c>
      <c r="B24" s="6" t="s">
        <v>50</v>
      </c>
      <c r="C24" s="4">
        <v>35000</v>
      </c>
      <c r="D24" s="4">
        <v>34482</v>
      </c>
      <c r="E24" s="4">
        <v>29820</v>
      </c>
      <c r="F24" s="4">
        <v>40000</v>
      </c>
      <c r="G24" s="4">
        <v>35000</v>
      </c>
      <c r="H24" s="4">
        <v>32000</v>
      </c>
      <c r="I24" s="4">
        <v>30000</v>
      </c>
      <c r="J24" s="4">
        <v>21778</v>
      </c>
      <c r="K24" s="4">
        <v>13707</v>
      </c>
      <c r="L24" s="4">
        <v>16799</v>
      </c>
      <c r="M24" s="3">
        <v>31550</v>
      </c>
      <c r="N24" s="3">
        <v>28924</v>
      </c>
      <c r="O24" s="3">
        <v>23587</v>
      </c>
      <c r="P24" s="4">
        <f t="shared" si="0"/>
        <v>136345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20">
        <v>16237</v>
      </c>
      <c r="Y24" s="20">
        <v>1</v>
      </c>
      <c r="Z24" s="21">
        <f t="shared" si="1"/>
        <v>3040.8333333333335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1">
        <v>24712</v>
      </c>
      <c r="AG24" s="20">
        <v>1</v>
      </c>
      <c r="AH24" s="20">
        <v>1</v>
      </c>
      <c r="AI24" s="20">
        <v>1</v>
      </c>
      <c r="AJ24" s="20">
        <v>1</v>
      </c>
      <c r="AK24" s="1">
        <v>353</v>
      </c>
      <c r="AL24" s="1">
        <v>352</v>
      </c>
      <c r="AM24" s="1">
        <v>355</v>
      </c>
      <c r="AN24" s="1">
        <v>334</v>
      </c>
      <c r="AO24" s="1">
        <v>635</v>
      </c>
      <c r="AP24" s="1">
        <v>1125</v>
      </c>
      <c r="AQ24" s="1">
        <v>352</v>
      </c>
      <c r="AR24" s="1">
        <v>334</v>
      </c>
      <c r="AS24" s="1">
        <v>356</v>
      </c>
      <c r="AT24" s="1">
        <v>9065</v>
      </c>
      <c r="AU24" s="20">
        <v>1</v>
      </c>
      <c r="AV24" s="20">
        <v>1</v>
      </c>
      <c r="AW24" s="1">
        <v>31865</v>
      </c>
      <c r="AX24" s="5">
        <f t="shared" si="2"/>
        <v>2934</v>
      </c>
    </row>
    <row r="25" spans="1:50">
      <c r="A25" s="2" t="s">
        <v>69</v>
      </c>
      <c r="B25" s="6" t="s">
        <v>50</v>
      </c>
      <c r="C25" s="4">
        <v>27360</v>
      </c>
      <c r="D25" s="4">
        <v>29556</v>
      </c>
      <c r="E25" s="4">
        <v>25560</v>
      </c>
      <c r="F25" s="4">
        <v>25000</v>
      </c>
      <c r="G25" s="4">
        <v>25000</v>
      </c>
      <c r="H25" s="4">
        <v>25000</v>
      </c>
      <c r="I25" s="4">
        <v>25000</v>
      </c>
      <c r="J25" s="4">
        <v>20750</v>
      </c>
      <c r="K25" s="4">
        <v>12425</v>
      </c>
      <c r="L25" s="4">
        <v>10311</v>
      </c>
      <c r="M25" s="3">
        <v>20409</v>
      </c>
      <c r="N25" s="3">
        <v>17405</v>
      </c>
      <c r="O25" s="3">
        <v>18983</v>
      </c>
      <c r="P25" s="4">
        <f t="shared" si="0"/>
        <v>100283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20">
        <v>14829</v>
      </c>
      <c r="Y25" s="20">
        <v>1</v>
      </c>
      <c r="Z25" s="21">
        <f t="shared" si="1"/>
        <v>2454.5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1">
        <v>16329</v>
      </c>
      <c r="AG25" s="20">
        <v>1</v>
      </c>
      <c r="AH25" s="20">
        <v>1</v>
      </c>
      <c r="AI25" s="20">
        <v>1</v>
      </c>
      <c r="AJ25" s="20">
        <v>1</v>
      </c>
      <c r="AK25" s="1">
        <v>373</v>
      </c>
      <c r="AL25" s="1">
        <v>395</v>
      </c>
      <c r="AM25" s="1">
        <v>333</v>
      </c>
      <c r="AN25" s="1">
        <v>370</v>
      </c>
      <c r="AO25" s="1">
        <v>548</v>
      </c>
      <c r="AP25" s="1">
        <v>0</v>
      </c>
      <c r="AQ25" s="1">
        <v>386</v>
      </c>
      <c r="AR25" s="1">
        <v>370</v>
      </c>
      <c r="AS25" s="1">
        <v>307</v>
      </c>
      <c r="AT25" s="1">
        <v>8546</v>
      </c>
      <c r="AU25" s="20">
        <v>1</v>
      </c>
      <c r="AV25" s="20">
        <v>1</v>
      </c>
      <c r="AW25" s="1">
        <v>32287</v>
      </c>
      <c r="AX25" s="5">
        <f t="shared" si="2"/>
        <v>-4421</v>
      </c>
    </row>
    <row r="26" spans="1:50">
      <c r="A26" s="2" t="s">
        <v>70</v>
      </c>
      <c r="B26" s="6" t="s">
        <v>50</v>
      </c>
      <c r="C26" s="4">
        <v>9000</v>
      </c>
      <c r="D26" s="4">
        <v>9852</v>
      </c>
      <c r="E26" s="4">
        <v>8520</v>
      </c>
      <c r="F26" s="4">
        <v>9500</v>
      </c>
      <c r="G26" s="4">
        <v>8500</v>
      </c>
      <c r="H26" s="4">
        <v>6500</v>
      </c>
      <c r="I26" s="4">
        <v>6500</v>
      </c>
      <c r="J26" s="4">
        <v>5287</v>
      </c>
      <c r="K26" s="4">
        <v>5075</v>
      </c>
      <c r="L26" s="4">
        <v>5710</v>
      </c>
      <c r="M26" s="3">
        <v>6974</v>
      </c>
      <c r="N26" s="3">
        <v>7101</v>
      </c>
      <c r="O26" s="3">
        <v>6390</v>
      </c>
      <c r="P26" s="4">
        <f t="shared" si="0"/>
        <v>36537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20">
        <v>4410</v>
      </c>
      <c r="Y26" s="20">
        <v>1</v>
      </c>
      <c r="Z26" s="21">
        <f t="shared" si="1"/>
        <v>907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1">
        <v>4666</v>
      </c>
      <c r="AG26" s="20">
        <v>1</v>
      </c>
      <c r="AH26" s="20">
        <v>1</v>
      </c>
      <c r="AI26" s="20">
        <v>1</v>
      </c>
      <c r="AJ26" s="20">
        <v>1</v>
      </c>
      <c r="AK26" s="1">
        <v>370</v>
      </c>
      <c r="AL26" s="1">
        <v>416</v>
      </c>
      <c r="AM26" s="1">
        <v>295</v>
      </c>
      <c r="AN26" s="1">
        <v>-47</v>
      </c>
      <c r="AO26" s="1">
        <v>0</v>
      </c>
      <c r="AP26" s="1">
        <v>707</v>
      </c>
      <c r="AQ26" s="1">
        <v>295</v>
      </c>
      <c r="AR26" s="1">
        <v>-47</v>
      </c>
      <c r="AS26" s="1">
        <v>0</v>
      </c>
      <c r="AT26" s="1">
        <v>1701</v>
      </c>
      <c r="AU26" s="20">
        <v>1</v>
      </c>
      <c r="AV26" s="20">
        <v>1</v>
      </c>
      <c r="AW26" s="1">
        <v>4819</v>
      </c>
      <c r="AX26" s="5">
        <f t="shared" si="2"/>
        <v>-621</v>
      </c>
    </row>
    <row r="27" spans="1:50">
      <c r="A27" s="2" t="s">
        <v>71</v>
      </c>
      <c r="B27" s="6" t="s">
        <v>50</v>
      </c>
      <c r="C27" s="4">
        <v>1</v>
      </c>
      <c r="D27" s="4">
        <v>1</v>
      </c>
      <c r="E27" s="4">
        <v>1</v>
      </c>
      <c r="F27" s="4">
        <v>500</v>
      </c>
      <c r="G27" s="4">
        <v>500</v>
      </c>
      <c r="H27" s="4">
        <v>500</v>
      </c>
      <c r="I27" s="4">
        <v>500</v>
      </c>
      <c r="J27" s="4">
        <v>490</v>
      </c>
      <c r="K27" s="4">
        <v>1</v>
      </c>
      <c r="L27" s="4">
        <v>30</v>
      </c>
      <c r="M27" s="3">
        <v>385</v>
      </c>
      <c r="N27" s="3">
        <v>202</v>
      </c>
      <c r="O27" s="3">
        <v>655</v>
      </c>
      <c r="P27" s="4">
        <f t="shared" si="0"/>
        <v>1763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20">
        <v>455</v>
      </c>
      <c r="Y27" s="20">
        <v>1</v>
      </c>
      <c r="Z27" s="21">
        <f t="shared" si="1"/>
        <v>-75.666666666666671</v>
      </c>
      <c r="AA27" s="20">
        <v>1</v>
      </c>
      <c r="AB27" s="20">
        <v>1</v>
      </c>
      <c r="AC27" s="20">
        <v>1</v>
      </c>
      <c r="AD27" s="20">
        <v>1</v>
      </c>
      <c r="AE27" s="20">
        <v>1</v>
      </c>
      <c r="AF27" s="1">
        <v>2886</v>
      </c>
      <c r="AG27" s="20">
        <v>1</v>
      </c>
      <c r="AH27" s="20">
        <v>1</v>
      </c>
      <c r="AI27" s="20">
        <v>1</v>
      </c>
      <c r="AJ27" s="20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20">
        <v>1</v>
      </c>
      <c r="AV27" s="20">
        <v>1</v>
      </c>
      <c r="AW27" s="1">
        <v>1010</v>
      </c>
      <c r="AX27" s="5">
        <f t="shared" si="2"/>
        <v>2396</v>
      </c>
    </row>
    <row r="28" spans="1:50">
      <c r="A28" s="2" t="s">
        <v>72</v>
      </c>
      <c r="B28" s="6" t="s">
        <v>50</v>
      </c>
      <c r="C28" s="4">
        <f>C23+C26+C27</f>
        <v>81737</v>
      </c>
      <c r="D28" s="4">
        <f>D23+D26+D27</f>
        <v>88631</v>
      </c>
      <c r="E28" s="4">
        <f>E23+E26+E27</f>
        <v>76304</v>
      </c>
      <c r="F28" s="4">
        <f>F23+F26+F27</f>
        <v>85000</v>
      </c>
      <c r="G28" s="4">
        <f>G23+G26+G27</f>
        <v>89000</v>
      </c>
      <c r="H28" s="4">
        <f>H23+H26+H27</f>
        <v>87000</v>
      </c>
      <c r="I28" s="4">
        <f>I23+I26+I27</f>
        <v>92000</v>
      </c>
      <c r="J28" s="4">
        <f>J27+J26+J23</f>
        <v>52646</v>
      </c>
      <c r="K28" s="4">
        <f>K23+K26+K27</f>
        <v>54714</v>
      </c>
      <c r="L28" s="4">
        <f>L23+L26+L27</f>
        <v>54219</v>
      </c>
      <c r="M28" s="4">
        <f>M23+M26+M27</f>
        <v>71186</v>
      </c>
      <c r="N28" s="4">
        <f>N23+N26+N27</f>
        <v>76855</v>
      </c>
      <c r="O28" s="4">
        <f>O23+O26+O27</f>
        <v>85846</v>
      </c>
      <c r="P28" s="4">
        <f t="shared" si="0"/>
        <v>395466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22">
        <f>X23+X26+X27</f>
        <v>36958</v>
      </c>
      <c r="Y28" s="20">
        <v>1</v>
      </c>
      <c r="Z28" s="21">
        <f t="shared" si="1"/>
        <v>8612.1666666666661</v>
      </c>
      <c r="AA28" s="20">
        <v>1</v>
      </c>
      <c r="AB28" s="20">
        <v>1</v>
      </c>
      <c r="AC28" s="20">
        <v>1</v>
      </c>
      <c r="AD28" s="20">
        <v>1</v>
      </c>
      <c r="AE28" s="20">
        <v>1</v>
      </c>
      <c r="AF28" s="1">
        <f>AF23+AF26+AF27</f>
        <v>72745</v>
      </c>
      <c r="AG28" s="20">
        <v>1</v>
      </c>
      <c r="AH28" s="20">
        <v>1</v>
      </c>
      <c r="AI28" s="20">
        <v>1</v>
      </c>
      <c r="AJ28" s="20">
        <v>1</v>
      </c>
      <c r="AT28" s="1">
        <f>AT23+AT26+AT27</f>
        <v>21411</v>
      </c>
      <c r="AU28" s="20">
        <v>1</v>
      </c>
      <c r="AV28" s="20">
        <v>1</v>
      </c>
      <c r="AW28" s="1">
        <f>AW23+AW26+AW27</f>
        <v>77395</v>
      </c>
      <c r="AX28" s="5">
        <f t="shared" si="2"/>
        <v>20099</v>
      </c>
    </row>
    <row r="29" spans="1:50">
      <c r="M29" s="3"/>
      <c r="N29" s="3"/>
      <c r="O29" s="3"/>
      <c r="P29" s="3"/>
    </row>
    <row r="30" spans="1:50">
      <c r="C30" s="5"/>
      <c r="M30" s="3"/>
      <c r="N30" s="3"/>
      <c r="O30" s="3"/>
      <c r="P30" s="3"/>
    </row>
    <row r="31" spans="1:50">
      <c r="M31" s="3"/>
      <c r="N31" s="3"/>
      <c r="O31" s="3"/>
      <c r="P31" s="3"/>
    </row>
    <row r="32" spans="1:50">
      <c r="M32" s="3"/>
      <c r="N32" s="3"/>
      <c r="O32" s="3"/>
      <c r="P32" s="3"/>
    </row>
    <row r="33" spans="2:16">
      <c r="M33" s="3"/>
      <c r="N33" s="3"/>
      <c r="O33" s="3"/>
      <c r="P33" s="3"/>
    </row>
    <row r="37" spans="2:16" ht="15.75">
      <c r="C37" s="36"/>
      <c r="D37" s="48"/>
      <c r="E37" s="37"/>
      <c r="F37" s="37"/>
      <c r="G37" s="37"/>
      <c r="H37" s="37"/>
      <c r="I37" s="29"/>
    </row>
    <row r="38" spans="2:16">
      <c r="C38" s="74"/>
      <c r="D38" s="39"/>
      <c r="E38" s="38"/>
      <c r="F38" s="39"/>
      <c r="G38" s="30"/>
      <c r="H38" s="75"/>
      <c r="I38" s="30"/>
    </row>
    <row r="39" spans="2:16">
      <c r="C39" s="74"/>
      <c r="D39" s="39"/>
      <c r="E39" s="38"/>
      <c r="F39" s="39"/>
      <c r="G39" s="30"/>
      <c r="H39" s="75"/>
      <c r="I39" s="30"/>
    </row>
    <row r="40" spans="2:16">
      <c r="C40" s="38"/>
      <c r="D40" s="39"/>
      <c r="E40" s="46"/>
      <c r="F40" s="40"/>
      <c r="G40" s="31"/>
      <c r="H40" s="40"/>
      <c r="I40" s="31"/>
    </row>
    <row r="41" spans="2:16">
      <c r="C41" s="38"/>
      <c r="D41" s="39"/>
      <c r="E41" s="38"/>
      <c r="F41" s="39"/>
      <c r="G41" s="30"/>
      <c r="H41" s="39"/>
      <c r="I41" s="30"/>
    </row>
    <row r="42" spans="2:16">
      <c r="C42" s="41"/>
      <c r="D42" s="42"/>
      <c r="E42" s="41"/>
      <c r="F42" s="42"/>
      <c r="G42" s="32"/>
      <c r="H42" s="42"/>
      <c r="I42" s="32"/>
    </row>
    <row r="43" spans="2:16">
      <c r="C43" s="49"/>
      <c r="D43" s="33"/>
      <c r="E43" s="38"/>
      <c r="F43" s="39"/>
      <c r="G43" s="30"/>
      <c r="H43" s="39"/>
      <c r="I43" s="30"/>
    </row>
    <row r="44" spans="2:16">
      <c r="C44" s="38"/>
      <c r="D44" s="30"/>
      <c r="E44" s="38"/>
      <c r="F44" s="39"/>
      <c r="G44" s="30"/>
      <c r="H44" s="39"/>
      <c r="I44" s="30"/>
    </row>
    <row r="45" spans="2:16">
      <c r="B45" s="7"/>
      <c r="C45" s="41"/>
      <c r="D45" s="32"/>
      <c r="E45" s="46"/>
      <c r="F45" s="40"/>
      <c r="G45" s="31"/>
      <c r="H45" s="42"/>
      <c r="I45" s="32"/>
    </row>
    <row r="46" spans="2:16">
      <c r="B46" s="7"/>
      <c r="C46" s="49"/>
      <c r="D46" s="50"/>
      <c r="E46" s="51"/>
      <c r="F46" s="43"/>
      <c r="G46" s="52"/>
      <c r="H46" s="43"/>
      <c r="I46" s="33"/>
    </row>
    <row r="47" spans="2:16">
      <c r="B47" s="7"/>
      <c r="C47" s="38"/>
      <c r="D47" s="31"/>
      <c r="E47" s="54"/>
      <c r="F47" s="55"/>
      <c r="G47" s="57"/>
      <c r="H47" s="39"/>
      <c r="I47" s="30"/>
    </row>
    <row r="48" spans="2:16">
      <c r="C48" s="38"/>
      <c r="D48" s="31"/>
      <c r="E48" s="54"/>
      <c r="F48" s="55"/>
      <c r="G48" s="57"/>
      <c r="H48" s="42"/>
      <c r="I48" s="32"/>
    </row>
    <row r="49" spans="3:9">
      <c r="C49" s="38"/>
      <c r="D49" s="31"/>
      <c r="E49" s="53"/>
      <c r="F49" s="55"/>
      <c r="G49" s="56"/>
      <c r="H49" s="42"/>
      <c r="I49" s="32"/>
    </row>
    <row r="50" spans="3:9">
      <c r="C50" s="41"/>
      <c r="D50" s="32"/>
      <c r="E50" s="41"/>
      <c r="F50" s="42"/>
      <c r="G50" s="32"/>
      <c r="H50" s="39"/>
      <c r="I50" s="30"/>
    </row>
    <row r="51" spans="3:9">
      <c r="C51" s="58"/>
      <c r="D51" s="59"/>
      <c r="E51" s="58"/>
      <c r="F51" s="60"/>
      <c r="G51" s="59"/>
      <c r="H51" s="39"/>
      <c r="I51" s="30"/>
    </row>
    <row r="52" spans="3:9">
      <c r="C52" s="41"/>
      <c r="D52" s="42"/>
      <c r="E52" s="41"/>
      <c r="F52" s="42"/>
      <c r="G52" s="32"/>
      <c r="H52" s="39"/>
      <c r="I52" s="30"/>
    </row>
    <row r="53" spans="3:9">
      <c r="C53" s="41"/>
      <c r="D53" s="42"/>
      <c r="E53" s="41"/>
      <c r="F53" s="42"/>
      <c r="G53" s="32"/>
      <c r="H53" s="39"/>
      <c r="I53" s="30"/>
    </row>
    <row r="54" spans="3:9">
      <c r="C54" s="38"/>
      <c r="D54" s="39"/>
      <c r="E54" s="38"/>
      <c r="F54" s="39"/>
      <c r="G54" s="30"/>
      <c r="H54" s="45"/>
      <c r="I54" s="34"/>
    </row>
    <row r="55" spans="3:9">
      <c r="C55" s="38"/>
      <c r="D55" s="39"/>
      <c r="E55" s="38"/>
      <c r="F55" s="39"/>
      <c r="G55" s="30"/>
      <c r="H55" s="40"/>
      <c r="I55" s="31"/>
    </row>
    <row r="56" spans="3:9">
      <c r="C56" s="38"/>
      <c r="D56" s="39"/>
      <c r="E56" s="38"/>
      <c r="F56" s="39"/>
      <c r="G56" s="30"/>
      <c r="H56" s="47"/>
      <c r="I56" s="35"/>
    </row>
    <row r="57" spans="3:9">
      <c r="C57" s="38"/>
      <c r="D57" s="39"/>
      <c r="E57" s="38"/>
      <c r="F57" s="39"/>
      <c r="G57" s="30"/>
    </row>
    <row r="58" spans="3:9">
      <c r="C58" s="44"/>
      <c r="D58" s="45"/>
      <c r="E58" s="38"/>
      <c r="F58" s="39"/>
      <c r="G58" s="30"/>
    </row>
    <row r="59" spans="3:9">
      <c r="C59" s="46"/>
      <c r="D59" s="40"/>
      <c r="E59" s="61"/>
      <c r="F59" s="62"/>
      <c r="G59" s="63"/>
    </row>
    <row r="60" spans="3:9">
      <c r="C60" s="64"/>
      <c r="D60" s="65"/>
      <c r="E60" s="66"/>
      <c r="F60" s="66"/>
      <c r="G60" s="66"/>
    </row>
    <row r="61" spans="3:9">
      <c r="C61" s="39"/>
      <c r="D61" s="39"/>
      <c r="E61" s="39"/>
      <c r="F61" s="39"/>
      <c r="G61" s="39"/>
    </row>
    <row r="62" spans="3:9">
      <c r="C62" s="76"/>
      <c r="D62" s="77"/>
      <c r="E62" s="77"/>
      <c r="F62" s="77"/>
      <c r="G62" s="77"/>
    </row>
  </sheetData>
  <autoFilter ref="A1:AJ28" xr:uid="{022E23B8-9BEB-40C7-B1E0-11F46D370AF4}"/>
  <mergeCells count="3">
    <mergeCell ref="H38:H39"/>
    <mergeCell ref="C38:C39"/>
    <mergeCell ref="C62:G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B1DF-65F0-45FB-8474-F1B862E2B844}">
  <dimension ref="A1:AM16"/>
  <sheetViews>
    <sheetView workbookViewId="0">
      <selection activeCell="E56" sqref="E56"/>
    </sheetView>
  </sheetViews>
  <sheetFormatPr defaultRowHeight="15"/>
  <cols>
    <col min="3" max="3" width="11.42578125" customWidth="1"/>
    <col min="4" max="4" width="25.85546875" customWidth="1"/>
    <col min="5" max="5" width="22.140625" bestFit="1" customWidth="1"/>
    <col min="6" max="6" width="26.5703125" bestFit="1" customWidth="1"/>
    <col min="7" max="7" width="22.85546875" bestFit="1" customWidth="1"/>
    <col min="8" max="8" width="24.28515625" bestFit="1" customWidth="1"/>
    <col min="9" max="9" width="22" bestFit="1" customWidth="1"/>
    <col min="10" max="10" width="26.42578125" bestFit="1" customWidth="1"/>
    <col min="11" max="11" width="22.85546875" bestFit="1" customWidth="1"/>
    <col min="12" max="12" width="24.28515625" bestFit="1" customWidth="1"/>
    <col min="13" max="13" width="22.7109375" bestFit="1" customWidth="1"/>
    <col min="14" max="14" width="27.140625" bestFit="1" customWidth="1"/>
    <col min="15" max="15" width="23.5703125" bestFit="1" customWidth="1"/>
    <col min="16" max="16" width="25" bestFit="1" customWidth="1"/>
    <col min="17" max="17" width="22.5703125" bestFit="1" customWidth="1"/>
    <col min="18" max="18" width="27" bestFit="1" customWidth="1"/>
    <col min="19" max="19" width="23.140625" bestFit="1" customWidth="1"/>
    <col min="20" max="20" width="24.5703125" bestFit="1" customWidth="1"/>
    <col min="21" max="21" width="22.85546875" bestFit="1" customWidth="1"/>
    <col min="22" max="22" width="27.28515625" bestFit="1" customWidth="1"/>
    <col min="23" max="23" width="23.5703125" bestFit="1" customWidth="1"/>
    <col min="24" max="24" width="25" bestFit="1" customWidth="1"/>
    <col min="25" max="25" width="19.140625" customWidth="1"/>
    <col min="26" max="26" width="14" customWidth="1"/>
    <col min="27" max="27" width="17.85546875" customWidth="1"/>
    <col min="39" max="39" width="14.7109375" customWidth="1"/>
  </cols>
  <sheetData>
    <row r="1" spans="1:39">
      <c r="A1" t="s">
        <v>73</v>
      </c>
      <c r="B1" t="s">
        <v>1</v>
      </c>
      <c r="C1" t="s">
        <v>74</v>
      </c>
      <c r="D1" t="s">
        <v>75</v>
      </c>
      <c r="E1" s="13" t="s">
        <v>76</v>
      </c>
      <c r="F1" s="14" t="s">
        <v>77</v>
      </c>
      <c r="G1" s="15" t="s">
        <v>78</v>
      </c>
      <c r="H1" s="16" t="s">
        <v>79</v>
      </c>
      <c r="I1" s="8" t="s">
        <v>80</v>
      </c>
      <c r="J1" s="10" t="s">
        <v>81</v>
      </c>
      <c r="K1" s="11" t="s">
        <v>82</v>
      </c>
      <c r="L1" s="12" t="s">
        <v>83</v>
      </c>
      <c r="M1" s="13" t="s">
        <v>84</v>
      </c>
      <c r="N1" s="14" t="s">
        <v>85</v>
      </c>
      <c r="O1" s="15" t="s">
        <v>86</v>
      </c>
      <c r="P1" s="16" t="s">
        <v>87</v>
      </c>
      <c r="Q1" s="8" t="s">
        <v>88</v>
      </c>
      <c r="R1" s="10" t="s">
        <v>89</v>
      </c>
      <c r="S1" s="11" t="s">
        <v>90</v>
      </c>
      <c r="T1" s="12" t="s">
        <v>91</v>
      </c>
      <c r="U1" s="13" t="s">
        <v>92</v>
      </c>
      <c r="V1" s="14" t="s">
        <v>93</v>
      </c>
      <c r="W1" s="15" t="s">
        <v>94</v>
      </c>
      <c r="X1" s="16" t="s">
        <v>95</v>
      </c>
      <c r="Y1" s="17" t="s">
        <v>96</v>
      </c>
      <c r="Z1" s="17" t="s">
        <v>97</v>
      </c>
      <c r="AA1" s="17" t="s">
        <v>98</v>
      </c>
      <c r="AB1" s="17" t="s">
        <v>99</v>
      </c>
      <c r="AC1" s="17" t="s">
        <v>100</v>
      </c>
      <c r="AD1" s="17" t="s">
        <v>101</v>
      </c>
      <c r="AE1" s="17" t="s">
        <v>96</v>
      </c>
      <c r="AF1" s="17" t="s">
        <v>97</v>
      </c>
      <c r="AG1" s="17" t="s">
        <v>98</v>
      </c>
      <c r="AH1" s="17" t="s">
        <v>96</v>
      </c>
      <c r="AI1" s="17" t="s">
        <v>97</v>
      </c>
      <c r="AJ1" s="17" t="s">
        <v>98</v>
      </c>
      <c r="AK1" s="17" t="s">
        <v>96</v>
      </c>
      <c r="AL1" s="17" t="s">
        <v>97</v>
      </c>
      <c r="AM1" s="17" t="s">
        <v>98</v>
      </c>
    </row>
    <row r="2" spans="1:39">
      <c r="A2" t="s">
        <v>54</v>
      </c>
      <c r="B2" t="s">
        <v>102</v>
      </c>
      <c r="C2" t="s">
        <v>103</v>
      </c>
      <c r="E2" s="1"/>
      <c r="F2" s="1"/>
      <c r="G2" s="9"/>
      <c r="H2" s="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9">
      <c r="A3" t="s">
        <v>54</v>
      </c>
      <c r="B3" t="s">
        <v>102</v>
      </c>
      <c r="C3" t="s">
        <v>104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9">
      <c r="A4" t="s">
        <v>54</v>
      </c>
      <c r="B4" t="s">
        <v>102</v>
      </c>
      <c r="C4" t="s">
        <v>105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9">
      <c r="A5" t="s">
        <v>54</v>
      </c>
      <c r="B5" t="s">
        <v>102</v>
      </c>
      <c r="C5" t="s">
        <v>106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AA5" s="17"/>
    </row>
    <row r="6" spans="1:39">
      <c r="A6" t="s">
        <v>54</v>
      </c>
      <c r="B6" t="s">
        <v>102</v>
      </c>
      <c r="C6" t="s">
        <v>107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39">
      <c r="A7" t="s">
        <v>49</v>
      </c>
      <c r="B7" t="s">
        <v>102</v>
      </c>
      <c r="C7" t="s">
        <v>103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9">
      <c r="A8" t="s">
        <v>49</v>
      </c>
      <c r="B8" t="s">
        <v>102</v>
      </c>
      <c r="C8" t="s">
        <v>108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39">
      <c r="A9" t="s">
        <v>49</v>
      </c>
      <c r="B9" t="s">
        <v>102</v>
      </c>
      <c r="C9" t="s">
        <v>109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39">
      <c r="A10" t="s">
        <v>49</v>
      </c>
      <c r="B10" t="s">
        <v>102</v>
      </c>
      <c r="C10" t="s">
        <v>110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9">
      <c r="A11" t="s">
        <v>49</v>
      </c>
      <c r="B11" t="s">
        <v>102</v>
      </c>
      <c r="C11" t="s">
        <v>111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39">
      <c r="A12" t="s">
        <v>54</v>
      </c>
      <c r="B12" t="s">
        <v>51</v>
      </c>
      <c r="C12" t="s">
        <v>103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39">
      <c r="A13" t="s">
        <v>54</v>
      </c>
      <c r="B13" t="s">
        <v>51</v>
      </c>
      <c r="C13" t="s">
        <v>104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39">
      <c r="A14" t="s">
        <v>54</v>
      </c>
      <c r="B14" t="s">
        <v>51</v>
      </c>
      <c r="C14" t="s">
        <v>105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39">
      <c r="A15" t="s">
        <v>54</v>
      </c>
      <c r="B15" t="s">
        <v>51</v>
      </c>
      <c r="C15" t="s">
        <v>106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39">
      <c r="A16" t="s">
        <v>54</v>
      </c>
      <c r="B16" t="s">
        <v>51</v>
      </c>
      <c r="C16" t="s">
        <v>107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D980-4D25-4AC7-9650-50EEA7279D81}">
  <dimension ref="A1:M35"/>
  <sheetViews>
    <sheetView workbookViewId="0">
      <pane xSplit="5" topLeftCell="F35" activePane="topRight" state="frozen"/>
      <selection pane="topRight" activeCell="H35" sqref="H35"/>
    </sheetView>
  </sheetViews>
  <sheetFormatPr defaultRowHeight="15"/>
  <cols>
    <col min="1" max="1" width="7.42578125" style="1" customWidth="1"/>
    <col min="2" max="2" width="7.140625" style="1" bestFit="1" customWidth="1"/>
    <col min="3" max="3" width="7" style="1" bestFit="1" customWidth="1"/>
    <col min="4" max="4" width="5.28515625" style="1" bestFit="1" customWidth="1"/>
    <col min="5" max="5" width="14.7109375" style="1" customWidth="1"/>
    <col min="6" max="6" width="15.85546875" style="1" bestFit="1" customWidth="1"/>
    <col min="7" max="7" width="17.42578125" style="1" bestFit="1" customWidth="1"/>
    <col min="8" max="8" width="11.7109375" style="1" bestFit="1" customWidth="1"/>
    <col min="9" max="9" width="13.28515625" style="1" bestFit="1" customWidth="1"/>
    <col min="10" max="10" width="19.42578125" style="1" bestFit="1" customWidth="1"/>
    <col min="11" max="11" width="21" style="1" bestFit="1" customWidth="1"/>
    <col min="12" max="12" width="14.5703125" style="1" bestFit="1" customWidth="1"/>
    <col min="13" max="13" width="16.140625" style="1" bestFit="1" customWidth="1"/>
    <col min="14" max="16384" width="9.140625" style="1"/>
  </cols>
  <sheetData>
    <row r="1" spans="1:13">
      <c r="A1" s="23" t="s">
        <v>73</v>
      </c>
      <c r="B1" s="23" t="s">
        <v>112</v>
      </c>
      <c r="C1" s="23" t="s">
        <v>1</v>
      </c>
      <c r="D1" s="23" t="s">
        <v>113</v>
      </c>
      <c r="E1" s="23" t="s">
        <v>114</v>
      </c>
      <c r="F1" s="24" t="s">
        <v>115</v>
      </c>
      <c r="G1" s="24" t="s">
        <v>116</v>
      </c>
      <c r="H1" s="24" t="s">
        <v>117</v>
      </c>
      <c r="I1" s="24" t="s">
        <v>118</v>
      </c>
      <c r="J1" s="24" t="s">
        <v>119</v>
      </c>
      <c r="K1" s="24" t="s">
        <v>120</v>
      </c>
      <c r="L1" s="24" t="s">
        <v>121</v>
      </c>
      <c r="M1" s="24" t="s">
        <v>122</v>
      </c>
    </row>
    <row r="2" spans="1:13" ht="15" customHeight="1">
      <c r="A2" s="1" t="s">
        <v>54</v>
      </c>
      <c r="B2" s="1" t="s">
        <v>123</v>
      </c>
      <c r="C2" s="25" t="s">
        <v>102</v>
      </c>
      <c r="D2" s="1" t="s">
        <v>124</v>
      </c>
      <c r="E2" s="24" t="s">
        <v>104</v>
      </c>
      <c r="F2" s="5">
        <v>17963.309999999998</v>
      </c>
      <c r="G2" s="5">
        <v>15032.7</v>
      </c>
      <c r="H2" s="5">
        <v>3883.1884854619457</v>
      </c>
      <c r="I2" s="5">
        <v>4040.292689677508</v>
      </c>
      <c r="J2" s="5">
        <v>1840.7336172014309</v>
      </c>
      <c r="K2" s="5">
        <v>1840.8626059905891</v>
      </c>
      <c r="L2" s="5">
        <v>1076.6814026666739</v>
      </c>
      <c r="M2" s="5">
        <v>1189.452853698034</v>
      </c>
    </row>
    <row r="3" spans="1:13" ht="15" customHeight="1">
      <c r="A3" s="1" t="s">
        <v>54</v>
      </c>
      <c r="B3" s="1" t="s">
        <v>123</v>
      </c>
      <c r="C3" s="25" t="s">
        <v>102</v>
      </c>
      <c r="D3" s="1" t="s">
        <v>124</v>
      </c>
      <c r="E3" s="24" t="s">
        <v>105</v>
      </c>
      <c r="F3" s="5">
        <v>3111.05</v>
      </c>
      <c r="G3" s="5">
        <v>4814.55</v>
      </c>
      <c r="H3" s="5">
        <v>3375.1361007111814</v>
      </c>
      <c r="I3" s="5">
        <v>3459.7256289923039</v>
      </c>
      <c r="J3" s="5">
        <v>1332.6211520181118</v>
      </c>
      <c r="K3" s="5">
        <v>1260.2955453053848</v>
      </c>
      <c r="L3" s="5">
        <v>562.59087064106961</v>
      </c>
      <c r="M3" s="5">
        <v>608.88579301283005</v>
      </c>
    </row>
    <row r="4" spans="1:13" ht="15" customHeight="1">
      <c r="A4" s="1" t="s">
        <v>54</v>
      </c>
      <c r="B4" s="1" t="s">
        <v>123</v>
      </c>
      <c r="C4" s="25" t="s">
        <v>102</v>
      </c>
      <c r="D4" s="1" t="s">
        <v>124</v>
      </c>
      <c r="E4" s="24" t="s">
        <v>106</v>
      </c>
      <c r="F4" s="5">
        <v>6838.65</v>
      </c>
      <c r="G4" s="5">
        <v>2631.25</v>
      </c>
      <c r="H4" s="5">
        <v>3650.6684591236522</v>
      </c>
      <c r="I4" s="5">
        <v>3806.1231061910576</v>
      </c>
      <c r="J4" s="5">
        <v>1607.3817485980094</v>
      </c>
      <c r="K4" s="5">
        <v>1606.6930225041385</v>
      </c>
      <c r="L4" s="5">
        <v>760.56034529756619</v>
      </c>
      <c r="M4" s="5">
        <v>955.28327021158384</v>
      </c>
    </row>
    <row r="5" spans="1:13" ht="15" customHeight="1">
      <c r="A5" s="1" t="s">
        <v>54</v>
      </c>
      <c r="B5" s="1" t="s">
        <v>123</v>
      </c>
      <c r="C5" s="25" t="s">
        <v>102</v>
      </c>
      <c r="D5" s="1" t="s">
        <v>124</v>
      </c>
      <c r="E5" s="24" t="s">
        <v>107</v>
      </c>
      <c r="F5" s="5">
        <v>1729.41</v>
      </c>
      <c r="G5" s="5">
        <v>2057.1999999999998</v>
      </c>
      <c r="H5" s="5">
        <v>3567.8030708669908</v>
      </c>
      <c r="I5" s="5">
        <v>3449.2205645530835</v>
      </c>
      <c r="J5" s="5">
        <v>1521.0559927431141</v>
      </c>
      <c r="K5" s="5">
        <v>1247.6931095553889</v>
      </c>
      <c r="L5" s="5">
        <v>829.42975450736617</v>
      </c>
      <c r="M5" s="5">
        <v>595.38346048068286</v>
      </c>
    </row>
    <row r="6" spans="1:13" ht="15" customHeight="1">
      <c r="A6" s="1" t="s">
        <v>54</v>
      </c>
      <c r="B6" s="1" t="s">
        <v>123</v>
      </c>
      <c r="C6" s="25" t="s">
        <v>102</v>
      </c>
      <c r="D6" s="1" t="s">
        <v>124</v>
      </c>
      <c r="E6" s="26" t="s">
        <v>103</v>
      </c>
      <c r="F6" s="27">
        <v>29642.419999999991</v>
      </c>
      <c r="G6" s="27">
        <v>24535.700000000004</v>
      </c>
      <c r="H6" s="27">
        <v>3757.8232103072223</v>
      </c>
      <c r="I6" s="27">
        <v>3851.6988678433381</v>
      </c>
      <c r="J6" s="27">
        <v>1714.9197085682024</v>
      </c>
      <c r="K6" s="27">
        <v>1652.0929296969775</v>
      </c>
      <c r="L6" s="27">
        <v>935.37033253546724</v>
      </c>
      <c r="M6" s="27">
        <v>1000.6077254034506</v>
      </c>
    </row>
    <row r="7" spans="1:13" ht="15" customHeight="1">
      <c r="A7" s="1" t="s">
        <v>54</v>
      </c>
      <c r="B7" s="1" t="s">
        <v>123</v>
      </c>
      <c r="C7" s="25" t="s">
        <v>125</v>
      </c>
      <c r="D7" s="1" t="s">
        <v>124</v>
      </c>
      <c r="E7" s="24" t="s">
        <v>104</v>
      </c>
      <c r="F7" s="5">
        <v>2997.1</v>
      </c>
      <c r="G7" s="5">
        <v>1103.75</v>
      </c>
      <c r="H7" s="5">
        <v>3842.9351277034025</v>
      </c>
      <c r="I7" s="5">
        <v>3880.5639422808667</v>
      </c>
      <c r="J7" s="5">
        <v>1790.6601285132308</v>
      </c>
      <c r="K7" s="5">
        <v>1667.1401753383145</v>
      </c>
      <c r="L7" s="5">
        <v>1101.0899971190072</v>
      </c>
      <c r="M7" s="5">
        <v>1185.5918603905682</v>
      </c>
    </row>
    <row r="8" spans="1:13" ht="15" customHeight="1">
      <c r="A8" s="1" t="s">
        <v>54</v>
      </c>
      <c r="B8" s="1" t="s">
        <v>123</v>
      </c>
      <c r="C8" s="25" t="s">
        <v>125</v>
      </c>
      <c r="D8" s="1" t="s">
        <v>124</v>
      </c>
      <c r="E8" s="24" t="s">
        <v>105</v>
      </c>
      <c r="F8" s="5">
        <v>301</v>
      </c>
      <c r="G8" s="5">
        <v>304.39999999999998</v>
      </c>
      <c r="H8" s="5">
        <v>3579.8722238682026</v>
      </c>
      <c r="I8" s="5">
        <v>3755.4374253952269</v>
      </c>
      <c r="J8" s="5">
        <v>1537.0039227903985</v>
      </c>
      <c r="K8" s="5">
        <v>1556.0073417083081</v>
      </c>
      <c r="L8" s="5">
        <v>731.81470388525395</v>
      </c>
      <c r="M8" s="5">
        <v>904.59758941575342</v>
      </c>
    </row>
    <row r="9" spans="1:13" ht="15" customHeight="1">
      <c r="A9" s="1" t="s">
        <v>54</v>
      </c>
      <c r="B9" s="1" t="s">
        <v>123</v>
      </c>
      <c r="C9" s="25" t="s">
        <v>125</v>
      </c>
      <c r="D9" s="1" t="s">
        <v>124</v>
      </c>
      <c r="E9" s="24" t="s">
        <v>106</v>
      </c>
      <c r="F9" s="5">
        <v>533</v>
      </c>
      <c r="G9" s="5">
        <v>149</v>
      </c>
      <c r="H9" s="5">
        <v>3760.0744309473307</v>
      </c>
      <c r="I9" s="5">
        <v>3981.4160654844782</v>
      </c>
      <c r="J9" s="5">
        <v>1705.5806931513052</v>
      </c>
      <c r="K9" s="5">
        <v>1776.7515087428653</v>
      </c>
      <c r="L9" s="5">
        <v>1002.3343179789752</v>
      </c>
      <c r="M9" s="5">
        <v>1188.8800758884802</v>
      </c>
    </row>
    <row r="10" spans="1:13" ht="15" customHeight="1">
      <c r="A10" s="1" t="s">
        <v>54</v>
      </c>
      <c r="B10" s="1" t="s">
        <v>123</v>
      </c>
      <c r="C10" s="25" t="s">
        <v>125</v>
      </c>
      <c r="D10" s="1" t="s">
        <v>124</v>
      </c>
      <c r="E10" s="24" t="s">
        <v>107</v>
      </c>
      <c r="F10" s="5">
        <v>42</v>
      </c>
      <c r="G10" s="5">
        <v>420</v>
      </c>
      <c r="H10" s="5">
        <v>3428.7974390764116</v>
      </c>
      <c r="I10" s="5">
        <v>3900.3564152668914</v>
      </c>
      <c r="J10" s="5">
        <v>1387.6111390665042</v>
      </c>
      <c r="K10" s="5">
        <v>1700.9263315799726</v>
      </c>
      <c r="L10" s="5">
        <v>749.78281263954273</v>
      </c>
      <c r="M10" s="5">
        <v>1049.5165792874177</v>
      </c>
    </row>
    <row r="11" spans="1:13" ht="15" customHeight="1">
      <c r="A11" s="1" t="s">
        <v>54</v>
      </c>
      <c r="B11" s="1" t="s">
        <v>123</v>
      </c>
      <c r="C11" s="25" t="s">
        <v>125</v>
      </c>
      <c r="D11" s="1" t="s">
        <v>124</v>
      </c>
      <c r="E11" s="26" t="s">
        <v>103</v>
      </c>
      <c r="F11" s="27">
        <v>3873.1</v>
      </c>
      <c r="G11" s="27">
        <v>1977.15</v>
      </c>
      <c r="H11" s="27">
        <v>3806.5971895278549</v>
      </c>
      <c r="I11" s="27">
        <v>3873.1043632259029</v>
      </c>
      <c r="J11" s="27">
        <v>1754.8681493422202</v>
      </c>
      <c r="K11" s="27">
        <v>1665.4677881859993</v>
      </c>
      <c r="L11" s="27">
        <v>1054.9916412817877</v>
      </c>
      <c r="M11" s="27">
        <v>1113.6720110929084</v>
      </c>
    </row>
    <row r="12" spans="1:13" ht="15" customHeight="1">
      <c r="A12" s="1" t="s">
        <v>54</v>
      </c>
      <c r="B12" s="1" t="s">
        <v>126</v>
      </c>
      <c r="C12" s="25" t="s">
        <v>102</v>
      </c>
      <c r="D12" s="1" t="s">
        <v>124</v>
      </c>
      <c r="E12" s="24" t="s">
        <v>104</v>
      </c>
      <c r="F12" s="5">
        <v>20846.099999999999</v>
      </c>
      <c r="G12" s="5">
        <v>15752.85</v>
      </c>
      <c r="H12" s="5">
        <f>78311888.9677391/F12</f>
        <v>3756.6685839432371</v>
      </c>
      <c r="I12" s="5">
        <f>61146124.2981684/G12</f>
        <v>3881.5912230592176</v>
      </c>
      <c r="J12" s="5">
        <f>36540996.0909589/F12</f>
        <v>1752.8936391439599</v>
      </c>
      <c r="K12" s="5">
        <f>27214935.1312948/G12</f>
        <v>1727.6197723773666</v>
      </c>
      <c r="L12" s="5">
        <f>23808071.5339444/F12</f>
        <v>1142.0875623711102</v>
      </c>
      <c r="M12" s="5">
        <f>18123027.9085306/G12</f>
        <v>1150.4602601136048</v>
      </c>
    </row>
    <row r="13" spans="1:13" ht="15" customHeight="1">
      <c r="A13" s="1" t="s">
        <v>54</v>
      </c>
      <c r="B13" s="1" t="s">
        <v>126</v>
      </c>
      <c r="C13" s="25" t="s">
        <v>102</v>
      </c>
      <c r="D13" s="1" t="s">
        <v>124</v>
      </c>
      <c r="E13" s="24" t="s">
        <v>105</v>
      </c>
      <c r="F13" s="5">
        <v>2137.5</v>
      </c>
      <c r="G13" s="5">
        <v>4719.8499999999995</v>
      </c>
      <c r="H13" s="5">
        <f>6766821.21792633/F13</f>
        <v>3165.7643124801543</v>
      </c>
      <c r="I13" s="5">
        <f>15112669.3918683/G13</f>
        <v>3201.938492085194</v>
      </c>
      <c r="J13" s="5">
        <f>2483790.95072044/F13</f>
        <v>1162.0074623253522</v>
      </c>
      <c r="K13" s="5">
        <f>4946247.24036757/G13</f>
        <v>1047.9670414033435</v>
      </c>
      <c r="L13" s="5">
        <f>1189582.8582617/F13</f>
        <v>556.52999216921637</v>
      </c>
      <c r="M13" s="5">
        <f>2222140.91640943/G13</f>
        <v>470.80752913957656</v>
      </c>
    </row>
    <row r="14" spans="1:13" ht="15" customHeight="1">
      <c r="A14" s="1" t="s">
        <v>54</v>
      </c>
      <c r="B14" s="1" t="s">
        <v>126</v>
      </c>
      <c r="C14" s="25" t="s">
        <v>102</v>
      </c>
      <c r="D14" s="1" t="s">
        <v>124</v>
      </c>
      <c r="E14" s="24" t="s">
        <v>106</v>
      </c>
      <c r="F14" s="5">
        <v>8150.7</v>
      </c>
      <c r="G14" s="5">
        <v>3597.45</v>
      </c>
      <c r="H14" s="5">
        <f>28811447.9325336/F14</f>
        <v>3534.8433794071184</v>
      </c>
      <c r="I14" s="5">
        <f>13186007.6080408/G14</f>
        <v>3665.3761992635896</v>
      </c>
      <c r="J14" s="5">
        <f>12479063.5262816/F14</f>
        <v>1531.0419382729829</v>
      </c>
      <c r="K14" s="5">
        <f>5436231.38926446/G14</f>
        <v>1511.1346618478256</v>
      </c>
      <c r="L14" s="5">
        <f>7436968.31052733/F14</f>
        <v>912.43308065900237</v>
      </c>
      <c r="M14" s="5">
        <f>3360614.38684266/G14</f>
        <v>934.1656970472585</v>
      </c>
    </row>
    <row r="15" spans="1:13" ht="15" customHeight="1">
      <c r="A15" s="1" t="s">
        <v>54</v>
      </c>
      <c r="B15" s="1" t="s">
        <v>126</v>
      </c>
      <c r="C15" s="25" t="s">
        <v>102</v>
      </c>
      <c r="D15" s="1" t="s">
        <v>124</v>
      </c>
      <c r="E15" s="24" t="s">
        <v>107</v>
      </c>
      <c r="F15" s="5">
        <v>2637.36</v>
      </c>
      <c r="G15" s="5">
        <v>2636.9</v>
      </c>
      <c r="H15" s="5">
        <f>8758887.84439041/F15</f>
        <v>3321.0816287463263</v>
      </c>
      <c r="I15" s="5">
        <f>9359766.98916878/G15</f>
        <v>3549.5342975345216</v>
      </c>
      <c r="J15" s="5">
        <f>3483727.42585551/F15</f>
        <v>1320.9146365515173</v>
      </c>
      <c r="K15" s="5">
        <f>3650726.88243286/G15</f>
        <v>1384.4768032283589</v>
      </c>
      <c r="L15" s="5">
        <f>1977800.47204574/F15</f>
        <v>749.91676223410536</v>
      </c>
      <c r="M15" s="5">
        <f>2149438.834504/G15</f>
        <v>815.13854696954752</v>
      </c>
    </row>
    <row r="16" spans="1:13" ht="15" customHeight="1">
      <c r="A16" s="1" t="s">
        <v>54</v>
      </c>
      <c r="B16" s="1" t="s">
        <v>126</v>
      </c>
      <c r="C16" s="25" t="s">
        <v>102</v>
      </c>
      <c r="D16" s="1" t="s">
        <v>124</v>
      </c>
      <c r="E16" s="26" t="s">
        <v>103</v>
      </c>
      <c r="F16" s="27">
        <v>33771.660000000003</v>
      </c>
      <c r="G16" s="27">
        <v>26707.05</v>
      </c>
      <c r="H16" s="27">
        <f>122649045.962589/F16</f>
        <v>3631.7150522831566</v>
      </c>
      <c r="I16" s="27">
        <f>98804568.2872463/G16</f>
        <v>3699.5687763061178</v>
      </c>
      <c r="J16" s="27">
        <f>54987577.9938165/F16</f>
        <v>1628.2166169449918</v>
      </c>
      <c r="K16" s="27">
        <f>41248140.6433597/G16</f>
        <v>1544.4663728625849</v>
      </c>
      <c r="L16" s="27">
        <f>34412423.1747792/F16</f>
        <v>1018.9733988432666</v>
      </c>
      <c r="M16" s="27">
        <f>25855222.0462867/G16</f>
        <v>968.10475310027493</v>
      </c>
    </row>
    <row r="17" spans="1:13" ht="15" customHeight="1">
      <c r="A17" s="1" t="s">
        <v>54</v>
      </c>
      <c r="B17" s="1" t="s">
        <v>126</v>
      </c>
      <c r="C17" s="25" t="s">
        <v>125</v>
      </c>
      <c r="D17" s="1" t="s">
        <v>124</v>
      </c>
      <c r="E17" s="24" t="s">
        <v>104</v>
      </c>
      <c r="F17" s="5">
        <v>3345.7</v>
      </c>
      <c r="G17" s="5">
        <v>1541.1000000000001</v>
      </c>
      <c r="H17" s="5">
        <f>12051544.6729168/F17</f>
        <v>3602.0996123133577</v>
      </c>
      <c r="I17" s="5">
        <f>5673526.52093821/G17</f>
        <v>3681.4785029772302</v>
      </c>
      <c r="J17" s="5">
        <f>5233636.26482439/F17</f>
        <v>1564.2873732924024</v>
      </c>
      <c r="K17" s="5">
        <f>2278451.81009574/G17</f>
        <v>1478.4581208849133</v>
      </c>
      <c r="L17" s="5">
        <f>3427139.14268363/F17</f>
        <v>1024.3414360772424</v>
      </c>
      <c r="M17" s="5">
        <f>1566987.77629711/G17</f>
        <v>1016.7982456019141</v>
      </c>
    </row>
    <row r="18" spans="1:13" ht="15" customHeight="1">
      <c r="A18" s="1" t="s">
        <v>54</v>
      </c>
      <c r="B18" s="1" t="s">
        <v>126</v>
      </c>
      <c r="C18" s="25" t="s">
        <v>125</v>
      </c>
      <c r="D18" s="1" t="s">
        <v>124</v>
      </c>
      <c r="E18" s="24" t="s">
        <v>105</v>
      </c>
      <c r="F18" s="5">
        <v>177</v>
      </c>
      <c r="G18" s="5">
        <v>267.10000000000002</v>
      </c>
      <c r="H18" s="5">
        <f>557255.729230769/F18</f>
        <v>3148.3374532811808</v>
      </c>
      <c r="I18" s="5">
        <f>936987.088901938/G18</f>
        <v>3508.0010816246272</v>
      </c>
      <c r="J18" s="5">
        <f>202590.042461247/F18</f>
        <v>1144.5765110804916</v>
      </c>
      <c r="K18" s="5">
        <f>361661.314424816/G18</f>
        <v>1354.0296309427779</v>
      </c>
      <c r="L18" s="5">
        <f>95207.2368684408/F18</f>
        <v>537.8939936070102</v>
      </c>
      <c r="M18" s="5">
        <f>207502.008699164/G18</f>
        <v>776.87011867901151</v>
      </c>
    </row>
    <row r="19" spans="1:13" ht="15" customHeight="1">
      <c r="A19" s="1" t="s">
        <v>54</v>
      </c>
      <c r="B19" s="1" t="s">
        <v>126</v>
      </c>
      <c r="C19" s="25" t="s">
        <v>125</v>
      </c>
      <c r="D19" s="1" t="s">
        <v>124</v>
      </c>
      <c r="E19" s="24" t="s">
        <v>106</v>
      </c>
      <c r="F19" s="5">
        <v>773</v>
      </c>
      <c r="G19" s="5">
        <v>143.69999999999999</v>
      </c>
      <c r="H19" s="5">
        <f>2779522.88745487/F19</f>
        <v>3595.7605271084994</v>
      </c>
      <c r="I19" s="5">
        <f>570701.174545124/G19</f>
        <v>3971.4765104044823</v>
      </c>
      <c r="J19" s="5">
        <f>1216166.77239676/F19</f>
        <v>1573.3075968910221</v>
      </c>
      <c r="K19" s="5">
        <f>257730.27801078/G19</f>
        <v>1793.5301183770355</v>
      </c>
      <c r="L19" s="5">
        <f>754974.242601298/F19</f>
        <v>976.68077956183447</v>
      </c>
      <c r="M19" s="5">
        <f>182905.155613555/G19</f>
        <v>1272.8264134554977</v>
      </c>
    </row>
    <row r="20" spans="1:13" ht="15" customHeight="1">
      <c r="A20" s="1" t="s">
        <v>54</v>
      </c>
      <c r="B20" s="1" t="s">
        <v>126</v>
      </c>
      <c r="C20" s="25" t="s">
        <v>125</v>
      </c>
      <c r="D20" s="1" t="s">
        <v>124</v>
      </c>
      <c r="E20" s="24" t="s">
        <v>107</v>
      </c>
      <c r="F20" s="5">
        <v>42</v>
      </c>
      <c r="G20" s="5">
        <v>589.75</v>
      </c>
      <c r="H20" s="5">
        <f>148672.648966088/F20</f>
        <v>3539.8249753830473</v>
      </c>
      <c r="I20" s="5">
        <f>2192734.99506548/G20</f>
        <v>3718.07544733443</v>
      </c>
      <c r="J20" s="5">
        <f>64520.4080023046/F20</f>
        <v>1536.2001905310619</v>
      </c>
      <c r="K20" s="5">
        <f>922430.332025858/G20</f>
        <v>1564.1039966525782</v>
      </c>
      <c r="L20" s="5">
        <f>40723.788391003/F20</f>
        <v>969.61400930959519</v>
      </c>
      <c r="M20" s="5">
        <f>582050.509668302/G20</f>
        <v>986.94448438881227</v>
      </c>
    </row>
    <row r="21" spans="1:13" ht="15" customHeight="1">
      <c r="A21" s="1" t="s">
        <v>54</v>
      </c>
      <c r="B21" s="1" t="s">
        <v>126</v>
      </c>
      <c r="C21" s="25" t="s">
        <v>125</v>
      </c>
      <c r="D21" s="1" t="s">
        <v>124</v>
      </c>
      <c r="E21" s="26" t="s">
        <v>103</v>
      </c>
      <c r="F21" s="27">
        <v>4337.7</v>
      </c>
      <c r="G21" s="27">
        <v>2541.65</v>
      </c>
      <c r="H21" s="27">
        <f>15536995.9385686/F21</f>
        <v>3581.8511973093114</v>
      </c>
      <c r="I21" s="27">
        <f>9373949.77945076/G21</f>
        <v>3688.1355731319259</v>
      </c>
      <c r="J21" s="27">
        <f>6716913.48768471/F21</f>
        <v>1548.4965506339097</v>
      </c>
      <c r="K21" s="27">
        <f>3820273.73455719/G21</f>
        <v>1503.0683747003677</v>
      </c>
      <c r="L21" s="27">
        <f>4318044.41054437/F21</f>
        <v>995.46866093652636</v>
      </c>
      <c r="M21" s="27">
        <f>2539445.45027813/G21</f>
        <v>999.1326304873329</v>
      </c>
    </row>
    <row r="22" spans="1:13" ht="15" customHeight="1">
      <c r="A22" s="1" t="s">
        <v>54</v>
      </c>
      <c r="B22" s="1" t="s">
        <v>127</v>
      </c>
      <c r="C22" s="25" t="s">
        <v>102</v>
      </c>
      <c r="D22" s="1" t="s">
        <v>124</v>
      </c>
      <c r="E22" s="24" t="s">
        <v>104</v>
      </c>
      <c r="F22" s="5">
        <v>21842.449999999997</v>
      </c>
      <c r="G22" s="5">
        <v>16875.55</v>
      </c>
      <c r="H22" s="5">
        <f>81006107.0595302/F22</f>
        <v>3708.6548010653664</v>
      </c>
      <c r="I22" s="5">
        <f>65652190.4340218/G22</f>
        <v>3890.3733765134648</v>
      </c>
      <c r="J22" s="5">
        <f>36767836.1735476/F22</f>
        <v>1683.3201483142966</v>
      </c>
      <c r="K22" s="5">
        <f>28967876.4752129/G22</f>
        <v>1716.558955128153</v>
      </c>
      <c r="L22" s="5">
        <f>23312991.4641742/F22</f>
        <v>1067.3249321469982</v>
      </c>
      <c r="M22" s="5">
        <f>19906124.4635629/G22</f>
        <v>1179.5837447409358</v>
      </c>
    </row>
    <row r="23" spans="1:13" ht="15" customHeight="1">
      <c r="A23" s="1" t="s">
        <v>54</v>
      </c>
      <c r="B23" s="1" t="s">
        <v>127</v>
      </c>
      <c r="C23" s="25" t="s">
        <v>102</v>
      </c>
      <c r="D23" s="1" t="s">
        <v>124</v>
      </c>
      <c r="E23" s="24" t="s">
        <v>105</v>
      </c>
      <c r="F23" s="5">
        <v>1903.0500000000002</v>
      </c>
      <c r="G23" s="5">
        <v>3221.95</v>
      </c>
      <c r="H23" s="5">
        <f>6040947.04757117/F23</f>
        <v>3174.3501471696327</v>
      </c>
      <c r="I23" s="5">
        <f>10784985.6295842/G23</f>
        <v>3347.3472988668977</v>
      </c>
      <c r="J23" s="5">
        <f>2185754.06160213/F23</f>
        <v>1148.5531444797193</v>
      </c>
      <c r="K23" s="5">
        <f>3781064.25460183/G23</f>
        <v>1173.5328774815966</v>
      </c>
      <c r="L23" s="5">
        <f>987668.961595252/F23</f>
        <v>518.99264948122857</v>
      </c>
      <c r="M23" s="5">
        <f>2050956.97549474/G23</f>
        <v>636.5576670943808</v>
      </c>
    </row>
    <row r="24" spans="1:13" ht="15" customHeight="1">
      <c r="A24" s="1" t="s">
        <v>54</v>
      </c>
      <c r="B24" s="1" t="s">
        <v>127</v>
      </c>
      <c r="C24" s="25" t="s">
        <v>102</v>
      </c>
      <c r="D24" s="1" t="s">
        <v>124</v>
      </c>
      <c r="E24" s="24" t="s">
        <v>106</v>
      </c>
      <c r="F24" s="5">
        <v>7375.7</v>
      </c>
      <c r="G24" s="5">
        <v>3718.7499999999995</v>
      </c>
      <c r="H24" s="5">
        <f>25384442.6382656/F24</f>
        <v>3441.6316604885774</v>
      </c>
      <c r="I24" s="5">
        <f>13482726.4763633/G24</f>
        <v>3625.6071196943331</v>
      </c>
      <c r="J24" s="5">
        <f>10442699.3882971/F24</f>
        <v>1415.8248557149966</v>
      </c>
      <c r="K24" s="5">
        <f>5398563.50549998/G24</f>
        <v>1451.7145561008354</v>
      </c>
      <c r="L24" s="5">
        <f>5783845.17278772/F24</f>
        <v>784.17576267848756</v>
      </c>
      <c r="M24" s="5">
        <f>3400320.8143911/G24</f>
        <v>914.37198370180852</v>
      </c>
    </row>
    <row r="25" spans="1:13" ht="15" customHeight="1">
      <c r="A25" s="1" t="s">
        <v>54</v>
      </c>
      <c r="B25" s="1" t="s">
        <v>127</v>
      </c>
      <c r="C25" s="25" t="s">
        <v>102</v>
      </c>
      <c r="D25" s="1" t="s">
        <v>124</v>
      </c>
      <c r="E25" s="24" t="s">
        <v>107</v>
      </c>
      <c r="F25" s="5">
        <v>3006.43</v>
      </c>
      <c r="G25" s="5">
        <v>2402.85</v>
      </c>
      <c r="H25" s="5">
        <f>9892614.34204527/F25</f>
        <v>3290.4855067456319</v>
      </c>
      <c r="I25" s="5">
        <f>8404651.99449742/G25</f>
        <v>3497.7847116954536</v>
      </c>
      <c r="J25" s="5">
        <f>3819949.8544984/F25</f>
        <v>1270.5933131649165</v>
      </c>
      <c r="K25" s="5">
        <f>3168911.19747366/G25</f>
        <v>1318.8135744943131</v>
      </c>
      <c r="L25" s="5">
        <f>2192017.22391978/F25</f>
        <v>729.10968288627384</v>
      </c>
      <c r="M25" s="5">
        <f>1820388.63738698/G25</f>
        <v>757.59562077823421</v>
      </c>
    </row>
    <row r="26" spans="1:13" ht="15" customHeight="1">
      <c r="A26" s="1" t="s">
        <v>54</v>
      </c>
      <c r="B26" s="1" t="s">
        <v>127</v>
      </c>
      <c r="C26" s="25" t="s">
        <v>102</v>
      </c>
      <c r="D26" s="1" t="s">
        <v>124</v>
      </c>
      <c r="E26" s="26" t="s">
        <v>103</v>
      </c>
      <c r="F26" s="27">
        <v>34127.62999999999</v>
      </c>
      <c r="G26" s="27">
        <v>26219.1</v>
      </c>
      <c r="H26" s="27">
        <f>122324111.087412/F26</f>
        <v>3584.313094328907</v>
      </c>
      <c r="I26" s="27">
        <f>98324554.5344668/G26</f>
        <v>3750.111732838534</v>
      </c>
      <c r="J26" s="27">
        <f>53216239.4779452/F26</f>
        <v>1559.3300641722035</v>
      </c>
      <c r="K26" s="27">
        <f>41316415.4327884/G26</f>
        <v>1575.8136409254475</v>
      </c>
      <c r="L26" s="27">
        <f>32276522.822477/F26</f>
        <v>945.75928133529965</v>
      </c>
      <c r="M26" s="27">
        <f>27177790.8908357/G26</f>
        <v>1036.5645995032514</v>
      </c>
    </row>
    <row r="27" spans="1:13" ht="15" customHeight="1">
      <c r="A27" s="1" t="s">
        <v>54</v>
      </c>
      <c r="B27" s="1" t="s">
        <v>127</v>
      </c>
      <c r="C27" s="25" t="s">
        <v>125</v>
      </c>
      <c r="D27" s="1" t="s">
        <v>124</v>
      </c>
      <c r="E27" s="24" t="s">
        <v>104</v>
      </c>
      <c r="F27" s="5">
        <v>2941.3</v>
      </c>
      <c r="G27" s="5">
        <v>1501</v>
      </c>
      <c r="H27" s="5">
        <f>10955201.7835792/F27</f>
        <v>3724.6121727056743</v>
      </c>
      <c r="I27" s="5">
        <f>5485355.80897405/G27</f>
        <v>3654.4675609420719</v>
      </c>
      <c r="J27" s="5">
        <f>4941681.30343599/F27</f>
        <v>1680.1010789229217</v>
      </c>
      <c r="K27" s="5">
        <f>2141360.81403936/G27</f>
        <v>1426.6227941634643</v>
      </c>
      <c r="L27" s="5">
        <f>3238848.95953877/F27</f>
        <v>1101.1623974224899</v>
      </c>
      <c r="M27" s="5">
        <f>1530138.13470534/G27</f>
        <v>1019.4124814825716</v>
      </c>
    </row>
    <row r="28" spans="1:13" ht="15" customHeight="1">
      <c r="A28" s="1" t="s">
        <v>54</v>
      </c>
      <c r="B28" s="1" t="s">
        <v>127</v>
      </c>
      <c r="C28" s="25" t="s">
        <v>125</v>
      </c>
      <c r="D28" s="1" t="s">
        <v>124</v>
      </c>
      <c r="E28" s="24" t="s">
        <v>105</v>
      </c>
      <c r="F28" s="5">
        <v>237</v>
      </c>
      <c r="G28" s="5">
        <v>365.5</v>
      </c>
      <c r="H28" s="5">
        <f>740694.023176265/F28</f>
        <v>3125.291237030654</v>
      </c>
      <c r="I28" s="5">
        <f>1285563.44082636/G28</f>
        <v>3517.2734359134333</v>
      </c>
      <c r="J28" s="5">
        <f>260836.487514618/F28</f>
        <v>1100.575896686152</v>
      </c>
      <c r="K28" s="5">
        <f>491034.26981003/G28</f>
        <v>1343.4590145281259</v>
      </c>
      <c r="L28" s="5">
        <f>119152.03794093/F28</f>
        <v>502.75121494063291</v>
      </c>
      <c r="M28" s="5">
        <f>294769.830413502/G28</f>
        <v>806.48380414090832</v>
      </c>
    </row>
    <row r="29" spans="1:13" ht="15" customHeight="1">
      <c r="A29" s="1" t="s">
        <v>54</v>
      </c>
      <c r="B29" s="1" t="s">
        <v>127</v>
      </c>
      <c r="C29" s="25" t="s">
        <v>125</v>
      </c>
      <c r="D29" s="1" t="s">
        <v>124</v>
      </c>
      <c r="E29" s="24" t="s">
        <v>106</v>
      </c>
      <c r="F29" s="5">
        <v>1133.45</v>
      </c>
      <c r="G29" s="5">
        <v>193.3</v>
      </c>
      <c r="H29" s="5">
        <f>4051558.47863389/F29</f>
        <v>3574.5365729709206</v>
      </c>
      <c r="I29" s="5">
        <f>767255.433665211/G29</f>
        <v>3969.2469408443399</v>
      </c>
      <c r="J29" s="5">
        <f>1736661.65863281/F29</f>
        <v>1532.1907967998675</v>
      </c>
      <c r="K29" s="5">
        <f>340428.960671953/G29</f>
        <v>1761.1430971130521</v>
      </c>
      <c r="L29" s="5">
        <f>1016288.2320317/F29</f>
        <v>896.6326102004499</v>
      </c>
      <c r="M29" s="5">
        <f>252550.495807791/G29</f>
        <v>1306.5209302006776</v>
      </c>
    </row>
    <row r="30" spans="1:13" ht="15" customHeight="1">
      <c r="A30" s="1" t="s">
        <v>54</v>
      </c>
      <c r="B30" s="1" t="s">
        <v>127</v>
      </c>
      <c r="C30" s="25" t="s">
        <v>125</v>
      </c>
      <c r="D30" s="1" t="s">
        <v>124</v>
      </c>
      <c r="E30" s="24" t="s">
        <v>107</v>
      </c>
      <c r="F30" s="5">
        <v>40</v>
      </c>
      <c r="G30" s="5">
        <v>397</v>
      </c>
      <c r="H30" s="5">
        <f>136109.75793211/F30</f>
        <v>3402.7439483027497</v>
      </c>
      <c r="I30" s="5">
        <f>1402666.25217177/G30</f>
        <v>3533.1643631530728</v>
      </c>
      <c r="J30" s="5">
        <f>55219.3273695041/F30</f>
        <v>1380.4831842376025</v>
      </c>
      <c r="K30" s="5">
        <f>539661.9268818/G30</f>
        <v>1359.3499417677583</v>
      </c>
      <c r="L30" s="5">
        <f>34187.016301338/F30</f>
        <v>854.67540753344997</v>
      </c>
      <c r="M30" s="5">
        <f>326482.768358075/G30</f>
        <v>822.37473138054156</v>
      </c>
    </row>
    <row r="31" spans="1:13" ht="15" customHeight="1">
      <c r="A31" s="1" t="s">
        <v>54</v>
      </c>
      <c r="B31" s="1" t="s">
        <v>127</v>
      </c>
      <c r="C31" s="25" t="s">
        <v>125</v>
      </c>
      <c r="D31" s="1" t="s">
        <v>124</v>
      </c>
      <c r="E31" s="26" t="s">
        <v>103</v>
      </c>
      <c r="F31" s="27">
        <v>4351.75</v>
      </c>
      <c r="G31" s="27">
        <v>2456.8000000000002</v>
      </c>
      <c r="H31" s="27">
        <f>15883564.0433214/F31</f>
        <v>3649.9256720449016</v>
      </c>
      <c r="I31" s="27">
        <f>8940840.9356374/G31</f>
        <v>3639.2221327081566</v>
      </c>
      <c r="J31" s="27">
        <f>6994398.77695291/F31</f>
        <v>1607.261165497308</v>
      </c>
      <c r="K31" s="27">
        <f>3512485.97140315/G31</f>
        <v>1429.6995976079247</v>
      </c>
      <c r="L31" s="27">
        <f>4408476.24581274/F31</f>
        <v>1013.0352722037663</v>
      </c>
      <c r="M31" s="27">
        <f>2403941.22928471/G31</f>
        <v>978.48470745877137</v>
      </c>
    </row>
    <row r="32" spans="1:13">
      <c r="A32" s="1" t="s">
        <v>54</v>
      </c>
      <c r="B32" s="1" t="s">
        <v>128</v>
      </c>
      <c r="C32" s="1" t="s">
        <v>102</v>
      </c>
      <c r="D32" s="1" t="s">
        <v>124</v>
      </c>
      <c r="E32" s="24" t="s">
        <v>103</v>
      </c>
      <c r="F32" s="1">
        <v>27982</v>
      </c>
      <c r="G32" s="1">
        <v>22817</v>
      </c>
      <c r="L32" s="1">
        <v>800</v>
      </c>
      <c r="M32" s="1">
        <v>815</v>
      </c>
    </row>
    <row r="33" spans="1:13">
      <c r="A33" s="1" t="s">
        <v>54</v>
      </c>
      <c r="B33" s="1" t="s">
        <v>129</v>
      </c>
      <c r="C33" s="1" t="s">
        <v>102</v>
      </c>
      <c r="D33" s="1" t="s">
        <v>124</v>
      </c>
      <c r="E33" s="24" t="s">
        <v>103</v>
      </c>
      <c r="F33" s="1">
        <v>21400</v>
      </c>
      <c r="G33" s="1">
        <v>19631</v>
      </c>
      <c r="L33" s="1">
        <v>594</v>
      </c>
      <c r="M33" s="1">
        <v>711</v>
      </c>
    </row>
    <row r="34" spans="1:13">
      <c r="A34" s="1" t="s">
        <v>54</v>
      </c>
      <c r="B34" s="1" t="s">
        <v>128</v>
      </c>
      <c r="C34" s="1" t="s">
        <v>125</v>
      </c>
      <c r="D34" s="1" t="s">
        <v>124</v>
      </c>
      <c r="E34" s="24" t="s">
        <v>103</v>
      </c>
      <c r="F34" s="1">
        <v>3556</v>
      </c>
      <c r="G34" s="1">
        <v>2362</v>
      </c>
      <c r="L34" s="1">
        <v>837</v>
      </c>
      <c r="M34" s="1">
        <v>824</v>
      </c>
    </row>
    <row r="35" spans="1:13">
      <c r="A35" s="1" t="s">
        <v>54</v>
      </c>
      <c r="B35" s="1" t="s">
        <v>129</v>
      </c>
      <c r="C35" s="1" t="s">
        <v>125</v>
      </c>
      <c r="D35" s="1" t="s">
        <v>124</v>
      </c>
      <c r="E35" s="24" t="s">
        <v>103</v>
      </c>
      <c r="F35" s="1">
        <v>2081</v>
      </c>
      <c r="G35" s="1">
        <v>2160</v>
      </c>
      <c r="L35" s="1">
        <v>636</v>
      </c>
      <c r="M35" s="1">
        <v>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2BAF-D366-4E79-8A24-64F4F44798FC}">
  <sheetPr filterMode="1"/>
  <dimension ref="A1:AQ40"/>
  <sheetViews>
    <sheetView topLeftCell="K1" workbookViewId="0">
      <selection activeCell="AO29" sqref="AO29"/>
    </sheetView>
  </sheetViews>
  <sheetFormatPr defaultRowHeight="15"/>
  <cols>
    <col min="2" max="2" width="19.140625" customWidth="1"/>
    <col min="3" max="4" width="10" bestFit="1" customWidth="1"/>
    <col min="7" max="8" width="10" bestFit="1" customWidth="1"/>
    <col min="11" max="12" width="11" bestFit="1" customWidth="1"/>
    <col min="13" max="13" width="10" bestFit="1" customWidth="1"/>
    <col min="15" max="16" width="10" bestFit="1" customWidth="1"/>
    <col min="23" max="23" width="18.85546875" customWidth="1"/>
    <col min="25" max="26" width="10" bestFit="1" customWidth="1"/>
    <col min="29" max="29" width="19" customWidth="1"/>
    <col min="31" max="32" width="10" bestFit="1" customWidth="1"/>
    <col min="36" max="36" width="23.42578125" customWidth="1"/>
    <col min="37" max="37" width="18.42578125" customWidth="1"/>
    <col min="38" max="38" width="23.5703125" bestFit="1" customWidth="1"/>
    <col min="39" max="39" width="12.42578125" bestFit="1" customWidth="1"/>
    <col min="41" max="41" width="12.42578125" bestFit="1" customWidth="1"/>
    <col min="42" max="43" width="10" bestFit="1" customWidth="1"/>
  </cols>
  <sheetData>
    <row r="1" spans="1:43">
      <c r="A1" t="s">
        <v>130</v>
      </c>
      <c r="C1" s="18">
        <v>290.63484269969786</v>
      </c>
      <c r="D1" s="18">
        <v>370.31159462469196</v>
      </c>
      <c r="E1" s="18">
        <v>-79.676751924994107</v>
      </c>
      <c r="G1" s="18">
        <v>438.9401075044093</v>
      </c>
      <c r="H1" s="18">
        <v>502.66090760410816</v>
      </c>
      <c r="I1" s="18">
        <v>-63.720800099698863</v>
      </c>
      <c r="K1" s="18">
        <v>95.948133310198301</v>
      </c>
      <c r="L1" s="18">
        <v>207.16242478019612</v>
      </c>
      <c r="M1" s="18">
        <v>-111.21429146999782</v>
      </c>
      <c r="O1" s="18">
        <v>497.57137846703239</v>
      </c>
      <c r="P1" s="18">
        <v>576.27072858560859</v>
      </c>
      <c r="Q1" s="18">
        <v>-78.699350118576206</v>
      </c>
      <c r="AL1" t="s">
        <v>131</v>
      </c>
      <c r="AO1" t="s">
        <v>132</v>
      </c>
    </row>
    <row r="2" spans="1:43">
      <c r="A2" t="s">
        <v>133</v>
      </c>
      <c r="C2" s="18">
        <v>332.52660380238422</v>
      </c>
      <c r="D2" s="18">
        <v>383.98170206781469</v>
      </c>
      <c r="E2" s="18">
        <v>-51.455098265430479</v>
      </c>
      <c r="G2" s="18">
        <v>329.63778796366557</v>
      </c>
      <c r="H2" s="18">
        <v>395.80128750732786</v>
      </c>
      <c r="I2" s="18">
        <v>-66.163499543662283</v>
      </c>
      <c r="K2" s="18">
        <v>337.71101413516419</v>
      </c>
      <c r="L2" s="18">
        <v>364.043182056327</v>
      </c>
      <c r="M2" s="18">
        <v>-26.332167921162807</v>
      </c>
      <c r="O2" s="18">
        <v>324.1434716222833</v>
      </c>
      <c r="P2" s="18">
        <v>378.60277417191304</v>
      </c>
      <c r="Q2" s="18">
        <v>-54.45930254962974</v>
      </c>
      <c r="AJ2" t="s">
        <v>134</v>
      </c>
      <c r="AK2" t="s">
        <v>135</v>
      </c>
      <c r="AL2" s="19">
        <v>45505</v>
      </c>
      <c r="AM2" s="19">
        <v>45474</v>
      </c>
      <c r="AN2" t="s">
        <v>136</v>
      </c>
      <c r="AO2" s="19">
        <v>45505</v>
      </c>
      <c r="AP2" s="19">
        <v>45474</v>
      </c>
      <c r="AQ2" t="s">
        <v>136</v>
      </c>
    </row>
    <row r="3" spans="1:43">
      <c r="A3" t="s">
        <v>137</v>
      </c>
      <c r="C3" s="18">
        <v>175.78777734673929</v>
      </c>
      <c r="D3" s="18">
        <v>385.88914009842802</v>
      </c>
      <c r="E3" s="18">
        <v>-210.10136275168873</v>
      </c>
      <c r="G3" s="18">
        <v>550.72481031539485</v>
      </c>
      <c r="H3" s="18">
        <v>676.7422525576568</v>
      </c>
      <c r="I3" s="18">
        <v>-126.01744224226195</v>
      </c>
      <c r="K3" s="18">
        <v>38.448935826316578</v>
      </c>
      <c r="L3" s="18">
        <v>232.43598821372564</v>
      </c>
      <c r="M3" s="18">
        <v>-193.98705238740905</v>
      </c>
      <c r="O3" s="18">
        <v>593.89886140873273</v>
      </c>
      <c r="P3" s="18">
        <v>800.40073921272017</v>
      </c>
      <c r="Q3" s="18">
        <v>-206.50187780398744</v>
      </c>
      <c r="AJ3" t="s">
        <v>49</v>
      </c>
      <c r="AK3" t="s">
        <v>124</v>
      </c>
      <c r="AL3" s="18">
        <v>497.57137846703239</v>
      </c>
      <c r="AM3" s="18">
        <v>576.27072858560859</v>
      </c>
      <c r="AN3" s="18">
        <v>-78.699350118576206</v>
      </c>
      <c r="AO3" s="18">
        <v>56.002831816849657</v>
      </c>
      <c r="AP3" s="18">
        <v>128.42284693016461</v>
      </c>
      <c r="AQ3" s="18">
        <v>-72.420015113314946</v>
      </c>
    </row>
    <row r="4" spans="1:43" hidden="1">
      <c r="A4" t="s">
        <v>138</v>
      </c>
      <c r="C4" s="18">
        <v>-345.18468221679143</v>
      </c>
      <c r="D4" s="18">
        <v>-242.76380250427314</v>
      </c>
      <c r="E4" s="18">
        <v>-102.42087971251829</v>
      </c>
      <c r="G4" s="18">
        <v>-34.64751633613055</v>
      </c>
      <c r="H4" s="18">
        <v>75.480202821902495</v>
      </c>
      <c r="I4" s="18">
        <v>-110.12771915803305</v>
      </c>
      <c r="K4" s="18">
        <v>-347.78813709803484</v>
      </c>
      <c r="L4" s="18">
        <v>-245.83151554825415</v>
      </c>
      <c r="M4" s="18">
        <v>-101.95662154978069</v>
      </c>
      <c r="O4" s="18">
        <v>-170.93381448568891</v>
      </c>
      <c r="P4" s="18">
        <v>-93.499516875343971</v>
      </c>
      <c r="Q4" s="18">
        <v>-77.434297610344942</v>
      </c>
      <c r="AJ4" t="s">
        <v>49</v>
      </c>
      <c r="AK4" t="s">
        <v>139</v>
      </c>
      <c r="AL4" s="18">
        <v>87.612075768520896</v>
      </c>
      <c r="AM4" s="18">
        <v>182.78756164831717</v>
      </c>
      <c r="AN4" s="18">
        <v>-95.17548587979627</v>
      </c>
      <c r="AO4" s="18">
        <v>87.061753015805834</v>
      </c>
      <c r="AP4" s="18">
        <v>179.18100259771049</v>
      </c>
      <c r="AQ4" s="18">
        <v>-92.119249581904654</v>
      </c>
    </row>
    <row r="5" spans="1:43">
      <c r="A5" t="s">
        <v>140</v>
      </c>
      <c r="C5" s="18">
        <v>-27.003715744374333</v>
      </c>
      <c r="D5" s="18">
        <v>46.782203671065062</v>
      </c>
      <c r="E5" s="18">
        <v>-73.785919415439395</v>
      </c>
      <c r="G5" s="18">
        <v>-20.215651866164045</v>
      </c>
      <c r="H5" s="18">
        <v>44.464902894066384</v>
      </c>
      <c r="I5" s="18">
        <v>-64.680554760230422</v>
      </c>
      <c r="K5" s="18">
        <v>-202.68822797374193</v>
      </c>
      <c r="L5" s="18">
        <v>288.6207632859809</v>
      </c>
      <c r="M5" s="18">
        <v>-491.3089912597228</v>
      </c>
      <c r="O5" s="18">
        <v>-62.905862290131196</v>
      </c>
      <c r="P5" s="18">
        <v>2.871126499796159</v>
      </c>
      <c r="Q5" s="18">
        <v>-65.776988789927358</v>
      </c>
      <c r="AJ5" t="s">
        <v>141</v>
      </c>
      <c r="AK5" t="s">
        <v>124</v>
      </c>
      <c r="AL5" s="18">
        <v>324.1434716222833</v>
      </c>
      <c r="AM5" s="18">
        <v>378.60277417191304</v>
      </c>
      <c r="AN5" s="18">
        <v>-54.45930254962974</v>
      </c>
      <c r="AO5" s="18">
        <v>315.73037566001193</v>
      </c>
      <c r="AP5" s="18">
        <v>366.09251946280182</v>
      </c>
      <c r="AQ5" s="18">
        <v>-50.362143802789888</v>
      </c>
    </row>
    <row r="6" spans="1:43" hidden="1">
      <c r="A6" t="s">
        <v>142</v>
      </c>
      <c r="C6" s="18">
        <v>128.1100419962001</v>
      </c>
      <c r="D6" s="18">
        <v>136.39912717397235</v>
      </c>
      <c r="E6" s="18">
        <v>-8.2890851777722503</v>
      </c>
      <c r="G6" s="18">
        <v>177.04790313894139</v>
      </c>
      <c r="H6" s="18">
        <v>177.81675367951959</v>
      </c>
      <c r="I6" s="18">
        <v>-0.76885054057819957</v>
      </c>
      <c r="K6" s="18">
        <v>-164.55632335684669</v>
      </c>
      <c r="L6" s="18">
        <v>-31.71660096848737</v>
      </c>
      <c r="M6" s="18">
        <v>-132.83972238835932</v>
      </c>
      <c r="O6" s="18">
        <v>94.387579315018471</v>
      </c>
      <c r="P6" s="18">
        <v>122.19367191415944</v>
      </c>
      <c r="Q6" s="18">
        <v>-27.806092599140968</v>
      </c>
      <c r="AJ6" t="s">
        <v>141</v>
      </c>
      <c r="AK6" t="s">
        <v>139</v>
      </c>
      <c r="AL6" s="18">
        <v>0</v>
      </c>
      <c r="AM6" s="18">
        <v>1222.1148860759486</v>
      </c>
      <c r="AN6" s="18">
        <v>0</v>
      </c>
      <c r="AO6" s="18">
        <v>420.12339545557717</v>
      </c>
      <c r="AP6" s="18">
        <v>354.8001335007749</v>
      </c>
      <c r="AQ6" s="18">
        <v>65.323261954802263</v>
      </c>
    </row>
    <row r="7" spans="1:43">
      <c r="A7" t="s">
        <v>143</v>
      </c>
      <c r="C7" s="18">
        <v>60.90621669216398</v>
      </c>
      <c r="D7" s="18">
        <v>155.77079827166057</v>
      </c>
      <c r="E7" s="18">
        <v>-94.864581579496587</v>
      </c>
      <c r="G7" s="18">
        <v>140.32450519781187</v>
      </c>
      <c r="H7" s="18">
        <v>171.84079248679794</v>
      </c>
      <c r="I7" s="18">
        <v>-31.516287288986064</v>
      </c>
      <c r="K7" s="18">
        <v>-228.37360150520578</v>
      </c>
      <c r="L7" s="18">
        <v>-41.670994289777113</v>
      </c>
      <c r="M7" s="18">
        <v>-186.70260721542866</v>
      </c>
      <c r="O7" s="18">
        <v>77.435329556141724</v>
      </c>
      <c r="P7" s="18">
        <v>129.49017831225325</v>
      </c>
      <c r="Q7" s="18">
        <v>-52.054848756111525</v>
      </c>
      <c r="W7" t="s">
        <v>49</v>
      </c>
      <c r="X7" t="s">
        <v>124</v>
      </c>
      <c r="Y7" s="18">
        <v>497.57137846703239</v>
      </c>
      <c r="Z7" s="18">
        <v>576.27072858560859</v>
      </c>
      <c r="AA7" s="18">
        <v>-78.699350118576206</v>
      </c>
      <c r="AC7" t="s">
        <v>49</v>
      </c>
      <c r="AD7" t="s">
        <v>124</v>
      </c>
      <c r="AE7" s="18">
        <v>497.57137846703239</v>
      </c>
      <c r="AF7" s="18">
        <v>576.27072858560859</v>
      </c>
      <c r="AG7" s="18">
        <v>-78.699350118576206</v>
      </c>
      <c r="AJ7" t="s">
        <v>54</v>
      </c>
      <c r="AK7" t="s">
        <v>124</v>
      </c>
      <c r="AL7" s="18">
        <v>593.89886140873273</v>
      </c>
      <c r="AM7" s="18">
        <v>800.40073921272017</v>
      </c>
      <c r="AN7" s="18">
        <v>-206.50187780398744</v>
      </c>
      <c r="AO7" s="18">
        <v>110.90636220072551</v>
      </c>
      <c r="AP7" s="18">
        <v>393.81902814731512</v>
      </c>
      <c r="AQ7" s="18">
        <v>-282.91266594658964</v>
      </c>
    </row>
    <row r="8" spans="1:43" hidden="1">
      <c r="A8" t="s">
        <v>144</v>
      </c>
      <c r="C8" s="18">
        <v>-44.224150220562983</v>
      </c>
      <c r="D8" s="18">
        <v>-35.959548596946718</v>
      </c>
      <c r="E8" s="18">
        <v>-8.2646016236162652</v>
      </c>
      <c r="G8" s="18">
        <v>-37.711770853299882</v>
      </c>
      <c r="H8" s="18">
        <v>-30.529280478425662</v>
      </c>
      <c r="I8" s="18">
        <v>-7.1824903748742202</v>
      </c>
      <c r="K8" s="18">
        <v>-161.87813129753093</v>
      </c>
      <c r="L8" s="18">
        <v>-147.96226252212563</v>
      </c>
      <c r="M8" s="18">
        <v>-13.915868775405301</v>
      </c>
      <c r="O8" s="18">
        <v>-141.78561921364329</v>
      </c>
      <c r="P8" s="18">
        <v>-115.38822861107518</v>
      </c>
      <c r="Q8" s="18">
        <v>-26.397390602568109</v>
      </c>
      <c r="W8" t="s">
        <v>141</v>
      </c>
      <c r="X8" t="s">
        <v>124</v>
      </c>
      <c r="Y8" s="18">
        <v>324.1434716222833</v>
      </c>
      <c r="Z8" s="18">
        <v>378.60277417191304</v>
      </c>
      <c r="AA8" s="18">
        <v>-54.45930254962974</v>
      </c>
      <c r="AD8" t="s">
        <v>145</v>
      </c>
      <c r="AE8" s="18">
        <v>457.7261071640919</v>
      </c>
      <c r="AF8" s="18">
        <v>485.89030070760089</v>
      </c>
      <c r="AG8" s="18">
        <v>-28.164193543508986</v>
      </c>
      <c r="AJ8" t="s">
        <v>54</v>
      </c>
      <c r="AK8" t="s">
        <v>139</v>
      </c>
      <c r="AL8" s="18">
        <v>227.50328334132428</v>
      </c>
      <c r="AM8" s="18">
        <v>340.20685947865542</v>
      </c>
      <c r="AN8" s="18">
        <v>-112.70357613733114</v>
      </c>
      <c r="AO8" s="18">
        <v>-7.9838610596207165</v>
      </c>
      <c r="AP8" s="18">
        <v>158.68260797734465</v>
      </c>
      <c r="AQ8" s="18">
        <v>-166.66646903696537</v>
      </c>
    </row>
    <row r="9" spans="1:43">
      <c r="A9" t="s">
        <v>146</v>
      </c>
      <c r="C9" s="18">
        <v>48.955736999134686</v>
      </c>
      <c r="D9" s="18">
        <v>30.029522410219005</v>
      </c>
      <c r="E9" s="18">
        <v>18.926214588915681</v>
      </c>
      <c r="G9" s="18">
        <v>112.29513249065916</v>
      </c>
      <c r="H9" s="18">
        <v>44.954907633866178</v>
      </c>
      <c r="I9" s="18">
        <v>67.340224856792986</v>
      </c>
      <c r="K9" s="18">
        <v>-214.48214336685655</v>
      </c>
      <c r="L9" s="18">
        <v>-42.656809403240011</v>
      </c>
      <c r="M9" s="18">
        <v>-171.82533396361654</v>
      </c>
      <c r="O9" s="18">
        <v>36.481625098904011</v>
      </c>
      <c r="P9" s="18">
        <v>-19.227910990180273</v>
      </c>
      <c r="Q9" s="18">
        <v>55.709536089084281</v>
      </c>
      <c r="W9" t="s">
        <v>54</v>
      </c>
      <c r="X9" t="s">
        <v>124</v>
      </c>
      <c r="Y9" s="18">
        <v>593.89886140873273</v>
      </c>
      <c r="Z9" s="18">
        <v>800.40073921272017</v>
      </c>
      <c r="AA9" s="18">
        <v>-206.50187780398744</v>
      </c>
      <c r="AC9" t="s">
        <v>141</v>
      </c>
      <c r="AD9" t="s">
        <v>124</v>
      </c>
      <c r="AE9" s="18">
        <v>324.1434716222833</v>
      </c>
      <c r="AF9" s="18">
        <v>378.60277417191304</v>
      </c>
      <c r="AG9" s="18">
        <v>-54.45930254962974</v>
      </c>
      <c r="AJ9" t="s">
        <v>69</v>
      </c>
      <c r="AK9" t="s">
        <v>124</v>
      </c>
      <c r="AL9" s="18">
        <v>-170.93381448568891</v>
      </c>
      <c r="AM9" s="18">
        <v>-93.499516875343971</v>
      </c>
      <c r="AN9" s="18">
        <v>-77.434297610344942</v>
      </c>
      <c r="AO9" s="18">
        <v>-322.08109657017968</v>
      </c>
      <c r="AP9" s="18">
        <v>-237.67116995658395</v>
      </c>
      <c r="AQ9" s="18">
        <v>-84.409926613595729</v>
      </c>
    </row>
    <row r="10" spans="1:43" hidden="1">
      <c r="A10" t="s">
        <v>147</v>
      </c>
      <c r="C10" s="18">
        <v>-68.557559909006102</v>
      </c>
      <c r="D10" s="18">
        <v>-16.958150506002671</v>
      </c>
      <c r="E10" s="18">
        <v>-51.599409403003435</v>
      </c>
      <c r="G10" s="18">
        <v>-71.726855092363479</v>
      </c>
      <c r="H10" s="18">
        <v>-38.329509588592586</v>
      </c>
      <c r="I10" s="18">
        <v>-33.397345503770893</v>
      </c>
      <c r="K10" s="18">
        <v>-63.317010164075121</v>
      </c>
      <c r="L10" s="18">
        <v>13.499519214905154</v>
      </c>
      <c r="M10" s="18">
        <v>-76.816529378980277</v>
      </c>
      <c r="O10" s="18">
        <v>-105.30237735183617</v>
      </c>
      <c r="P10" s="18">
        <v>-71.523569398115185</v>
      </c>
      <c r="Q10" s="18">
        <v>-33.778807953720985</v>
      </c>
      <c r="W10" t="s">
        <v>69</v>
      </c>
      <c r="X10" t="s">
        <v>124</v>
      </c>
      <c r="Y10" s="18">
        <v>-170.93381448568891</v>
      </c>
      <c r="Z10" s="18">
        <v>-93.499516875343971</v>
      </c>
      <c r="AA10" s="18">
        <v>-77.434297610344942</v>
      </c>
      <c r="AD10" t="s">
        <v>145</v>
      </c>
      <c r="AE10" s="18">
        <v>341.28692892565658</v>
      </c>
      <c r="AF10" s="18">
        <v>435.1724405619135</v>
      </c>
      <c r="AG10" s="18">
        <v>-93.885511636256922</v>
      </c>
      <c r="AJ10" t="s">
        <v>69</v>
      </c>
      <c r="AK10" t="s">
        <v>139</v>
      </c>
      <c r="AL10" s="18">
        <v>0</v>
      </c>
      <c r="AM10" s="18">
        <v>0</v>
      </c>
      <c r="AN10" s="18">
        <v>0</v>
      </c>
      <c r="AO10" s="18">
        <v>-358.33129249986996</v>
      </c>
      <c r="AP10" s="18">
        <v>-250.09304000121489</v>
      </c>
      <c r="AQ10" s="18">
        <v>-108.23825249865507</v>
      </c>
    </row>
    <row r="11" spans="1:43">
      <c r="A11" t="s">
        <v>148</v>
      </c>
      <c r="C11" s="18">
        <v>143.51961130192183</v>
      </c>
      <c r="D11" s="18">
        <v>289.82644147581675</v>
      </c>
      <c r="E11" s="18">
        <v>-146.30683017389492</v>
      </c>
      <c r="G11" s="18">
        <v>336.50166986462051</v>
      </c>
      <c r="H11" s="18">
        <v>426.29934361802202</v>
      </c>
      <c r="I11" s="18">
        <v>-89.797673753401511</v>
      </c>
      <c r="K11" s="18">
        <v>-10.348591019499791</v>
      </c>
      <c r="L11" s="18">
        <v>162.58273656224392</v>
      </c>
      <c r="M11" s="18">
        <v>-172.93132758174372</v>
      </c>
      <c r="O11" s="18">
        <v>0</v>
      </c>
      <c r="P11" s="18">
        <v>0</v>
      </c>
      <c r="Q11" s="18">
        <v>0</v>
      </c>
      <c r="W11" t="s">
        <v>56</v>
      </c>
      <c r="X11" t="s">
        <v>124</v>
      </c>
      <c r="Y11" s="18">
        <v>-62.905862290131196</v>
      </c>
      <c r="Z11" s="18">
        <v>2.871126499796159</v>
      </c>
      <c r="AA11" s="18">
        <v>-65.776988789927358</v>
      </c>
      <c r="AC11" t="s">
        <v>54</v>
      </c>
      <c r="AD11" t="s">
        <v>124</v>
      </c>
      <c r="AE11" s="18">
        <v>593.89886140873273</v>
      </c>
      <c r="AF11" s="18">
        <v>800.40073921272017</v>
      </c>
      <c r="AG11" s="18">
        <v>-206.50187780398744</v>
      </c>
      <c r="AJ11" t="s">
        <v>56</v>
      </c>
      <c r="AK11" t="s">
        <v>124</v>
      </c>
      <c r="AL11" s="18">
        <v>-62.905862290131196</v>
      </c>
      <c r="AM11" s="18">
        <v>2.871126499796159</v>
      </c>
      <c r="AN11" s="18">
        <v>-65.776988789927358</v>
      </c>
      <c r="AO11" s="18">
        <v>-201.24213504286934</v>
      </c>
      <c r="AP11" s="18">
        <v>288.6207632859809</v>
      </c>
      <c r="AQ11" s="18">
        <v>-489.86289832885024</v>
      </c>
    </row>
    <row r="12" spans="1:43" hidden="1">
      <c r="A12" t="s">
        <v>149</v>
      </c>
      <c r="C12" s="18">
        <v>0</v>
      </c>
      <c r="D12" s="18">
        <v>553.61588124065645</v>
      </c>
      <c r="E12" s="18">
        <v>-553.61588124065645</v>
      </c>
      <c r="G12" s="18">
        <v>0</v>
      </c>
      <c r="H12" s="18">
        <v>0</v>
      </c>
      <c r="I12" s="18">
        <v>0</v>
      </c>
      <c r="K12" s="18">
        <v>0</v>
      </c>
      <c r="L12" s="18">
        <v>553.61588124065645</v>
      </c>
      <c r="M12" s="18">
        <v>-553.61588124065645</v>
      </c>
      <c r="O12" s="18">
        <v>480.29273814089095</v>
      </c>
      <c r="P12" s="18">
        <v>678.58921558633244</v>
      </c>
      <c r="Q12" s="18">
        <v>-198.2964774454415</v>
      </c>
      <c r="W12" t="s">
        <v>57</v>
      </c>
      <c r="X12" t="s">
        <v>124</v>
      </c>
      <c r="Y12" s="18">
        <v>94.387579315018471</v>
      </c>
      <c r="Z12" s="18">
        <v>122.19367191415944</v>
      </c>
      <c r="AA12" s="18">
        <v>-27.806092599140968</v>
      </c>
      <c r="AD12" t="s">
        <v>145</v>
      </c>
      <c r="AE12" s="18">
        <v>710.89826834165979</v>
      </c>
      <c r="AF12" s="18">
        <v>814.61514885549923</v>
      </c>
      <c r="AG12" s="18">
        <v>-103.71688051383944</v>
      </c>
      <c r="AJ12" t="s">
        <v>56</v>
      </c>
      <c r="AK12" t="s">
        <v>139</v>
      </c>
      <c r="AL12" s="18">
        <v>123.14987899885422</v>
      </c>
      <c r="AM12" s="18">
        <v>80.940129864003467</v>
      </c>
      <c r="AN12" s="18">
        <v>42.209749134850753</v>
      </c>
      <c r="AO12" s="18">
        <v>-1285.0887867318816</v>
      </c>
      <c r="AP12" s="18">
        <v>0</v>
      </c>
      <c r="AQ12" s="18">
        <v>-1285.0887867318816</v>
      </c>
    </row>
    <row r="13" spans="1:43">
      <c r="A13" t="s">
        <v>150</v>
      </c>
      <c r="C13" s="18">
        <v>555.04266797733351</v>
      </c>
      <c r="D13" s="18">
        <v>733.51275277627917</v>
      </c>
      <c r="E13" s="18">
        <v>-178.47008479894566</v>
      </c>
      <c r="G13" s="18">
        <v>560.04681836629334</v>
      </c>
      <c r="H13" s="18">
        <v>728.0489612844076</v>
      </c>
      <c r="I13" s="18">
        <v>-168.00214291811426</v>
      </c>
      <c r="K13" s="18">
        <v>538.49614785303606</v>
      </c>
      <c r="L13" s="18">
        <v>750.99429105562626</v>
      </c>
      <c r="M13" s="18">
        <v>-212.4981432025902</v>
      </c>
      <c r="O13" s="18">
        <v>-46.724276036258331</v>
      </c>
      <c r="P13" s="18">
        <v>101.41480937991403</v>
      </c>
      <c r="Q13" s="18">
        <v>-148.13908541617235</v>
      </c>
      <c r="W13" t="s">
        <v>151</v>
      </c>
      <c r="X13" t="s">
        <v>124</v>
      </c>
      <c r="Y13" s="18">
        <v>77.435329556141724</v>
      </c>
      <c r="Z13" s="18">
        <v>129.49017831225325</v>
      </c>
      <c r="AA13" s="18">
        <v>-52.054848756111525</v>
      </c>
      <c r="AC13" t="s">
        <v>69</v>
      </c>
      <c r="AD13" t="s">
        <v>124</v>
      </c>
      <c r="AE13" s="18">
        <v>-170.93381448568891</v>
      </c>
      <c r="AF13" s="18">
        <v>-93.499516875343971</v>
      </c>
      <c r="AG13" s="18">
        <v>-77.434297610344942</v>
      </c>
      <c r="AJ13" t="s">
        <v>57</v>
      </c>
      <c r="AK13" t="s">
        <v>124</v>
      </c>
      <c r="AL13" s="18">
        <v>94.387579315018471</v>
      </c>
      <c r="AM13" s="18">
        <v>122.19367191415944</v>
      </c>
      <c r="AN13" s="18">
        <v>-27.806092599140968</v>
      </c>
      <c r="AO13" s="18">
        <v>-211.35213192339057</v>
      </c>
      <c r="AP13" s="18">
        <v>-26.096461033991517</v>
      </c>
      <c r="AQ13" s="18">
        <v>-185.25567088939906</v>
      </c>
    </row>
    <row r="14" spans="1:43" hidden="1">
      <c r="A14" t="s">
        <v>152</v>
      </c>
      <c r="C14" s="18">
        <v>370.41443190659288</v>
      </c>
      <c r="D14" s="18">
        <v>524.65259935031884</v>
      </c>
      <c r="E14" s="18">
        <v>-154.23816744372596</v>
      </c>
      <c r="G14" s="18">
        <v>415.59672145826232</v>
      </c>
      <c r="H14" s="18">
        <v>541.98430959883854</v>
      </c>
      <c r="I14" s="18">
        <v>-126.38758814057621</v>
      </c>
      <c r="K14" s="18">
        <v>294.61002081958804</v>
      </c>
      <c r="L14" s="18">
        <v>388.27104588806236</v>
      </c>
      <c r="M14" s="18">
        <v>-93.661025068474316</v>
      </c>
      <c r="O14" s="18">
        <v>333.89659876647715</v>
      </c>
      <c r="P14" s="18">
        <v>429.65215812418217</v>
      </c>
      <c r="Q14" s="18">
        <v>-95.75555935770501</v>
      </c>
      <c r="W14" t="s">
        <v>153</v>
      </c>
      <c r="X14" t="s">
        <v>124</v>
      </c>
      <c r="Y14" s="18">
        <v>-141.78561921364329</v>
      </c>
      <c r="Z14" s="18">
        <v>-115.38822861107518</v>
      </c>
      <c r="AA14" s="18">
        <v>-26.397390602568109</v>
      </c>
      <c r="AD14" t="s">
        <v>145</v>
      </c>
      <c r="AE14" s="18">
        <v>-170.29088205395448</v>
      </c>
      <c r="AF14" s="18">
        <v>-198.06803328716447</v>
      </c>
      <c r="AG14" s="18">
        <v>27.777151233209992</v>
      </c>
      <c r="AJ14" t="s">
        <v>57</v>
      </c>
      <c r="AK14" t="s">
        <v>139</v>
      </c>
      <c r="AL14" s="18">
        <v>126.59510805960446</v>
      </c>
      <c r="AM14" s="18">
        <v>39.347988416517815</v>
      </c>
      <c r="AN14" s="18">
        <v>87.247119643086648</v>
      </c>
      <c r="AO14" s="18">
        <v>254.57117950144834</v>
      </c>
      <c r="AP14" s="18">
        <v>-36.968189494902894</v>
      </c>
      <c r="AQ14" s="18">
        <v>291.53936899635124</v>
      </c>
    </row>
    <row r="15" spans="1:43">
      <c r="A15" t="s">
        <v>133</v>
      </c>
      <c r="C15" s="18">
        <v>352.71614711654678</v>
      </c>
      <c r="D15" s="18">
        <v>454.32000945138384</v>
      </c>
      <c r="E15" s="18">
        <v>-101.60386233483706</v>
      </c>
      <c r="G15" s="18">
        <v>351.79323077296681</v>
      </c>
      <c r="H15" s="18">
        <v>458.2654370857432</v>
      </c>
      <c r="I15" s="18">
        <v>-106.47220631277639</v>
      </c>
      <c r="K15" s="18">
        <v>354.77058150477916</v>
      </c>
      <c r="L15" s="18">
        <v>446.76138601537031</v>
      </c>
      <c r="M15" s="18">
        <v>-91.990804510591147</v>
      </c>
      <c r="O15" s="18">
        <v>369.6629533750463</v>
      </c>
      <c r="P15" s="18">
        <v>502.44364863131085</v>
      </c>
      <c r="Q15" s="18">
        <v>-132.78069525626455</v>
      </c>
      <c r="W15" t="s">
        <v>154</v>
      </c>
      <c r="X15" t="s">
        <v>124</v>
      </c>
      <c r="Y15" s="18">
        <v>36.481625098904011</v>
      </c>
      <c r="Z15" s="18">
        <v>-19.227910990180273</v>
      </c>
      <c r="AA15" s="18">
        <v>55.709536089084281</v>
      </c>
      <c r="AC15" t="s">
        <v>56</v>
      </c>
      <c r="AD15" t="s">
        <v>124</v>
      </c>
      <c r="AE15" s="18">
        <v>-62.905862290131196</v>
      </c>
      <c r="AF15" s="18">
        <v>2.871126499796159</v>
      </c>
      <c r="AG15" s="18">
        <v>-65.776988789927358</v>
      </c>
      <c r="AJ15" t="s">
        <v>151</v>
      </c>
      <c r="AK15" t="s">
        <v>124</v>
      </c>
      <c r="AL15" s="18">
        <v>77.435329556141724</v>
      </c>
      <c r="AM15" s="18">
        <v>129.49017831225325</v>
      </c>
      <c r="AN15" s="18">
        <v>-52.054848756111525</v>
      </c>
      <c r="AO15" s="18">
        <v>-228.37360150520578</v>
      </c>
      <c r="AP15" s="18">
        <v>-41.670994289777113</v>
      </c>
      <c r="AQ15" s="18">
        <v>-186.70260721542866</v>
      </c>
    </row>
    <row r="16" spans="1:43" hidden="1">
      <c r="A16" t="s">
        <v>138</v>
      </c>
      <c r="C16" s="18">
        <v>372.98451753872939</v>
      </c>
      <c r="D16" s="18">
        <v>504.7528615130488</v>
      </c>
      <c r="E16" s="18">
        <v>-131.76834397431941</v>
      </c>
      <c r="G16" s="18">
        <v>394.50762899432647</v>
      </c>
      <c r="H16" s="18">
        <v>517.36376111125401</v>
      </c>
      <c r="I16" s="18">
        <v>-122.85613211692754</v>
      </c>
      <c r="K16" s="18">
        <v>332.63167149721568</v>
      </c>
      <c r="L16" s="18">
        <v>469.86008746995014</v>
      </c>
      <c r="M16" s="18">
        <v>-137.22841597273447</v>
      </c>
      <c r="O16" s="18">
        <v>32.763276178639686</v>
      </c>
      <c r="P16" s="18">
        <v>121.35418812621462</v>
      </c>
      <c r="Q16" s="18">
        <v>-88.590911947574938</v>
      </c>
      <c r="W16" t="s">
        <v>155</v>
      </c>
      <c r="X16" t="s">
        <v>124</v>
      </c>
      <c r="Y16" s="18">
        <v>-105.30237735183617</v>
      </c>
      <c r="Z16" s="18">
        <v>-71.523569398115185</v>
      </c>
      <c r="AA16" s="18">
        <v>-33.778807953720985</v>
      </c>
      <c r="AD16" t="s">
        <v>145</v>
      </c>
      <c r="AE16" s="18">
        <v>22.942865315434233</v>
      </c>
      <c r="AF16" s="18">
        <v>91.558925712514963</v>
      </c>
      <c r="AG16" s="18">
        <v>-68.61606039708073</v>
      </c>
      <c r="AJ16" t="s">
        <v>151</v>
      </c>
      <c r="AK16" t="s">
        <v>139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</row>
    <row r="17" spans="1:43">
      <c r="A17" t="s">
        <v>156</v>
      </c>
      <c r="C17" s="18">
        <v>61.357936496283507</v>
      </c>
      <c r="D17" s="18">
        <v>215.37085207716856</v>
      </c>
      <c r="E17" s="18">
        <v>-154.01291558088505</v>
      </c>
      <c r="G17" s="18">
        <v>145.74838630802114</v>
      </c>
      <c r="H17" s="18">
        <v>228.98466939597748</v>
      </c>
      <c r="I17" s="18">
        <v>-83.236283087956338</v>
      </c>
      <c r="K17" s="18">
        <v>-68.748072521938013</v>
      </c>
      <c r="L17" s="18">
        <v>196.54216948986618</v>
      </c>
      <c r="M17" s="18">
        <v>-265.2902420118042</v>
      </c>
      <c r="O17" s="18">
        <v>-1564.7184531702103</v>
      </c>
      <c r="P17" s="18">
        <v>-1465.1763815761699</v>
      </c>
      <c r="Q17" s="18">
        <v>-99.542071594040408</v>
      </c>
      <c r="W17" t="s">
        <v>71</v>
      </c>
      <c r="X17" t="s">
        <v>124</v>
      </c>
      <c r="Y17" s="18">
        <v>0</v>
      </c>
      <c r="Z17" s="18">
        <v>0</v>
      </c>
      <c r="AA17" s="18">
        <v>0</v>
      </c>
      <c r="AC17" t="s">
        <v>57</v>
      </c>
      <c r="AD17" t="s">
        <v>124</v>
      </c>
      <c r="AE17" s="18">
        <v>94.387579315018471</v>
      </c>
      <c r="AF17" s="18">
        <v>122.19367191415944</v>
      </c>
      <c r="AG17" s="18">
        <v>-27.806092599140968</v>
      </c>
      <c r="AJ17" t="s">
        <v>153</v>
      </c>
      <c r="AK17" t="s">
        <v>124</v>
      </c>
      <c r="AL17" s="18">
        <v>-141.78561921364329</v>
      </c>
      <c r="AM17" s="18">
        <v>-115.38822861107518</v>
      </c>
      <c r="AN17" s="18">
        <v>-26.397390602568109</v>
      </c>
      <c r="AO17" s="18">
        <v>-170.50342257326619</v>
      </c>
      <c r="AP17" s="18">
        <v>-147.96226252212563</v>
      </c>
      <c r="AQ17" s="18">
        <v>-22.541160051140565</v>
      </c>
    </row>
    <row r="18" spans="1:43" hidden="1">
      <c r="A18" t="s">
        <v>157</v>
      </c>
      <c r="C18" s="18">
        <v>360.08264917689121</v>
      </c>
      <c r="D18" s="18">
        <v>522.93154583278829</v>
      </c>
      <c r="E18" s="18">
        <v>-162.84889665589708</v>
      </c>
      <c r="G18" s="18">
        <v>410.74998065719694</v>
      </c>
      <c r="H18" s="18">
        <v>551.1648715902702</v>
      </c>
      <c r="I18" s="18">
        <v>-140.41489093307325</v>
      </c>
      <c r="K18" s="18">
        <v>244.07808994741202</v>
      </c>
      <c r="L18" s="18">
        <v>457.73228949853063</v>
      </c>
      <c r="M18" s="18">
        <v>-213.65419955111861</v>
      </c>
      <c r="W18" t="s">
        <v>66</v>
      </c>
      <c r="X18" t="s">
        <v>124</v>
      </c>
      <c r="Y18" s="18">
        <v>480.29273814089095</v>
      </c>
      <c r="Z18" s="18">
        <v>678.58921558633244</v>
      </c>
      <c r="AA18" s="18">
        <v>-198.2964774454415</v>
      </c>
      <c r="AD18" t="s">
        <v>145</v>
      </c>
      <c r="AE18" s="18">
        <v>344.1591852394692</v>
      </c>
      <c r="AF18" s="18">
        <v>335.27879898550498</v>
      </c>
      <c r="AG18" s="18">
        <v>8.8803862539642182</v>
      </c>
      <c r="AJ18" t="s">
        <v>153</v>
      </c>
      <c r="AK18" t="s">
        <v>139</v>
      </c>
      <c r="AL18" s="18">
        <v>3.3544731922484901</v>
      </c>
      <c r="AM18" s="18">
        <v>-121.54568515207512</v>
      </c>
      <c r="AN18" s="18">
        <v>124.90015834432361</v>
      </c>
      <c r="AO18" s="18">
        <v>-16.275000000000091</v>
      </c>
      <c r="AP18" s="18">
        <v>0</v>
      </c>
      <c r="AQ18" s="18">
        <v>0</v>
      </c>
    </row>
    <row r="19" spans="1:43">
      <c r="A19" t="s">
        <v>146</v>
      </c>
      <c r="C19" s="18">
        <v>-1399.2818922237702</v>
      </c>
      <c r="D19" s="18">
        <v>-1340.7689120696</v>
      </c>
      <c r="E19" s="18">
        <v>-58.512980154170236</v>
      </c>
      <c r="G19" s="18">
        <v>-1392.9975389003978</v>
      </c>
      <c r="H19" s="18">
        <v>-1339.5487648439555</v>
      </c>
      <c r="I19" s="18">
        <v>-53.448774056442289</v>
      </c>
      <c r="K19" s="18">
        <v>-1717.8607384615389</v>
      </c>
      <c r="L19" s="18">
        <v>-1498.4014917924264</v>
      </c>
      <c r="M19" s="18">
        <v>-219.45924666911242</v>
      </c>
      <c r="W19" t="s">
        <v>70</v>
      </c>
      <c r="X19" t="s">
        <v>124</v>
      </c>
      <c r="Y19" s="18">
        <v>-46.724276036258331</v>
      </c>
      <c r="Z19" s="18">
        <v>101.41480937991403</v>
      </c>
      <c r="AA19" s="18">
        <v>-148.13908541617235</v>
      </c>
      <c r="AC19" t="s">
        <v>151</v>
      </c>
      <c r="AD19" t="s">
        <v>124</v>
      </c>
      <c r="AE19" s="18">
        <v>77.435329556141724</v>
      </c>
      <c r="AF19" s="18">
        <v>129.49017831225325</v>
      </c>
      <c r="AG19" s="18">
        <v>-52.054848756111525</v>
      </c>
      <c r="AJ19" t="s">
        <v>154</v>
      </c>
      <c r="AK19" t="s">
        <v>124</v>
      </c>
      <c r="AL19" s="18">
        <v>36.481625098904011</v>
      </c>
      <c r="AM19" s="18">
        <v>-19.227910990180273</v>
      </c>
      <c r="AN19" s="18">
        <v>55.709536089084281</v>
      </c>
      <c r="AO19" s="18">
        <v>-242.9505851689984</v>
      </c>
      <c r="AP19" s="18">
        <v>-147.68871635694171</v>
      </c>
      <c r="AQ19" s="18">
        <v>-95.26186881205669</v>
      </c>
    </row>
    <row r="20" spans="1:43" ht="15" hidden="1" customHeight="1">
      <c r="A20" t="s">
        <v>158</v>
      </c>
      <c r="C20" s="18">
        <v>-1399.2818922237702</v>
      </c>
      <c r="D20" s="18">
        <v>-1340.7689120696</v>
      </c>
      <c r="E20" s="18">
        <v>-58.512980154170236</v>
      </c>
      <c r="G20" s="18">
        <v>-1392.9975389003978</v>
      </c>
      <c r="H20" s="18">
        <v>-1339.5487648439555</v>
      </c>
      <c r="I20" s="18">
        <v>-53.448774056442289</v>
      </c>
      <c r="K20" s="18">
        <v>-1717.8607384615389</v>
      </c>
      <c r="L20" s="18">
        <v>-1498.4014917924264</v>
      </c>
      <c r="M20" s="18">
        <v>-219.45924666911242</v>
      </c>
      <c r="W20" t="s">
        <v>159</v>
      </c>
      <c r="X20" t="s">
        <v>124</v>
      </c>
      <c r="Y20" s="18">
        <v>333.89659876647715</v>
      </c>
      <c r="Z20" s="18">
        <v>429.65215812418217</v>
      </c>
      <c r="AA20" s="18">
        <v>-95.75555935770501</v>
      </c>
      <c r="AD20" t="s">
        <v>145</v>
      </c>
      <c r="AE20" s="18">
        <v>284.82075905379128</v>
      </c>
      <c r="AF20" s="18">
        <v>281.59449682646311</v>
      </c>
      <c r="AG20" s="18">
        <v>3.2262622273281636</v>
      </c>
      <c r="AJ20" t="s">
        <v>154</v>
      </c>
      <c r="AK20" t="s">
        <v>139</v>
      </c>
      <c r="AL20" s="18">
        <v>75.972289742097615</v>
      </c>
      <c r="AM20" s="18">
        <v>-6.8612499230846762</v>
      </c>
      <c r="AN20" s="18">
        <v>82.833539665182286</v>
      </c>
      <c r="AO20" s="18">
        <v>-2.0497904217546075</v>
      </c>
      <c r="AP20" s="18">
        <v>58.341696580572801</v>
      </c>
      <c r="AQ20" s="18">
        <v>-60.391487002327409</v>
      </c>
    </row>
    <row r="21" spans="1:43">
      <c r="K21" s="18"/>
      <c r="L21" s="18"/>
      <c r="M21" s="18"/>
      <c r="W21" t="s">
        <v>160</v>
      </c>
      <c r="X21" t="s">
        <v>124</v>
      </c>
      <c r="Y21" s="18">
        <v>369.6629533750463</v>
      </c>
      <c r="Z21" s="18">
        <v>502.44364863131085</v>
      </c>
      <c r="AA21" s="18">
        <v>-132.78069525626455</v>
      </c>
      <c r="AC21" t="s">
        <v>153</v>
      </c>
      <c r="AD21" t="s">
        <v>124</v>
      </c>
      <c r="AE21" s="18">
        <v>-141.78561921364329</v>
      </c>
      <c r="AF21" s="18">
        <v>-115.38822861107518</v>
      </c>
      <c r="AG21" s="18">
        <v>-26.397390602568109</v>
      </c>
      <c r="AJ21" t="s">
        <v>155</v>
      </c>
      <c r="AK21" t="s">
        <v>124</v>
      </c>
      <c r="AL21" s="18">
        <v>-105.30237735183617</v>
      </c>
      <c r="AM21" s="18">
        <v>-71.523569398115185</v>
      </c>
      <c r="AN21" s="18">
        <v>-33.778807953720985</v>
      </c>
      <c r="AO21" s="18">
        <v>-71.693951970127699</v>
      </c>
      <c r="AP21" s="18">
        <v>12.932050088512417</v>
      </c>
      <c r="AQ21" s="18">
        <v>-84.626002058640111</v>
      </c>
    </row>
    <row r="22" spans="1:43" hidden="1">
      <c r="G22">
        <v>243.07865512159805</v>
      </c>
      <c r="H22">
        <v>409.30103197738839</v>
      </c>
      <c r="I22">
        <v>-166.22237685579034</v>
      </c>
      <c r="K22" s="18">
        <v>31.429768779818865</v>
      </c>
      <c r="L22" s="18">
        <v>225.68464240961296</v>
      </c>
      <c r="M22" s="18">
        <v>-194.2548736297941</v>
      </c>
      <c r="W22" t="s">
        <v>67</v>
      </c>
      <c r="X22" t="s">
        <v>124</v>
      </c>
      <c r="Y22" s="18">
        <v>32.763276178639686</v>
      </c>
      <c r="Z22" s="18">
        <v>121.35418812621462</v>
      </c>
      <c r="AA22" s="18">
        <v>-88.590911947574938</v>
      </c>
      <c r="AD22" t="s">
        <v>145</v>
      </c>
      <c r="AE22" s="18">
        <v>122.93429315676411</v>
      </c>
      <c r="AF22" s="18">
        <v>115.175010877492</v>
      </c>
      <c r="AG22" s="18">
        <v>7.7592822792721137</v>
      </c>
      <c r="AJ22" t="s">
        <v>155</v>
      </c>
      <c r="AK22" t="s">
        <v>139</v>
      </c>
      <c r="AL22" s="18">
        <v>0</v>
      </c>
      <c r="AM22" s="18">
        <v>-89.368928672821852</v>
      </c>
      <c r="AN22" s="18">
        <v>0</v>
      </c>
      <c r="AO22" s="18">
        <v>33.37045819014876</v>
      </c>
      <c r="AP22" s="18">
        <v>18.402564916588425</v>
      </c>
      <c r="AQ22" s="18">
        <v>14.967893273560335</v>
      </c>
    </row>
    <row r="23" spans="1:43">
      <c r="G23">
        <v>205.24535812155568</v>
      </c>
      <c r="H23">
        <v>304.63340572796005</v>
      </c>
      <c r="I23">
        <v>-99.388047606404371</v>
      </c>
      <c r="K23" s="18">
        <v>-12.526049437740294</v>
      </c>
      <c r="L23" s="18">
        <v>147.65166456844784</v>
      </c>
      <c r="M23" s="18">
        <v>-160.17771400618813</v>
      </c>
      <c r="W23" t="s">
        <v>154</v>
      </c>
      <c r="X23" t="s">
        <v>124</v>
      </c>
      <c r="Y23" s="18">
        <v>-1564.7184531702103</v>
      </c>
      <c r="Z23" s="18">
        <v>-1465.1763815761699</v>
      </c>
      <c r="AA23" s="18">
        <v>-99.542071594040408</v>
      </c>
      <c r="AC23" t="s">
        <v>154</v>
      </c>
      <c r="AD23" t="s">
        <v>124</v>
      </c>
      <c r="AE23" s="18">
        <v>36.481625098904011</v>
      </c>
      <c r="AF23" s="18">
        <v>-19.227910990180273</v>
      </c>
      <c r="AG23" s="18">
        <v>55.709536089084281</v>
      </c>
      <c r="AJ23" t="s">
        <v>71</v>
      </c>
      <c r="AK23" t="s">
        <v>124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</row>
    <row r="24" spans="1:43" hidden="1">
      <c r="G24">
        <v>226.48195819534831</v>
      </c>
      <c r="H24">
        <v>279.49814312384171</v>
      </c>
      <c r="I24">
        <v>-53.016184928493402</v>
      </c>
      <c r="K24" s="18">
        <v>1557.0925665565508</v>
      </c>
      <c r="L24" s="18">
        <v>1324.5451372529687</v>
      </c>
      <c r="M24" s="18">
        <v>232.54742930358202</v>
      </c>
      <c r="Y24" s="18"/>
      <c r="Z24" s="18"/>
      <c r="AA24" s="18"/>
      <c r="AD24" t="s">
        <v>145</v>
      </c>
      <c r="AE24" s="18">
        <v>196.38229096309198</v>
      </c>
      <c r="AF24" s="18">
        <v>111.40579679178519</v>
      </c>
      <c r="AG24" s="18">
        <v>84.976494171306783</v>
      </c>
      <c r="AJ24" t="s">
        <v>71</v>
      </c>
      <c r="AK24" t="s">
        <v>139</v>
      </c>
      <c r="AL24" s="18">
        <v>0</v>
      </c>
      <c r="AM24" s="18">
        <v>0</v>
      </c>
      <c r="AN24" s="18">
        <v>0</v>
      </c>
      <c r="AO24" s="18">
        <v>0</v>
      </c>
      <c r="AP24" s="18">
        <v>553.61588124065645</v>
      </c>
      <c r="AQ24" s="18">
        <v>-553.61588124065645</v>
      </c>
    </row>
    <row r="25" spans="1:43">
      <c r="G25">
        <v>285.96522609453439</v>
      </c>
      <c r="H25">
        <v>380.89741822225301</v>
      </c>
      <c r="I25">
        <v>-94.932192127718622</v>
      </c>
      <c r="K25" s="18">
        <v>493.99462642859277</v>
      </c>
      <c r="L25" s="18">
        <v>715.43925959834792</v>
      </c>
      <c r="M25" s="18">
        <v>-221.44463316975515</v>
      </c>
      <c r="Y25" s="18"/>
      <c r="Z25" s="18"/>
      <c r="AA25" s="18"/>
      <c r="AC25" t="s">
        <v>155</v>
      </c>
      <c r="AD25" t="s">
        <v>124</v>
      </c>
      <c r="AE25" s="18">
        <v>-105.30237735183617</v>
      </c>
      <c r="AF25" s="18">
        <v>-71.523569398115185</v>
      </c>
      <c r="AG25" s="18">
        <v>-33.778807953720985</v>
      </c>
      <c r="AJ25" t="s">
        <v>66</v>
      </c>
      <c r="AK25" t="s">
        <v>124</v>
      </c>
      <c r="AL25" s="18">
        <v>480.29273814089095</v>
      </c>
      <c r="AM25" s="18">
        <v>678.58921558633244</v>
      </c>
      <c r="AN25" s="18">
        <v>-198.2964774454415</v>
      </c>
      <c r="AO25" s="18">
        <v>412.42236130186103</v>
      </c>
      <c r="AP25" s="18">
        <v>643.91145187354937</v>
      </c>
      <c r="AQ25" s="18">
        <v>-231.48909057168834</v>
      </c>
    </row>
    <row r="26" spans="1:43" hidden="1">
      <c r="G26">
        <v>541.99353801085977</v>
      </c>
      <c r="H26">
        <v>613.8486751310279</v>
      </c>
      <c r="I26">
        <v>-71.855137120168138</v>
      </c>
      <c r="K26" s="18">
        <v>150.09486928402612</v>
      </c>
      <c r="L26" s="18">
        <v>507.53846571861231</v>
      </c>
      <c r="M26" s="18">
        <v>-357.4435964345862</v>
      </c>
      <c r="Y26" s="18"/>
      <c r="Z26" s="18"/>
      <c r="AA26" s="18"/>
      <c r="AD26" t="s">
        <v>145</v>
      </c>
      <c r="AE26" s="18">
        <v>1.9083511327762532</v>
      </c>
      <c r="AF26" s="18">
        <v>68.301505107139491</v>
      </c>
      <c r="AG26" s="18">
        <v>-66.393153974363244</v>
      </c>
      <c r="AJ26" t="s">
        <v>66</v>
      </c>
      <c r="AK26" t="s">
        <v>139</v>
      </c>
      <c r="AL26" s="18">
        <v>905.25235622398588</v>
      </c>
      <c r="AM26" s="18">
        <v>1139.5715046080477</v>
      </c>
      <c r="AN26" s="18">
        <v>-234.3191483840618</v>
      </c>
      <c r="AO26" s="18">
        <v>1163.096319562</v>
      </c>
      <c r="AP26" s="18">
        <v>1191.4284605485557</v>
      </c>
      <c r="AQ26" s="18">
        <v>-28.332140986555714</v>
      </c>
    </row>
    <row r="27" spans="1:43">
      <c r="G27">
        <v>260.42440281183343</v>
      </c>
      <c r="H27">
        <v>367.0744223974695</v>
      </c>
      <c r="I27">
        <v>-106.65001958563607</v>
      </c>
      <c r="K27" s="18">
        <v>25.673090372537839</v>
      </c>
      <c r="L27" s="18">
        <v>207.42588813783274</v>
      </c>
      <c r="M27" s="18">
        <v>-181.7527977652949</v>
      </c>
      <c r="Y27" s="18"/>
      <c r="Z27" s="18"/>
      <c r="AA27" s="18"/>
      <c r="AC27" t="s">
        <v>71</v>
      </c>
      <c r="AD27" t="s">
        <v>124</v>
      </c>
      <c r="AE27" s="18">
        <v>0</v>
      </c>
      <c r="AF27" s="18">
        <v>0</v>
      </c>
      <c r="AG27" s="18">
        <v>0</v>
      </c>
      <c r="AJ27" t="s">
        <v>70</v>
      </c>
      <c r="AK27" t="s">
        <v>124</v>
      </c>
      <c r="AL27" s="18">
        <v>-46.724276036258331</v>
      </c>
      <c r="AM27" s="18">
        <v>101.41480937991403</v>
      </c>
      <c r="AN27" s="18">
        <v>-148.13908541617235</v>
      </c>
      <c r="AO27" s="18">
        <v>0</v>
      </c>
      <c r="AP27" s="18">
        <v>0</v>
      </c>
      <c r="AQ27" s="18">
        <v>0</v>
      </c>
    </row>
    <row r="28" spans="1:43" hidden="1">
      <c r="G28">
        <v>4.5474735088646412E-13</v>
      </c>
      <c r="H28">
        <v>1.0800249583553523E-12</v>
      </c>
      <c r="K28" s="18">
        <v>8.8107299234252423E-13</v>
      </c>
      <c r="L28" s="18">
        <v>7.3896444519050419E-13</v>
      </c>
      <c r="M28" s="18"/>
      <c r="Y28" s="18"/>
      <c r="Z28" s="18"/>
      <c r="AA28" s="18"/>
      <c r="AD28" t="s">
        <v>145</v>
      </c>
      <c r="AE28" s="18">
        <v>0</v>
      </c>
      <c r="AF28" s="18">
        <v>0</v>
      </c>
      <c r="AG28" s="18">
        <v>0</v>
      </c>
      <c r="AJ28" t="s">
        <v>70</v>
      </c>
      <c r="AK28" t="s">
        <v>139</v>
      </c>
      <c r="AL28" s="18">
        <v>706.61433799514089</v>
      </c>
      <c r="AM28" s="18">
        <v>803.3390476257506</v>
      </c>
      <c r="AN28" s="18">
        <v>-96.724709630609709</v>
      </c>
      <c r="AO28" s="18">
        <v>294.61002081958804</v>
      </c>
      <c r="AP28" s="18">
        <v>388.27104588806236</v>
      </c>
      <c r="AQ28" s="18">
        <v>-93.661025068474316</v>
      </c>
    </row>
    <row r="29" spans="1:43">
      <c r="Y29" s="18"/>
      <c r="Z29" s="18"/>
      <c r="AA29" s="18"/>
      <c r="AC29" t="s">
        <v>66</v>
      </c>
      <c r="AD29" t="s">
        <v>124</v>
      </c>
      <c r="AE29" s="18">
        <v>480.29273814089095</v>
      </c>
      <c r="AF29" s="18">
        <v>678.58921558633244</v>
      </c>
      <c r="AG29" s="18">
        <v>-198.2964774454415</v>
      </c>
      <c r="AJ29" t="s">
        <v>159</v>
      </c>
      <c r="AK29" t="s">
        <v>124</v>
      </c>
      <c r="AL29" s="18">
        <v>333.89659876647715</v>
      </c>
      <c r="AM29" s="18">
        <v>429.65215812418217</v>
      </c>
      <c r="AN29" s="18">
        <v>-95.75555935770501</v>
      </c>
      <c r="AO29" s="18">
        <v>355.62165884102336</v>
      </c>
      <c r="AP29" s="18">
        <v>397.74828551947445</v>
      </c>
      <c r="AQ29" s="18">
        <v>-42.126626678451089</v>
      </c>
    </row>
    <row r="30" spans="1:43" hidden="1">
      <c r="Y30" s="18"/>
      <c r="Z30" s="18"/>
      <c r="AA30" s="18"/>
      <c r="AD30" t="s">
        <v>145</v>
      </c>
      <c r="AE30" s="18">
        <v>744.47797917636706</v>
      </c>
      <c r="AF30" s="18">
        <v>948.06394924478332</v>
      </c>
      <c r="AG30" s="18">
        <v>-203.58597006841626</v>
      </c>
      <c r="AJ30" t="s">
        <v>159</v>
      </c>
      <c r="AK30" t="s">
        <v>139</v>
      </c>
      <c r="AL30" s="18">
        <v>1125.1404167847227</v>
      </c>
      <c r="AM30" s="18">
        <v>0</v>
      </c>
      <c r="AN30" s="18">
        <v>0</v>
      </c>
      <c r="AO30" s="18">
        <v>351.57220809576722</v>
      </c>
      <c r="AP30" s="18">
        <v>541.18543257805982</v>
      </c>
      <c r="AQ30" s="18">
        <v>-189.61322448229259</v>
      </c>
    </row>
    <row r="31" spans="1:43">
      <c r="AC31" t="s">
        <v>70</v>
      </c>
      <c r="AD31" t="s">
        <v>124</v>
      </c>
      <c r="AE31" s="18">
        <v>-46.724276036258331</v>
      </c>
      <c r="AF31" s="18">
        <v>101.41480937991403</v>
      </c>
      <c r="AG31" s="18">
        <v>-148.13908541617235</v>
      </c>
      <c r="AJ31" t="s">
        <v>160</v>
      </c>
      <c r="AK31" t="s">
        <v>124</v>
      </c>
      <c r="AL31" s="18">
        <v>369.6629533750463</v>
      </c>
      <c r="AM31" s="18">
        <v>502.44364863131085</v>
      </c>
      <c r="AN31" s="18">
        <v>-132.78069525626455</v>
      </c>
      <c r="AO31" s="18">
        <v>306.58412625972448</v>
      </c>
      <c r="AP31" s="18">
        <v>492.64404317972327</v>
      </c>
      <c r="AQ31" s="18">
        <v>-186.05991691999878</v>
      </c>
    </row>
    <row r="32" spans="1:43" hidden="1">
      <c r="AD32" t="s">
        <v>145</v>
      </c>
      <c r="AE32" s="18">
        <v>0</v>
      </c>
      <c r="AF32" s="18">
        <v>0</v>
      </c>
      <c r="AG32" s="18">
        <v>0</v>
      </c>
      <c r="AJ32" t="s">
        <v>160</v>
      </c>
      <c r="AK32" t="s">
        <v>139</v>
      </c>
      <c r="AL32" s="18">
        <v>0</v>
      </c>
      <c r="AM32" s="18">
        <v>0</v>
      </c>
      <c r="AN32" s="18">
        <v>0</v>
      </c>
      <c r="AO32" s="18">
        <v>385.79338817907762</v>
      </c>
      <c r="AP32" s="18">
        <v>416.63782213035813</v>
      </c>
      <c r="AQ32" s="18">
        <v>-30.844433951280507</v>
      </c>
    </row>
    <row r="33" spans="29:43">
      <c r="AC33" t="s">
        <v>159</v>
      </c>
      <c r="AD33" t="s">
        <v>124</v>
      </c>
      <c r="AE33" s="18">
        <v>333.89659876647715</v>
      </c>
      <c r="AF33" s="18">
        <v>429.65215812418217</v>
      </c>
      <c r="AG33" s="18">
        <v>-95.75555935770501</v>
      </c>
      <c r="AJ33" t="s">
        <v>67</v>
      </c>
      <c r="AK33" t="s">
        <v>124</v>
      </c>
      <c r="AL33" s="18">
        <v>32.763276178639686</v>
      </c>
      <c r="AM33" s="18">
        <v>121.35418812621462</v>
      </c>
      <c r="AN33" s="18">
        <v>-88.590911947574938</v>
      </c>
      <c r="AO33" s="18">
        <v>-289.66948828799303</v>
      </c>
      <c r="AP33" s="18">
        <v>-36.534535764303982</v>
      </c>
      <c r="AQ33" s="18">
        <v>-253.13495252368904</v>
      </c>
    </row>
    <row r="34" spans="29:43" hidden="1">
      <c r="AD34" t="s">
        <v>145</v>
      </c>
      <c r="AE34" s="18">
        <v>634.88955563101001</v>
      </c>
      <c r="AF34" s="18">
        <v>747.76155919786788</v>
      </c>
      <c r="AG34" s="18">
        <v>-112.87200356685787</v>
      </c>
      <c r="AJ34" t="s">
        <v>67</v>
      </c>
      <c r="AK34" t="s">
        <v>139</v>
      </c>
      <c r="AL34" s="18">
        <v>0</v>
      </c>
      <c r="AM34" s="18">
        <v>0</v>
      </c>
      <c r="AN34" s="18">
        <v>0</v>
      </c>
      <c r="AO34" s="18">
        <v>402.75737100646495</v>
      </c>
      <c r="AP34" s="18">
        <v>598.67446140224661</v>
      </c>
      <c r="AQ34" s="18">
        <v>-195.91709039578166</v>
      </c>
    </row>
    <row r="35" spans="29:43">
      <c r="AC35" t="s">
        <v>160</v>
      </c>
      <c r="AD35" t="s">
        <v>124</v>
      </c>
      <c r="AE35" s="18">
        <v>369.6629533750463</v>
      </c>
      <c r="AF35" s="18">
        <v>502.44364863131085</v>
      </c>
      <c r="AG35" s="18">
        <v>-132.78069525626455</v>
      </c>
      <c r="AJ35" t="s">
        <v>154</v>
      </c>
      <c r="AK35" t="s">
        <v>124</v>
      </c>
      <c r="AL35" s="18">
        <v>-1564.7184531702103</v>
      </c>
      <c r="AM35" s="18">
        <v>-1465.1763815761699</v>
      </c>
      <c r="AN35" s="18">
        <v>-99.542071594040408</v>
      </c>
      <c r="AO35" s="18">
        <v>-1748.2616756049711</v>
      </c>
      <c r="AP35" s="18">
        <v>-1750.1117121159823</v>
      </c>
      <c r="AQ35" s="18">
        <v>1.8500365110112398</v>
      </c>
    </row>
    <row r="36" spans="29:43" hidden="1">
      <c r="AD36" t="s">
        <v>145</v>
      </c>
      <c r="AE36" s="18">
        <v>547.53769864438152</v>
      </c>
      <c r="AF36" s="18">
        <v>691.49610832181781</v>
      </c>
      <c r="AG36" s="18">
        <v>-143.95840967743629</v>
      </c>
      <c r="AJ36" t="s">
        <v>154</v>
      </c>
      <c r="AK36" t="s">
        <v>139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29:43">
      <c r="AC37" t="s">
        <v>67</v>
      </c>
      <c r="AD37" t="s">
        <v>124</v>
      </c>
      <c r="AE37" s="18">
        <v>32.763276178639686</v>
      </c>
      <c r="AF37" s="18">
        <v>121.35418812621462</v>
      </c>
      <c r="AG37" s="18">
        <v>-88.590911947574938</v>
      </c>
    </row>
    <row r="38" spans="29:43">
      <c r="AD38" t="s">
        <v>145</v>
      </c>
      <c r="AE38" s="18">
        <v>405.11428348579744</v>
      </c>
      <c r="AF38" s="18">
        <v>446.89101397612791</v>
      </c>
      <c r="AG38" s="18">
        <v>-41.776730490330465</v>
      </c>
    </row>
    <row r="39" spans="29:43">
      <c r="AC39" t="s">
        <v>154</v>
      </c>
      <c r="AD39" t="s">
        <v>124</v>
      </c>
      <c r="AE39" s="18">
        <v>-1564.7184531702103</v>
      </c>
      <c r="AF39" s="18">
        <v>-1465.1763815761699</v>
      </c>
      <c r="AG39" s="18">
        <v>-99.542071594040408</v>
      </c>
    </row>
    <row r="40" spans="29:43">
      <c r="AD40" t="s">
        <v>145</v>
      </c>
      <c r="AE40" s="18">
        <v>-1331.0085194819976</v>
      </c>
      <c r="AF40" s="18">
        <v>-1290.5291640164098</v>
      </c>
      <c r="AG40" s="18">
        <v>-40.479355465587787</v>
      </c>
    </row>
  </sheetData>
  <autoFilter ref="AJ2:AK36" xr:uid="{D7A22BAF-D366-4E79-8A24-64F4F44798FC}">
    <filterColumn colId="1">
      <filters>
        <filter val="PPC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prasoon bajpai</dc:creator>
  <cp:keywords/>
  <dc:description/>
  <cp:lastModifiedBy/>
  <cp:revision/>
  <dcterms:created xsi:type="dcterms:W3CDTF">2024-09-15T12:38:41Z</dcterms:created>
  <dcterms:modified xsi:type="dcterms:W3CDTF">2024-10-08T12:14:52Z</dcterms:modified>
  <cp:category/>
  <cp:contentStatus/>
</cp:coreProperties>
</file>