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ownloads\"/>
    </mc:Choice>
  </mc:AlternateContent>
  <xr:revisionPtr revIDLastSave="0" documentId="13_ncr:1_{AC3013DB-D3B2-4F36-9566-45E43B9D0012}" xr6:coauthVersionLast="47" xr6:coauthVersionMax="47" xr10:uidLastSave="{00000000-0000-0000-0000-000000000000}"/>
  <bookViews>
    <workbookView xWindow="-120" yWindow="-120" windowWidth="20730" windowHeight="11160" tabRatio="910" activeTab="6" xr2:uid="{7EE50CA2-B225-4851-A033-610441F84807}"/>
  </bookViews>
  <sheets>
    <sheet name="Steps" sheetId="1" r:id="rId1"/>
    <sheet name="Income Statement" sheetId="2" r:id="rId2"/>
    <sheet name="Working Capital Schedule" sheetId="7" r:id="rId3"/>
    <sheet name="Debt Schedule" sheetId="5" r:id="rId4"/>
    <sheet name="Fixed asset Schedule" sheetId="6" r:id="rId5"/>
    <sheet name="Discount rates" sheetId="3" r:id="rId6"/>
    <sheet name="DCF value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4" l="1"/>
  <c r="G23" i="4"/>
  <c r="G21" i="4"/>
  <c r="I8" i="4"/>
  <c r="J8" i="4"/>
  <c r="K8" i="4"/>
  <c r="L8" i="4"/>
  <c r="H8" i="4"/>
  <c r="I7" i="4"/>
  <c r="J7" i="4"/>
  <c r="K7" i="4"/>
  <c r="L7" i="4"/>
  <c r="H7" i="4"/>
  <c r="I6" i="4"/>
  <c r="J6" i="4"/>
  <c r="K6" i="4"/>
  <c r="L6" i="4"/>
  <c r="H6" i="4"/>
  <c r="J4" i="4"/>
  <c r="J5" i="4" s="1"/>
  <c r="J9" i="4" s="1"/>
  <c r="I3" i="4"/>
  <c r="J3" i="4"/>
  <c r="K3" i="4"/>
  <c r="K4" i="4" s="1"/>
  <c r="K5" i="4" s="1"/>
  <c r="K9" i="4" s="1"/>
  <c r="L3" i="4"/>
  <c r="H3" i="4"/>
  <c r="G27" i="3"/>
  <c r="G32" i="3"/>
  <c r="J7" i="3"/>
  <c r="G17" i="3"/>
  <c r="G14" i="3"/>
  <c r="D23" i="3"/>
  <c r="D22" i="3"/>
  <c r="D21" i="3"/>
  <c r="G13" i="3"/>
  <c r="E196" i="3"/>
  <c r="C196" i="3"/>
  <c r="E195" i="3"/>
  <c r="C195" i="3"/>
  <c r="E194" i="3"/>
  <c r="C194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G15" i="3"/>
  <c r="G12" i="3"/>
  <c r="J6" i="3"/>
  <c r="G8" i="3"/>
  <c r="G4" i="3"/>
  <c r="G7" i="3" s="1"/>
  <c r="G9" i="3" s="1"/>
  <c r="G5" i="3"/>
  <c r="H16" i="7"/>
  <c r="I16" i="7"/>
  <c r="J16" i="7"/>
  <c r="K16" i="7"/>
  <c r="L16" i="7"/>
  <c r="H15" i="7"/>
  <c r="I15" i="7"/>
  <c r="J15" i="7"/>
  <c r="K15" i="7"/>
  <c r="L15" i="7"/>
  <c r="I13" i="7"/>
  <c r="J13" i="7"/>
  <c r="K13" i="7"/>
  <c r="L13" i="7"/>
  <c r="H13" i="7"/>
  <c r="I14" i="2"/>
  <c r="J14" i="2"/>
  <c r="K14" i="2"/>
  <c r="L14" i="2"/>
  <c r="H14" i="2"/>
  <c r="I13" i="2"/>
  <c r="J13" i="2"/>
  <c r="K13" i="2"/>
  <c r="L13" i="2"/>
  <c r="H13" i="2"/>
  <c r="I23" i="7"/>
  <c r="J23" i="7"/>
  <c r="K23" i="7"/>
  <c r="L23" i="7"/>
  <c r="H23" i="7"/>
  <c r="I22" i="7"/>
  <c r="J22" i="7" s="1"/>
  <c r="H22" i="7"/>
  <c r="H11" i="7" s="1"/>
  <c r="I11" i="7"/>
  <c r="I10" i="7"/>
  <c r="J10" i="7"/>
  <c r="K10" i="7"/>
  <c r="L10" i="7"/>
  <c r="H10" i="7"/>
  <c r="H7" i="7"/>
  <c r="I7" i="7"/>
  <c r="J7" i="7"/>
  <c r="K7" i="7"/>
  <c r="L7" i="7"/>
  <c r="I6" i="7"/>
  <c r="J6" i="7"/>
  <c r="K6" i="7"/>
  <c r="L6" i="7"/>
  <c r="H6" i="7"/>
  <c r="I5" i="7"/>
  <c r="J5" i="7"/>
  <c r="K5" i="7"/>
  <c r="L5" i="7"/>
  <c r="H5" i="7"/>
  <c r="I4" i="7"/>
  <c r="J4" i="7"/>
  <c r="K4" i="7"/>
  <c r="L4" i="7"/>
  <c r="H4" i="7"/>
  <c r="K21" i="7"/>
  <c r="I20" i="7"/>
  <c r="J20" i="7"/>
  <c r="K20" i="7"/>
  <c r="L20" i="7"/>
  <c r="H20" i="7"/>
  <c r="H19" i="7"/>
  <c r="I19" i="7"/>
  <c r="J19" i="7" s="1"/>
  <c r="K19" i="7" s="1"/>
  <c r="L19" i="7" s="1"/>
  <c r="I18" i="7"/>
  <c r="J18" i="7" s="1"/>
  <c r="K18" i="7" s="1"/>
  <c r="L18" i="7" s="1"/>
  <c r="H18" i="7"/>
  <c r="E23" i="7"/>
  <c r="F23" i="7"/>
  <c r="G23" i="7"/>
  <c r="D23" i="7"/>
  <c r="E22" i="7"/>
  <c r="F22" i="7"/>
  <c r="G22" i="7"/>
  <c r="D22" i="7"/>
  <c r="E21" i="7"/>
  <c r="F21" i="7"/>
  <c r="G21" i="7"/>
  <c r="D21" i="7"/>
  <c r="E20" i="7"/>
  <c r="F20" i="7"/>
  <c r="G20" i="7"/>
  <c r="D20" i="7"/>
  <c r="E19" i="7"/>
  <c r="F19" i="7"/>
  <c r="G19" i="7"/>
  <c r="D19" i="7"/>
  <c r="E18" i="7"/>
  <c r="F18" i="7"/>
  <c r="G18" i="7"/>
  <c r="D18" i="7"/>
  <c r="F16" i="7"/>
  <c r="G16" i="7"/>
  <c r="E16" i="7"/>
  <c r="E15" i="7"/>
  <c r="F15" i="7"/>
  <c r="G15" i="7"/>
  <c r="D15" i="7"/>
  <c r="E13" i="7"/>
  <c r="F13" i="7"/>
  <c r="G13" i="7"/>
  <c r="D13" i="7"/>
  <c r="E7" i="7"/>
  <c r="F7" i="7"/>
  <c r="G7" i="7"/>
  <c r="D7" i="7"/>
  <c r="I8" i="5"/>
  <c r="I19" i="2" s="1"/>
  <c r="I22" i="2" s="1"/>
  <c r="I23" i="2" s="1"/>
  <c r="J8" i="5"/>
  <c r="J19" i="2" s="1"/>
  <c r="J22" i="2" s="1"/>
  <c r="J23" i="2" s="1"/>
  <c r="K8" i="5"/>
  <c r="L8" i="5"/>
  <c r="L19" i="2" s="1"/>
  <c r="L22" i="2" s="1"/>
  <c r="L23" i="2" s="1"/>
  <c r="H8" i="5"/>
  <c r="I9" i="5"/>
  <c r="J9" i="5" s="1"/>
  <c r="K9" i="5" s="1"/>
  <c r="L9" i="5" s="1"/>
  <c r="H9" i="5"/>
  <c r="E9" i="5"/>
  <c r="F9" i="5"/>
  <c r="G9" i="5"/>
  <c r="D9" i="5"/>
  <c r="I6" i="5"/>
  <c r="J4" i="5" s="1"/>
  <c r="J6" i="5" s="1"/>
  <c r="K4" i="5" s="1"/>
  <c r="K6" i="5" s="1"/>
  <c r="L4" i="5" s="1"/>
  <c r="L6" i="5" s="1"/>
  <c r="H6" i="5"/>
  <c r="I4" i="5" s="1"/>
  <c r="E5" i="5"/>
  <c r="F5" i="5"/>
  <c r="G5" i="5"/>
  <c r="D5" i="5"/>
  <c r="E4" i="5"/>
  <c r="F4" i="5"/>
  <c r="G4" i="5"/>
  <c r="H4" i="5"/>
  <c r="D4" i="5"/>
  <c r="G6" i="5"/>
  <c r="F6" i="5"/>
  <c r="E6" i="5"/>
  <c r="D6" i="5"/>
  <c r="C6" i="5"/>
  <c r="H18" i="6"/>
  <c r="E22" i="6"/>
  <c r="G22" i="6"/>
  <c r="D22" i="6"/>
  <c r="E17" i="6"/>
  <c r="D17" i="6"/>
  <c r="E18" i="6"/>
  <c r="F18" i="6"/>
  <c r="F22" i="6" s="1"/>
  <c r="G18" i="6"/>
  <c r="D18" i="6"/>
  <c r="E19" i="6"/>
  <c r="F19" i="6"/>
  <c r="G19" i="6"/>
  <c r="D19" i="6"/>
  <c r="E16" i="6"/>
  <c r="F16" i="6"/>
  <c r="G16" i="6"/>
  <c r="G17" i="6" s="1"/>
  <c r="H16" i="6"/>
  <c r="D16" i="6"/>
  <c r="E6" i="6"/>
  <c r="F6" i="6"/>
  <c r="G6" i="6"/>
  <c r="H6" i="6"/>
  <c r="I6" i="6"/>
  <c r="J6" i="6"/>
  <c r="K6" i="6"/>
  <c r="L6" i="6"/>
  <c r="D6" i="6"/>
  <c r="I7" i="6"/>
  <c r="J7" i="6"/>
  <c r="K7" i="6"/>
  <c r="K8" i="6" s="1"/>
  <c r="L7" i="6"/>
  <c r="L8" i="6" s="1"/>
  <c r="H7" i="6"/>
  <c r="H9" i="6" s="1"/>
  <c r="I5" i="6" s="1"/>
  <c r="I13" i="6"/>
  <c r="J13" i="6" s="1"/>
  <c r="K13" i="6" s="1"/>
  <c r="L13" i="6" s="1"/>
  <c r="H13" i="6"/>
  <c r="E13" i="6"/>
  <c r="F13" i="6"/>
  <c r="G13" i="6"/>
  <c r="D13" i="6"/>
  <c r="I8" i="6"/>
  <c r="I9" i="6" s="1"/>
  <c r="J5" i="6" s="1"/>
  <c r="J9" i="6" s="1"/>
  <c r="K5" i="6" s="1"/>
  <c r="K9" i="6" s="1"/>
  <c r="L5" i="6" s="1"/>
  <c r="L9" i="6" s="1"/>
  <c r="J8" i="6"/>
  <c r="H8" i="6"/>
  <c r="I11" i="6"/>
  <c r="J11" i="6"/>
  <c r="K11" i="6"/>
  <c r="L11" i="6"/>
  <c r="H11" i="6"/>
  <c r="E11" i="6"/>
  <c r="F11" i="6"/>
  <c r="G11" i="6"/>
  <c r="D11" i="6"/>
  <c r="E8" i="6"/>
  <c r="F8" i="6"/>
  <c r="G8" i="6"/>
  <c r="D8" i="6"/>
  <c r="E7" i="6"/>
  <c r="F7" i="6"/>
  <c r="G7" i="6"/>
  <c r="D7" i="6"/>
  <c r="E5" i="6"/>
  <c r="F5" i="6"/>
  <c r="G5" i="6"/>
  <c r="H5" i="6"/>
  <c r="D5" i="6"/>
  <c r="K22" i="2"/>
  <c r="K23" i="2" s="1"/>
  <c r="I21" i="2"/>
  <c r="J21" i="2" s="1"/>
  <c r="K21" i="2" s="1"/>
  <c r="H21" i="2"/>
  <c r="M21" i="2"/>
  <c r="E21" i="2"/>
  <c r="F21" i="2"/>
  <c r="G21" i="2"/>
  <c r="D21" i="2"/>
  <c r="E19" i="2"/>
  <c r="F19" i="2"/>
  <c r="G19" i="2"/>
  <c r="D19" i="2"/>
  <c r="H19" i="2"/>
  <c r="H22" i="2" s="1"/>
  <c r="H23" i="2" s="1"/>
  <c r="K19" i="2"/>
  <c r="I16" i="2"/>
  <c r="J16" i="2"/>
  <c r="K16" i="2"/>
  <c r="L16" i="2"/>
  <c r="H16" i="2"/>
  <c r="I17" i="2"/>
  <c r="J17" i="2"/>
  <c r="K17" i="2"/>
  <c r="L17" i="2"/>
  <c r="H17" i="2"/>
  <c r="E17" i="2"/>
  <c r="F17" i="2"/>
  <c r="G17" i="2"/>
  <c r="D17" i="2"/>
  <c r="I12" i="2"/>
  <c r="J12" i="2"/>
  <c r="K12" i="2"/>
  <c r="H12" i="2"/>
  <c r="I3" i="2"/>
  <c r="J3" i="2"/>
  <c r="K3" i="2"/>
  <c r="L3" i="2"/>
  <c r="H3" i="2"/>
  <c r="H7" i="2" s="1"/>
  <c r="I7" i="2"/>
  <c r="I8" i="2"/>
  <c r="J8" i="2"/>
  <c r="K8" i="2"/>
  <c r="L8" i="2"/>
  <c r="H8" i="2"/>
  <c r="E8" i="2"/>
  <c r="F8" i="2"/>
  <c r="G8" i="2"/>
  <c r="D8" i="2"/>
  <c r="I4" i="2"/>
  <c r="J4" i="2" s="1"/>
  <c r="K4" i="2" s="1"/>
  <c r="H4" i="2"/>
  <c r="M4" i="2"/>
  <c r="F4" i="2"/>
  <c r="G4" i="2"/>
  <c r="E4" i="2"/>
  <c r="E10" i="2"/>
  <c r="F10" i="2"/>
  <c r="G10" i="2"/>
  <c r="D10" i="2"/>
  <c r="E14" i="2"/>
  <c r="F14" i="2"/>
  <c r="G14" i="2"/>
  <c r="D14" i="2"/>
  <c r="E2" i="6"/>
  <c r="F2" i="6" s="1"/>
  <c r="G2" i="6" s="1"/>
  <c r="H2" i="6" s="1"/>
  <c r="I2" i="6" s="1"/>
  <c r="J2" i="6" s="1"/>
  <c r="K2" i="6" s="1"/>
  <c r="L2" i="6" s="1"/>
  <c r="E2" i="5"/>
  <c r="F2" i="5" s="1"/>
  <c r="G2" i="5" s="1"/>
  <c r="H2" i="5" s="1"/>
  <c r="I2" i="5" s="1"/>
  <c r="J2" i="5" s="1"/>
  <c r="K2" i="5" s="1"/>
  <c r="L2" i="5" s="1"/>
  <c r="E2" i="7"/>
  <c r="F2" i="7" s="1"/>
  <c r="G2" i="7" s="1"/>
  <c r="H2" i="7" s="1"/>
  <c r="I2" i="7" s="1"/>
  <c r="J2" i="7" s="1"/>
  <c r="K2" i="7" s="1"/>
  <c r="L2" i="7" s="1"/>
  <c r="E6" i="2"/>
  <c r="F6" i="2"/>
  <c r="G6" i="2"/>
  <c r="D6" i="2"/>
  <c r="E2" i="2"/>
  <c r="F2" i="2" s="1"/>
  <c r="G2" i="2" s="1"/>
  <c r="H2" i="2" s="1"/>
  <c r="I2" i="2" s="1"/>
  <c r="J2" i="2" s="1"/>
  <c r="K2" i="2" s="1"/>
  <c r="L2" i="2" s="1"/>
  <c r="A6" i="1"/>
  <c r="A9" i="1" s="1"/>
  <c r="A11" i="1" s="1"/>
  <c r="A13" i="1" s="1"/>
  <c r="A15" i="1" s="1"/>
  <c r="A17" i="1" s="1"/>
  <c r="L4" i="4" l="1"/>
  <c r="L5" i="4" s="1"/>
  <c r="L9" i="4" s="1"/>
  <c r="H4" i="4"/>
  <c r="H5" i="4" s="1"/>
  <c r="H9" i="4" s="1"/>
  <c r="I4" i="4"/>
  <c r="I5" i="4" s="1"/>
  <c r="I9" i="4" s="1"/>
  <c r="L16" i="4"/>
  <c r="L17" i="4" s="1"/>
  <c r="I10" i="2"/>
  <c r="I12" i="7" s="1"/>
  <c r="L12" i="2"/>
  <c r="J11" i="7"/>
  <c r="K22" i="7"/>
  <c r="K11" i="7" s="1"/>
  <c r="J22" i="6"/>
  <c r="L22" i="6"/>
  <c r="I22" i="6"/>
  <c r="K22" i="6"/>
  <c r="H22" i="6"/>
  <c r="H19" i="6" s="1"/>
  <c r="H20" i="6" s="1"/>
  <c r="I16" i="6" s="1"/>
  <c r="I18" i="6" s="1"/>
  <c r="F17" i="6"/>
  <c r="I6" i="2"/>
  <c r="J7" i="2"/>
  <c r="J10" i="2" s="1"/>
  <c r="J12" i="7" s="1"/>
  <c r="H6" i="2"/>
  <c r="A19" i="1"/>
  <c r="A21" i="1" s="1"/>
  <c r="A23" i="1" s="1"/>
  <c r="A25" i="1" s="1"/>
  <c r="L22" i="7" l="1"/>
  <c r="L11" i="7" s="1"/>
  <c r="I19" i="6"/>
  <c r="I20" i="6" s="1"/>
  <c r="J16" i="6" s="1"/>
  <c r="J18" i="6" s="1"/>
  <c r="J19" i="6" s="1"/>
  <c r="J20" i="6" s="1"/>
  <c r="K16" i="6" s="1"/>
  <c r="K18" i="6" s="1"/>
  <c r="K19" i="6" s="1"/>
  <c r="K20" i="6" s="1"/>
  <c r="L16" i="6" s="1"/>
  <c r="L18" i="6" s="1"/>
  <c r="J6" i="2"/>
  <c r="K7" i="2"/>
  <c r="K10" i="2" s="1"/>
  <c r="K12" i="7" s="1"/>
  <c r="L19" i="6" l="1"/>
  <c r="L20" i="6" s="1"/>
  <c r="K6" i="2"/>
  <c r="L7" i="2"/>
  <c r="L10" i="2" s="1"/>
  <c r="L12" i="7" s="1"/>
  <c r="L6" i="2"/>
  <c r="H10" i="2" l="1"/>
  <c r="H12" i="7" s="1"/>
  <c r="G18" i="4"/>
  <c r="G20" i="4"/>
  <c r="G22" i="4"/>
  <c r="G25" i="4"/>
  <c r="G27" i="4"/>
  <c r="G28" i="3"/>
  <c r="G30" i="3"/>
  <c r="M6" i="3"/>
  <c r="M7" i="3"/>
  <c r="I10" i="4"/>
  <c r="J10" i="4"/>
  <c r="L10" i="4"/>
  <c r="K10" i="4"/>
  <c r="M9" i="3"/>
  <c r="H10" i="4"/>
  <c r="G12" i="4"/>
</calcChain>
</file>

<file path=xl/sharedStrings.xml><?xml version="1.0" encoding="utf-8"?>
<sst xmlns="http://schemas.openxmlformats.org/spreadsheetml/2006/main" count="165" uniqueCount="119">
  <si>
    <t>Projecting revenue</t>
  </si>
  <si>
    <t>EBIT margin calculation</t>
  </si>
  <si>
    <t>Preparation of WC schedule</t>
  </si>
  <si>
    <t>Calculation of discount rates</t>
  </si>
  <si>
    <t>Calculation DCF value</t>
  </si>
  <si>
    <t>Sales</t>
  </si>
  <si>
    <t>Operating profits (EBIT)</t>
  </si>
  <si>
    <t>Tax rates</t>
  </si>
  <si>
    <t>PBT</t>
  </si>
  <si>
    <t>Tax expesnes</t>
  </si>
  <si>
    <t>Debtors</t>
  </si>
  <si>
    <t>Inventory</t>
  </si>
  <si>
    <t>Other current assets</t>
  </si>
  <si>
    <t>Creditors</t>
  </si>
  <si>
    <t>Depreciation &amp; Amortization</t>
  </si>
  <si>
    <t>Accured income tax payable</t>
  </si>
  <si>
    <t>Other accruals</t>
  </si>
  <si>
    <t>Figures in $ Mn</t>
  </si>
  <si>
    <t xml:space="preserve">Historical </t>
  </si>
  <si>
    <t>Projected</t>
  </si>
  <si>
    <t>Operating profit margins (%)</t>
  </si>
  <si>
    <t>Growth rate %</t>
  </si>
  <si>
    <t>Debtor days</t>
  </si>
  <si>
    <t>Inventory days</t>
  </si>
  <si>
    <t>Gross profit</t>
  </si>
  <si>
    <t>Cost of sales</t>
  </si>
  <si>
    <t>GP margins %</t>
  </si>
  <si>
    <t>Other current assets as % of revenue</t>
  </si>
  <si>
    <t>Creditor days</t>
  </si>
  <si>
    <t>Interest expenses</t>
  </si>
  <si>
    <t>Debt Schedule</t>
  </si>
  <si>
    <t>Fixed asset schedule</t>
  </si>
  <si>
    <t>Working capital schedule</t>
  </si>
  <si>
    <t>Opening balance</t>
  </si>
  <si>
    <t>Closing balance</t>
  </si>
  <si>
    <t>Less:Depreciation</t>
  </si>
  <si>
    <t>Add: Net Purchases</t>
  </si>
  <si>
    <t>Total Fixed assets</t>
  </si>
  <si>
    <t>Net Working capital</t>
  </si>
  <si>
    <t xml:space="preserve">Changes in working capital </t>
  </si>
  <si>
    <t>Interest rate (pre tax)</t>
  </si>
  <si>
    <t xml:space="preserve">Less:Amortization </t>
  </si>
  <si>
    <t xml:space="preserve">Amrotization </t>
  </si>
  <si>
    <t xml:space="preserve">Deprecriation </t>
  </si>
  <si>
    <t xml:space="preserve">Rate of depreciation </t>
  </si>
  <si>
    <t xml:space="preserve">Rate of amortization </t>
  </si>
  <si>
    <t>Fixed asset turnover ratio</t>
  </si>
  <si>
    <t>Other intangible assets schedule</t>
  </si>
  <si>
    <t>Cost of debt</t>
  </si>
  <si>
    <t>Cost of equity</t>
  </si>
  <si>
    <t xml:space="preserve">Risk free rate </t>
  </si>
  <si>
    <t>Risk free rate</t>
  </si>
  <si>
    <t>Beta</t>
  </si>
  <si>
    <t>Return of markets</t>
  </si>
  <si>
    <t xml:space="preserve">Add: Company risk premium </t>
  </si>
  <si>
    <t>Add: Country risk premium</t>
  </si>
  <si>
    <t>Post tax cost of debt</t>
  </si>
  <si>
    <t>Ashwath Damodran dataset</t>
  </si>
  <si>
    <t>Marginal rate</t>
  </si>
  <si>
    <t>Calculation of beta</t>
  </si>
  <si>
    <t>Last 3 years weekly data</t>
  </si>
  <si>
    <t>Return of colgate</t>
  </si>
  <si>
    <t>Adj Close</t>
  </si>
  <si>
    <t>Return of market</t>
  </si>
  <si>
    <t>Date</t>
  </si>
  <si>
    <t>Calculation of return of market</t>
  </si>
  <si>
    <t>Start date</t>
  </si>
  <si>
    <t>Valuation date</t>
  </si>
  <si>
    <t>Years</t>
  </si>
  <si>
    <t>CAGR</t>
  </si>
  <si>
    <t>WACC Calculation</t>
  </si>
  <si>
    <t>Kd</t>
  </si>
  <si>
    <t>Wd</t>
  </si>
  <si>
    <t>Ke</t>
  </si>
  <si>
    <t>We</t>
  </si>
  <si>
    <t>Calculation of  market value weights</t>
  </si>
  <si>
    <t xml:space="preserve">Shares outstanding </t>
  </si>
  <si>
    <t>Price per share</t>
  </si>
  <si>
    <t>Value of equity shares</t>
  </si>
  <si>
    <t>Value of debt</t>
  </si>
  <si>
    <t>WACC</t>
  </si>
  <si>
    <t>EBIT</t>
  </si>
  <si>
    <t>Less: taxes</t>
  </si>
  <si>
    <t>NOPAT</t>
  </si>
  <si>
    <t>Add: Depreciation and amortization</t>
  </si>
  <si>
    <t>Add/Less: Working capital changes</t>
  </si>
  <si>
    <t>Less: Investment in fixed assets</t>
  </si>
  <si>
    <t>FCFF</t>
  </si>
  <si>
    <t>Discount factor</t>
  </si>
  <si>
    <t>Present value of Explicit period</t>
  </si>
  <si>
    <t>Value of firm</t>
  </si>
  <si>
    <t xml:space="preserve">Less: Debt </t>
  </si>
  <si>
    <t>Exit multiple</t>
  </si>
  <si>
    <t>EV/EBITDA</t>
  </si>
  <si>
    <t>EBITDA</t>
  </si>
  <si>
    <t>Present value of terminal value</t>
  </si>
  <si>
    <t>Total Present value of operations</t>
  </si>
  <si>
    <t>Enterprise value (Terminal value)</t>
  </si>
  <si>
    <t>Add: Non Operating assets including cash</t>
  </si>
  <si>
    <t>Less: Non-controlling interest</t>
  </si>
  <si>
    <t>Value of equity</t>
  </si>
  <si>
    <t>Value per share (20/02/2021)</t>
  </si>
  <si>
    <t>Preparation of Debt  schedule</t>
  </si>
  <si>
    <t>Gross profit margin calculation</t>
  </si>
  <si>
    <t>Entering historical P&amp;L</t>
  </si>
  <si>
    <t>Entering historical Balance Sheet data</t>
  </si>
  <si>
    <t>(Working capital, Fixed asset &amp; other intangible assets)</t>
  </si>
  <si>
    <t>Seperating Depreciation and amortization</t>
  </si>
  <si>
    <t>Current Liabilities</t>
  </si>
  <si>
    <t>Total current assets</t>
  </si>
  <si>
    <t>Total current liabilities</t>
  </si>
  <si>
    <t>Current assets</t>
  </si>
  <si>
    <t xml:space="preserve">(Sales, Cost of sales, Gross profits, depreciation &amp; Amortization, EBIT, PBT &amp; taxes) </t>
  </si>
  <si>
    <t>Preparation of FA schedule OIA</t>
  </si>
  <si>
    <t>Other operating expenses</t>
  </si>
  <si>
    <t>Total OIA</t>
  </si>
  <si>
    <t>Add/Less: Debt taken (Repaid)</t>
  </si>
  <si>
    <t>Accured income tax payable (as % of Income tax)</t>
  </si>
  <si>
    <t>Other accruals (% of operating 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</si>
</sst>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0.0%"/>
    <numFmt numFmtId="166" formatCode="_ * #,##0_ ;_ * \-#,##0_ ;_ * &quot;-&quot;??_ ;_ @_ "/>
    <numFmt numFmtId="167" formatCode="0\ &quot;day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0" fillId="0" borderId="0" xfId="0" applyFont="1"/>
    <xf numFmtId="9" fontId="0" fillId="0" borderId="0" xfId="2" applyFont="1"/>
    <xf numFmtId="165" fontId="0" fillId="0" borderId="0" xfId="2" applyNumberFormat="1" applyFont="1"/>
    <xf numFmtId="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3" fillId="0" borderId="0" xfId="0" applyFont="1"/>
    <xf numFmtId="165" fontId="3" fillId="0" borderId="0" xfId="2" applyNumberFormat="1" applyFont="1"/>
    <xf numFmtId="9" fontId="3" fillId="0" borderId="0" xfId="2" applyFont="1"/>
    <xf numFmtId="1" fontId="3" fillId="0" borderId="0" xfId="0" applyNumberFormat="1" applyFont="1"/>
    <xf numFmtId="164" fontId="3" fillId="0" borderId="0" xfId="1" applyFont="1"/>
    <xf numFmtId="166" fontId="3" fillId="0" borderId="0" xfId="1" applyNumberFormat="1" applyFont="1"/>
    <xf numFmtId="164" fontId="0" fillId="0" borderId="0" xfId="1" applyFont="1"/>
    <xf numFmtId="166" fontId="0" fillId="0" borderId="0" xfId="1" applyNumberFormat="1" applyFont="1"/>
    <xf numFmtId="166" fontId="3" fillId="0" borderId="0" xfId="0" applyNumberFormat="1" applyFont="1"/>
    <xf numFmtId="9" fontId="0" fillId="0" borderId="0" xfId="2" applyNumberFormat="1" applyFont="1"/>
    <xf numFmtId="166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164" fontId="2" fillId="0" borderId="0" xfId="0" applyNumberFormat="1" applyFont="1"/>
    <xf numFmtId="164" fontId="2" fillId="0" borderId="0" xfId="1" applyFont="1"/>
    <xf numFmtId="0" fontId="0" fillId="0" borderId="0" xfId="0" applyFill="1"/>
    <xf numFmtId="0" fontId="5" fillId="0" borderId="0" xfId="0" applyFont="1"/>
    <xf numFmtId="0" fontId="6" fillId="0" borderId="0" xfId="0" applyFont="1"/>
    <xf numFmtId="9" fontId="7" fillId="0" borderId="0" xfId="2" applyFont="1"/>
    <xf numFmtId="9" fontId="6" fillId="0" borderId="0" xfId="2" applyFont="1"/>
    <xf numFmtId="0" fontId="7" fillId="0" borderId="0" xfId="0" applyFont="1"/>
    <xf numFmtId="165" fontId="7" fillId="0" borderId="0" xfId="2" applyNumberFormat="1" applyFont="1"/>
    <xf numFmtId="165" fontId="6" fillId="0" borderId="0" xfId="2" applyNumberFormat="1" applyFont="1"/>
    <xf numFmtId="165" fontId="6" fillId="0" borderId="0" xfId="0" applyNumberFormat="1" applyFont="1"/>
    <xf numFmtId="0" fontId="2" fillId="0" borderId="1" xfId="0" applyFont="1" applyBorder="1"/>
    <xf numFmtId="0" fontId="0" fillId="0" borderId="1" xfId="0" applyBorder="1"/>
    <xf numFmtId="167" fontId="3" fillId="0" borderId="0" xfId="0" applyNumberFormat="1" applyFont="1"/>
    <xf numFmtId="167" fontId="0" fillId="0" borderId="0" xfId="0" applyNumberFormat="1"/>
    <xf numFmtId="0" fontId="4" fillId="0" borderId="1" xfId="0" applyFont="1" applyBorder="1"/>
    <xf numFmtId="166" fontId="2" fillId="0" borderId="1" xfId="0" applyNumberFormat="1" applyFont="1" applyBorder="1"/>
    <xf numFmtId="166" fontId="2" fillId="0" borderId="1" xfId="1" applyNumberFormat="1" applyFont="1" applyBorder="1"/>
    <xf numFmtId="1" fontId="4" fillId="0" borderId="1" xfId="0" applyNumberFormat="1" applyFont="1" applyBorder="1"/>
    <xf numFmtId="1" fontId="2" fillId="0" borderId="1" xfId="0" applyNumberFormat="1" applyFont="1" applyBorder="1"/>
    <xf numFmtId="166" fontId="1" fillId="0" borderId="0" xfId="1" applyNumberFormat="1" applyFont="1"/>
    <xf numFmtId="15" fontId="0" fillId="0" borderId="0" xfId="0" applyNumberFormat="1"/>
    <xf numFmtId="10" fontId="2" fillId="0" borderId="1" xfId="2" applyNumberFormat="1" applyFont="1" applyBorder="1"/>
    <xf numFmtId="10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9" fontId="1" fillId="0" borderId="0" xfId="2" applyFont="1"/>
    <xf numFmtId="0" fontId="0" fillId="0" borderId="0" xfId="0" applyFont="1" applyFill="1"/>
    <xf numFmtId="0" fontId="2" fillId="0" borderId="1" xfId="0" applyFont="1" applyFill="1" applyBorder="1"/>
    <xf numFmtId="164" fontId="2" fillId="0" borderId="1" xfId="0" applyNumberFormat="1" applyFont="1" applyFill="1" applyBorder="1"/>
    <xf numFmtId="164" fontId="2" fillId="0" borderId="1" xfId="0" applyNumberFormat="1" applyFont="1" applyBorder="1"/>
    <xf numFmtId="0" fontId="2" fillId="2" borderId="2" xfId="0" applyFont="1" applyFill="1" applyBorder="1"/>
    <xf numFmtId="0" fontId="2" fillId="2" borderId="3" xfId="0" applyFont="1" applyFill="1" applyBorder="1"/>
    <xf numFmtId="164" fontId="2" fillId="2" borderId="4" xfId="0" applyNumberFormat="1" applyFont="1" applyFill="1" applyBorder="1"/>
    <xf numFmtId="0" fontId="2" fillId="0" borderId="0" xfId="0" applyFont="1" applyBorder="1"/>
    <xf numFmtId="0" fontId="4" fillId="0" borderId="0" xfId="0" applyFont="1" applyBorder="1"/>
    <xf numFmtId="1" fontId="4" fillId="0" borderId="0" xfId="0" applyNumberFormat="1" applyFont="1" applyBorder="1"/>
    <xf numFmtId="0" fontId="0" fillId="0" borderId="0" xfId="0" applyBorder="1"/>
    <xf numFmtId="0" fontId="9" fillId="0" borderId="0" xfId="0" applyFont="1"/>
    <xf numFmtId="0" fontId="6" fillId="0" borderId="0" xfId="0" applyFont="1" applyAlignment="1">
      <alignment horizontal="left" indent="1"/>
    </xf>
    <xf numFmtId="0" fontId="10" fillId="0" borderId="0" xfId="0" applyFont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 indent="1"/>
    </xf>
    <xf numFmtId="0" fontId="0" fillId="2" borderId="0" xfId="0" applyFill="1"/>
    <xf numFmtId="0" fontId="0" fillId="2" borderId="0" xfId="0" applyFill="1" applyBorder="1"/>
    <xf numFmtId="166" fontId="0" fillId="0" borderId="1" xfId="0" applyNumberFormat="1" applyBorder="1"/>
    <xf numFmtId="166" fontId="0" fillId="0" borderId="1" xfId="1" applyNumberFormat="1" applyFont="1" applyBorder="1"/>
    <xf numFmtId="166" fontId="0" fillId="0" borderId="0" xfId="1" applyNumberFormat="1" applyFont="1" applyFill="1"/>
    <xf numFmtId="166" fontId="10" fillId="0" borderId="0" xfId="1" applyNumberFormat="1" applyFont="1"/>
    <xf numFmtId="10" fontId="2" fillId="0" borderId="5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Fill="1" applyAlignment="1">
      <alignment horizontal="left" indent="1"/>
    </xf>
    <xf numFmtId="166" fontId="4" fillId="0" borderId="1" xfId="0" applyNumberFormat="1" applyFont="1" applyBorder="1"/>
    <xf numFmtId="10" fontId="1" fillId="0" borderId="0" xfId="2" applyNumberFormat="1" applyFont="1"/>
    <xf numFmtId="10" fontId="0" fillId="0" borderId="0" xfId="1" applyNumberFormat="1" applyFont="1"/>
    <xf numFmtId="10" fontId="2" fillId="0" borderId="1" xfId="0" applyNumberFormat="1" applyFont="1" applyBorder="1"/>
    <xf numFmtId="43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8A67-0039-47C8-AE81-0D91DB2C51DF}">
  <dimension ref="A2:B25"/>
  <sheetViews>
    <sheetView showGridLines="0" topLeftCell="A7" workbookViewId="0">
      <selection activeCell="B23" sqref="B23"/>
    </sheetView>
  </sheetViews>
  <sheetFormatPr defaultRowHeight="15" x14ac:dyDescent="0.25"/>
  <cols>
    <col min="1" max="16384" width="9.140625" style="25"/>
  </cols>
  <sheetData>
    <row r="2" spans="1:2" x14ac:dyDescent="0.25">
      <c r="A2" s="25">
        <v>1</v>
      </c>
      <c r="B2" s="67" t="s">
        <v>104</v>
      </c>
    </row>
    <row r="3" spans="1:2" x14ac:dyDescent="0.25">
      <c r="B3" s="25" t="s">
        <v>112</v>
      </c>
    </row>
    <row r="6" spans="1:2" x14ac:dyDescent="0.25">
      <c r="A6" s="25">
        <f>A2+1</f>
        <v>2</v>
      </c>
      <c r="B6" s="68" t="s">
        <v>105</v>
      </c>
    </row>
    <row r="7" spans="1:2" x14ac:dyDescent="0.25">
      <c r="B7" s="77" t="s">
        <v>106</v>
      </c>
    </row>
    <row r="9" spans="1:2" x14ac:dyDescent="0.25">
      <c r="A9" s="25">
        <f>A6+1</f>
        <v>3</v>
      </c>
      <c r="B9" s="67" t="s">
        <v>0</v>
      </c>
    </row>
    <row r="11" spans="1:2" x14ac:dyDescent="0.25">
      <c r="A11" s="25">
        <f>A9+1</f>
        <v>4</v>
      </c>
      <c r="B11" s="67" t="s">
        <v>103</v>
      </c>
    </row>
    <row r="13" spans="1:2" x14ac:dyDescent="0.25">
      <c r="A13" s="25">
        <f>A11+1</f>
        <v>5</v>
      </c>
      <c r="B13" s="67" t="s">
        <v>1</v>
      </c>
    </row>
    <row r="15" spans="1:2" x14ac:dyDescent="0.25">
      <c r="A15" s="25">
        <f>A13+1</f>
        <v>6</v>
      </c>
      <c r="B15" s="67" t="s">
        <v>107</v>
      </c>
    </row>
    <row r="17" spans="1:2" x14ac:dyDescent="0.25">
      <c r="A17" s="25">
        <f>A15+1</f>
        <v>7</v>
      </c>
      <c r="B17" s="67" t="s">
        <v>113</v>
      </c>
    </row>
    <row r="19" spans="1:2" x14ac:dyDescent="0.25">
      <c r="A19" s="25">
        <f>A17+1</f>
        <v>8</v>
      </c>
      <c r="B19" s="67" t="s">
        <v>2</v>
      </c>
    </row>
    <row r="21" spans="1:2" x14ac:dyDescent="0.25">
      <c r="A21" s="25">
        <f>A19+1</f>
        <v>9</v>
      </c>
      <c r="B21" s="67" t="s">
        <v>102</v>
      </c>
    </row>
    <row r="23" spans="1:2" x14ac:dyDescent="0.25">
      <c r="A23" s="25">
        <f>A21+1</f>
        <v>10</v>
      </c>
      <c r="B23" s="67" t="s">
        <v>3</v>
      </c>
    </row>
    <row r="25" spans="1:2" x14ac:dyDescent="0.25">
      <c r="A25" s="25">
        <f>A23+1</f>
        <v>11</v>
      </c>
      <c r="B25" s="2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AF87-33E8-4C35-A087-C383C1C729EB}">
  <dimension ref="A1:O87"/>
  <sheetViews>
    <sheetView showGridLines="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H14" sqref="H14:L14"/>
    </sheetView>
  </sheetViews>
  <sheetFormatPr defaultRowHeight="15" x14ac:dyDescent="0.25"/>
  <cols>
    <col min="1" max="1" width="24.5703125" bestFit="1" customWidth="1"/>
    <col min="7" max="7" width="9.85546875" bestFit="1" customWidth="1"/>
  </cols>
  <sheetData>
    <row r="1" spans="1:15" x14ac:dyDescent="0.25">
      <c r="A1" s="1" t="s">
        <v>17</v>
      </c>
      <c r="D1" s="74" t="s">
        <v>18</v>
      </c>
      <c r="E1" s="74"/>
      <c r="F1" s="74"/>
      <c r="G1" s="74"/>
      <c r="H1" s="75" t="s">
        <v>19</v>
      </c>
      <c r="I1" s="75"/>
      <c r="J1" s="75"/>
      <c r="K1" s="75"/>
      <c r="L1" s="75"/>
    </row>
    <row r="2" spans="1:15" x14ac:dyDescent="0.25">
      <c r="A2" s="1"/>
      <c r="D2" s="8">
        <v>2017</v>
      </c>
      <c r="E2" s="8">
        <f>D2+1</f>
        <v>2018</v>
      </c>
      <c r="F2" s="8">
        <f t="shared" ref="F2:G2" si="0">E2+1</f>
        <v>2019</v>
      </c>
      <c r="G2" s="8">
        <f t="shared" si="0"/>
        <v>2020</v>
      </c>
      <c r="H2" s="1">
        <f>G2+1</f>
        <v>2021</v>
      </c>
      <c r="I2" s="1">
        <f t="shared" ref="I2:L2" si="1">H2+1</f>
        <v>2022</v>
      </c>
      <c r="J2" s="1">
        <f t="shared" si="1"/>
        <v>2023</v>
      </c>
      <c r="K2" s="1">
        <f t="shared" si="1"/>
        <v>2024</v>
      </c>
      <c r="L2" s="1">
        <f t="shared" si="1"/>
        <v>2025</v>
      </c>
    </row>
    <row r="3" spans="1:15" x14ac:dyDescent="0.25">
      <c r="A3" s="1" t="s">
        <v>5</v>
      </c>
      <c r="D3" s="9">
        <v>15454</v>
      </c>
      <c r="E3" s="9">
        <v>15544</v>
      </c>
      <c r="F3" s="9">
        <v>15693</v>
      </c>
      <c r="G3" s="9">
        <v>16471</v>
      </c>
      <c r="H3" s="7">
        <f>G3*(1+H4)</f>
        <v>17190.140254380934</v>
      </c>
      <c r="I3" s="7">
        <f t="shared" ref="I3:L3" si="2">H3*(1+I4)</f>
        <v>17838.994930914483</v>
      </c>
      <c r="J3" s="7">
        <f t="shared" si="2"/>
        <v>18406.819017571634</v>
      </c>
      <c r="K3" s="7">
        <f t="shared" si="2"/>
        <v>18883.836312710751</v>
      </c>
      <c r="L3" s="7">
        <f t="shared" si="2"/>
        <v>19261.513038964968</v>
      </c>
    </row>
    <row r="4" spans="1:15" x14ac:dyDescent="0.25">
      <c r="A4" s="62" t="s">
        <v>21</v>
      </c>
      <c r="B4" s="27"/>
      <c r="C4" s="27"/>
      <c r="D4" s="30"/>
      <c r="E4" s="31">
        <f>(E3-D3)/D3</f>
        <v>5.8237349553513654E-3</v>
      </c>
      <c r="F4" s="31">
        <f t="shared" ref="F4:G4" si="3">(F3-E3)/E3</f>
        <v>9.5856922285126097E-3</v>
      </c>
      <c r="G4" s="31">
        <f t="shared" si="3"/>
        <v>4.9576244185305547E-2</v>
      </c>
      <c r="H4" s="32">
        <f>G4-$M$4</f>
        <v>4.3660995348244441E-2</v>
      </c>
      <c r="I4" s="32">
        <f t="shared" ref="I4:K4" si="4">H4-$M$4</f>
        <v>3.7745746511183328E-2</v>
      </c>
      <c r="J4" s="32">
        <f t="shared" si="4"/>
        <v>3.1830497674122216E-2</v>
      </c>
      <c r="K4" s="32">
        <f t="shared" si="4"/>
        <v>2.5915248837061106E-2</v>
      </c>
      <c r="L4" s="32">
        <v>0.02</v>
      </c>
      <c r="M4" s="32">
        <f>(G4-L4)/5</f>
        <v>5.9152488370611093E-3</v>
      </c>
      <c r="N4" s="33"/>
      <c r="O4" s="26"/>
    </row>
    <row r="5" spans="1:15" x14ac:dyDescent="0.25">
      <c r="A5" s="1"/>
      <c r="D5" s="9"/>
      <c r="E5" s="10"/>
      <c r="F5" s="10"/>
      <c r="G5" s="10"/>
      <c r="H5" s="4"/>
      <c r="I5" s="4"/>
      <c r="J5" s="4"/>
      <c r="K5" s="4"/>
      <c r="L5" s="4"/>
      <c r="M5" s="5"/>
      <c r="N5" s="6"/>
    </row>
    <row r="6" spans="1:15" x14ac:dyDescent="0.25">
      <c r="A6" s="1" t="s">
        <v>25</v>
      </c>
      <c r="D6" s="17">
        <f>D3-D7</f>
        <v>6174</v>
      </c>
      <c r="E6" s="17">
        <f t="shared" ref="E6:G6" si="5">E3-E7</f>
        <v>6313</v>
      </c>
      <c r="F6" s="17">
        <f t="shared" si="5"/>
        <v>6368</v>
      </c>
      <c r="G6" s="17">
        <f t="shared" si="5"/>
        <v>6454</v>
      </c>
      <c r="H6" s="17">
        <f t="shared" ref="H6" si="6">H3-H7</f>
        <v>6890.1170242651988</v>
      </c>
      <c r="I6" s="17">
        <f t="shared" ref="I6" si="7">I3-I7</f>
        <v>7150.1896348955015</v>
      </c>
      <c r="J6" s="17">
        <f t="shared" ref="J6" si="8">J3-J7</f>
        <v>7377.7837294385754</v>
      </c>
      <c r="K6" s="17">
        <f t="shared" ref="K6" si="9">K3-K7</f>
        <v>7568.9808306529976</v>
      </c>
      <c r="L6" s="17">
        <f t="shared" ref="L6" si="10">L3-L7</f>
        <v>7720.3604472660572</v>
      </c>
      <c r="M6" s="5"/>
      <c r="N6" s="6"/>
    </row>
    <row r="7" spans="1:15" x14ac:dyDescent="0.25">
      <c r="A7" s="1" t="s">
        <v>24</v>
      </c>
      <c r="D7" s="14">
        <v>9280</v>
      </c>
      <c r="E7" s="14">
        <v>9231</v>
      </c>
      <c r="F7" s="14">
        <v>9325</v>
      </c>
      <c r="G7" s="14">
        <v>10017</v>
      </c>
      <c r="H7" s="16">
        <f>H3*H8</f>
        <v>10300.023230115736</v>
      </c>
      <c r="I7" s="16">
        <f t="shared" ref="I7:L7" si="11">I3*I8</f>
        <v>10688.805296018982</v>
      </c>
      <c r="J7" s="16">
        <f t="shared" si="11"/>
        <v>11029.035288133058</v>
      </c>
      <c r="K7" s="16">
        <f t="shared" si="11"/>
        <v>11314.855482057754</v>
      </c>
      <c r="L7" s="16">
        <f t="shared" si="11"/>
        <v>11541.15259169891</v>
      </c>
      <c r="M7" s="5"/>
      <c r="N7" s="6"/>
    </row>
    <row r="8" spans="1:15" x14ac:dyDescent="0.25">
      <c r="A8" s="62" t="s">
        <v>26</v>
      </c>
      <c r="B8" s="27"/>
      <c r="C8" s="27"/>
      <c r="D8" s="28">
        <f>D7/D3</f>
        <v>0.60049178206289633</v>
      </c>
      <c r="E8" s="28">
        <f t="shared" ref="E8:G8" si="12">E7/E3</f>
        <v>0.59386258363355637</v>
      </c>
      <c r="F8" s="28">
        <f t="shared" si="12"/>
        <v>0.59421398075575094</v>
      </c>
      <c r="G8" s="28">
        <f t="shared" si="12"/>
        <v>0.60815979600509984</v>
      </c>
      <c r="H8" s="29">
        <f>AVERAGE($D$8:$G$8)</f>
        <v>0.59918203561432593</v>
      </c>
      <c r="I8" s="29">
        <f t="shared" ref="I8:L8" si="13">AVERAGE($D$8:$G$8)</f>
        <v>0.59918203561432593</v>
      </c>
      <c r="J8" s="29">
        <f t="shared" si="13"/>
        <v>0.59918203561432593</v>
      </c>
      <c r="K8" s="29">
        <f t="shared" si="13"/>
        <v>0.59918203561432593</v>
      </c>
      <c r="L8" s="29">
        <f t="shared" si="13"/>
        <v>0.59918203561432593</v>
      </c>
      <c r="M8" s="5"/>
      <c r="N8" s="6"/>
    </row>
    <row r="9" spans="1:15" x14ac:dyDescent="0.25">
      <c r="A9" s="27"/>
      <c r="B9" s="27"/>
      <c r="C9" s="27"/>
      <c r="D9" s="28"/>
      <c r="E9" s="28"/>
      <c r="F9" s="28"/>
      <c r="G9" s="28"/>
      <c r="H9" s="29"/>
      <c r="I9" s="29"/>
      <c r="J9" s="29"/>
      <c r="K9" s="29"/>
      <c r="L9" s="29"/>
      <c r="M9" s="5"/>
      <c r="N9" s="6"/>
    </row>
    <row r="10" spans="1:15" x14ac:dyDescent="0.25">
      <c r="A10" s="1" t="s">
        <v>114</v>
      </c>
      <c r="B10" s="27"/>
      <c r="C10" s="27"/>
      <c r="D10" s="17">
        <f>D7-D12-D16</f>
        <v>5098</v>
      </c>
      <c r="E10" s="17">
        <f t="shared" ref="E10:L10" si="14">E7-E12-E16</f>
        <v>5026</v>
      </c>
      <c r="F10" s="17">
        <f t="shared" si="14"/>
        <v>5252</v>
      </c>
      <c r="G10" s="17">
        <f t="shared" si="14"/>
        <v>5539</v>
      </c>
      <c r="H10" s="17">
        <f t="shared" si="14"/>
        <v>5705.8981870642492</v>
      </c>
      <c r="I10" s="17">
        <f t="shared" si="14"/>
        <v>5926.6298531915645</v>
      </c>
      <c r="J10" s="17">
        <f t="shared" si="14"/>
        <v>6120.017337907324</v>
      </c>
      <c r="K10" s="17">
        <f t="shared" si="14"/>
        <v>6282.7711784958337</v>
      </c>
      <c r="L10" s="17">
        <f t="shared" si="14"/>
        <v>6412.0201378112715</v>
      </c>
      <c r="M10" s="5"/>
      <c r="N10" s="6"/>
    </row>
    <row r="11" spans="1:15" x14ac:dyDescent="0.25">
      <c r="A11" s="1"/>
      <c r="B11" s="27"/>
      <c r="C11" s="27"/>
      <c r="D11" s="9"/>
      <c r="E11" s="9"/>
      <c r="F11" s="9"/>
      <c r="G11" s="9"/>
      <c r="H11" s="29"/>
      <c r="I11" s="29"/>
      <c r="J11" s="29"/>
      <c r="K11" s="29"/>
      <c r="L11" s="29"/>
      <c r="M11" s="5"/>
      <c r="N11" s="6"/>
    </row>
    <row r="12" spans="1:15" x14ac:dyDescent="0.25">
      <c r="A12" s="57" t="s">
        <v>14</v>
      </c>
      <c r="B12" s="60"/>
      <c r="C12" s="60"/>
      <c r="D12" s="58">
        <v>475</v>
      </c>
      <c r="E12" s="58">
        <v>511</v>
      </c>
      <c r="F12" s="58">
        <v>519</v>
      </c>
      <c r="G12" s="58">
        <v>593</v>
      </c>
      <c r="H12" s="71">
        <f>H13+H14</f>
        <v>555.04097424861311</v>
      </c>
      <c r="I12" s="71">
        <f t="shared" ref="I12:L12" si="15">I13+I14</f>
        <v>570.63313062615191</v>
      </c>
      <c r="J12" s="71">
        <f t="shared" si="15"/>
        <v>584.05676020496344</v>
      </c>
      <c r="K12" s="71">
        <f t="shared" si="15"/>
        <v>595.0406680911284</v>
      </c>
      <c r="L12" s="71">
        <f t="shared" si="15"/>
        <v>603.34794570743236</v>
      </c>
      <c r="M12" s="5"/>
      <c r="N12" s="6"/>
    </row>
    <row r="13" spans="1:15" x14ac:dyDescent="0.25">
      <c r="A13" s="66" t="s">
        <v>42</v>
      </c>
      <c r="B13" s="60"/>
      <c r="C13" s="60"/>
      <c r="D13" s="64">
        <v>35</v>
      </c>
      <c r="E13" s="64">
        <v>59</v>
      </c>
      <c r="F13" s="64">
        <v>62</v>
      </c>
      <c r="G13" s="64">
        <v>88</v>
      </c>
      <c r="H13" s="71">
        <f>'Fixed asset Schedule'!H19</f>
        <v>81.359834299959047</v>
      </c>
      <c r="I13" s="71">
        <f>'Fixed asset Schedule'!I19</f>
        <v>79.072542441867554</v>
      </c>
      <c r="J13" s="71">
        <f>'Fixed asset Schedule'!J19</f>
        <v>76.84955386178919</v>
      </c>
      <c r="K13" s="71">
        <f>'Fixed asset Schedule'!K19</f>
        <v>74.689060783620235</v>
      </c>
      <c r="L13" s="71">
        <f>'Fixed asset Schedule'!L19</f>
        <v>72.589306253774026</v>
      </c>
      <c r="M13" s="5"/>
      <c r="N13" s="6"/>
    </row>
    <row r="14" spans="1:15" x14ac:dyDescent="0.25">
      <c r="A14" s="66" t="s">
        <v>43</v>
      </c>
      <c r="B14" s="60"/>
      <c r="C14" s="60"/>
      <c r="D14" s="64">
        <f>D12-D13</f>
        <v>440</v>
      </c>
      <c r="E14" s="64">
        <f t="shared" ref="E14:G14" si="16">E12-E13</f>
        <v>452</v>
      </c>
      <c r="F14" s="64">
        <f t="shared" si="16"/>
        <v>457</v>
      </c>
      <c r="G14" s="64">
        <f t="shared" si="16"/>
        <v>505</v>
      </c>
      <c r="H14" s="71">
        <f>'Fixed asset Schedule'!H8</f>
        <v>473.68113994865405</v>
      </c>
      <c r="I14" s="71">
        <f>'Fixed asset Schedule'!I8</f>
        <v>491.56058818428431</v>
      </c>
      <c r="J14" s="71">
        <f>'Fixed asset Schedule'!J8</f>
        <v>507.20720634317428</v>
      </c>
      <c r="K14" s="71">
        <f>'Fixed asset Schedule'!K8</f>
        <v>520.35160730750817</v>
      </c>
      <c r="L14" s="71">
        <f>'Fixed asset Schedule'!L8</f>
        <v>530.75863945365836</v>
      </c>
    </row>
    <row r="15" spans="1:15" x14ac:dyDescent="0.25">
      <c r="A15" s="65"/>
      <c r="B15" s="60"/>
      <c r="C15" s="60"/>
      <c r="D15" s="64"/>
      <c r="E15" s="64"/>
      <c r="F15" s="64"/>
      <c r="G15" s="64"/>
    </row>
    <row r="16" spans="1:15" x14ac:dyDescent="0.25">
      <c r="A16" s="1" t="s">
        <v>6</v>
      </c>
      <c r="D16" s="9">
        <v>3707</v>
      </c>
      <c r="E16" s="9">
        <v>3694</v>
      </c>
      <c r="F16" s="9">
        <v>3554</v>
      </c>
      <c r="G16" s="9">
        <v>3885</v>
      </c>
      <c r="H16" s="7">
        <f>H17*H3</f>
        <v>4039.0840688028725</v>
      </c>
      <c r="I16" s="7">
        <f t="shared" ref="I16:L16" si="17">I17*I3</f>
        <v>4191.5423122012644</v>
      </c>
      <c r="J16" s="7">
        <f t="shared" si="17"/>
        <v>4324.961190020771</v>
      </c>
      <c r="K16" s="7">
        <f t="shared" si="17"/>
        <v>4437.0436354707908</v>
      </c>
      <c r="L16" s="7">
        <f t="shared" si="17"/>
        <v>4525.784508180207</v>
      </c>
    </row>
    <row r="17" spans="1:14" x14ac:dyDescent="0.25">
      <c r="A17" s="62" t="s">
        <v>20</v>
      </c>
      <c r="B17" s="27"/>
      <c r="C17" s="27"/>
      <c r="D17" s="31">
        <f>D16/D3</f>
        <v>0.23987317199430569</v>
      </c>
      <c r="E17" s="31">
        <f t="shared" ref="E17:G17" si="18">E16/E3</f>
        <v>0.2376479670612455</v>
      </c>
      <c r="F17" s="31">
        <f t="shared" si="18"/>
        <v>0.22647040081565029</v>
      </c>
      <c r="G17" s="31">
        <f t="shared" si="18"/>
        <v>0.2358691032724182</v>
      </c>
      <c r="H17" s="32">
        <f>AVERAGE($D$17:$G$17)</f>
        <v>0.2349651607859049</v>
      </c>
      <c r="I17" s="32">
        <f t="shared" ref="I17:L17" si="19">AVERAGE($D$17:$G$17)</f>
        <v>0.2349651607859049</v>
      </c>
      <c r="J17" s="32">
        <f t="shared" si="19"/>
        <v>0.2349651607859049</v>
      </c>
      <c r="K17" s="32">
        <f t="shared" si="19"/>
        <v>0.2349651607859049</v>
      </c>
      <c r="L17" s="32">
        <f t="shared" si="19"/>
        <v>0.2349651607859049</v>
      </c>
    </row>
    <row r="18" spans="1:14" x14ac:dyDescent="0.25">
      <c r="A18" s="1"/>
      <c r="D18" s="9"/>
      <c r="E18" s="9"/>
      <c r="F18" s="9"/>
      <c r="G18" s="9"/>
    </row>
    <row r="19" spans="1:14" x14ac:dyDescent="0.25">
      <c r="A19" s="1" t="s">
        <v>29</v>
      </c>
      <c r="D19" s="9">
        <f>D16-D22</f>
        <v>220</v>
      </c>
      <c r="E19" s="9">
        <f t="shared" ref="E19:G19" si="20">E16-E22</f>
        <v>230</v>
      </c>
      <c r="F19" s="9">
        <f t="shared" si="20"/>
        <v>253</v>
      </c>
      <c r="G19" s="9">
        <f t="shared" si="20"/>
        <v>238</v>
      </c>
      <c r="H19" s="12">
        <f>'Debt Schedule'!H8</f>
        <v>158.85867210398879</v>
      </c>
      <c r="I19" s="12">
        <f>'Debt Schedule'!I8</f>
        <v>145.67095705365108</v>
      </c>
      <c r="J19" s="12">
        <f>'Debt Schedule'!J8</f>
        <v>137.03937810628267</v>
      </c>
      <c r="K19" s="12">
        <f>'Debt Schedule'!K8</f>
        <v>118.31324072894101</v>
      </c>
      <c r="L19" s="12">
        <f>'Debt Schedule'!L8</f>
        <v>107.90518669555244</v>
      </c>
    </row>
    <row r="20" spans="1:14" x14ac:dyDescent="0.25">
      <c r="A20" s="1"/>
      <c r="D20" s="9"/>
      <c r="E20" s="9"/>
      <c r="F20" s="9"/>
      <c r="G20" s="9"/>
    </row>
    <row r="21" spans="1:14" x14ac:dyDescent="0.25">
      <c r="A21" s="1" t="s">
        <v>7</v>
      </c>
      <c r="D21" s="10">
        <f>D23/D22</f>
        <v>0.3765414396329223</v>
      </c>
      <c r="E21" s="10">
        <f t="shared" ref="E21:G21" si="21">E23/E22</f>
        <v>0.3790415704387991</v>
      </c>
      <c r="F21" s="10">
        <f t="shared" si="21"/>
        <v>0.27446228415631629</v>
      </c>
      <c r="G21" s="10">
        <f t="shared" si="21"/>
        <v>0.21579380312585686</v>
      </c>
      <c r="H21" s="6">
        <f>G21+$M$21</f>
        <v>0.2266350425006855</v>
      </c>
      <c r="I21" s="6">
        <f t="shared" ref="I21:K21" si="22">H21+$M$21</f>
        <v>0.23747628187551414</v>
      </c>
      <c r="J21" s="6">
        <f t="shared" si="22"/>
        <v>0.24831752125034279</v>
      </c>
      <c r="K21" s="6">
        <f t="shared" si="22"/>
        <v>0.2591587606251714</v>
      </c>
      <c r="L21" s="5">
        <v>0.27</v>
      </c>
      <c r="M21" s="32">
        <f>-(G21-L21)/5</f>
        <v>1.0841239374828632E-2</v>
      </c>
      <c r="N21" s="6"/>
    </row>
    <row r="22" spans="1:14" x14ac:dyDescent="0.25">
      <c r="A22" s="2" t="s">
        <v>8</v>
      </c>
      <c r="D22" s="9">
        <v>3487</v>
      </c>
      <c r="E22" s="9">
        <v>3464</v>
      </c>
      <c r="F22" s="9">
        <v>3301</v>
      </c>
      <c r="G22" s="9">
        <v>3647</v>
      </c>
      <c r="H22" s="7">
        <f>H16-H19</f>
        <v>3880.2253966988837</v>
      </c>
      <c r="I22" s="7">
        <f t="shared" ref="I22:L22" si="23">I16-I19</f>
        <v>4045.8713551476135</v>
      </c>
      <c r="J22" s="7">
        <f t="shared" si="23"/>
        <v>4187.921811914488</v>
      </c>
      <c r="K22" s="7">
        <f t="shared" si="23"/>
        <v>4318.7303947418495</v>
      </c>
      <c r="L22" s="7">
        <f t="shared" si="23"/>
        <v>4417.8793214846546</v>
      </c>
    </row>
    <row r="23" spans="1:14" x14ac:dyDescent="0.25">
      <c r="A23" s="2" t="s">
        <v>9</v>
      </c>
      <c r="D23" s="9">
        <v>1313</v>
      </c>
      <c r="E23" s="9">
        <v>1313</v>
      </c>
      <c r="F23" s="9">
        <v>906</v>
      </c>
      <c r="G23" s="9">
        <v>787</v>
      </c>
      <c r="H23" s="7">
        <f>H22*H21</f>
        <v>879.39504769309076</v>
      </c>
      <c r="I23" s="7">
        <f t="shared" ref="I23:L23" si="24">I22*I21</f>
        <v>960.79848636710301</v>
      </c>
      <c r="J23" s="7">
        <f t="shared" si="24"/>
        <v>1039.9343635248499</v>
      </c>
      <c r="K23" s="7">
        <f t="shared" si="24"/>
        <v>1119.2368165755549</v>
      </c>
      <c r="L23" s="7">
        <f t="shared" si="24"/>
        <v>1192.8274168008568</v>
      </c>
    </row>
    <row r="24" spans="1:14" x14ac:dyDescent="0.25">
      <c r="A24" s="1"/>
      <c r="D24" s="9"/>
      <c r="E24" s="9"/>
      <c r="F24" s="9"/>
      <c r="G24" s="9"/>
    </row>
    <row r="25" spans="1:14" x14ac:dyDescent="0.25">
      <c r="A25" s="1"/>
      <c r="D25" s="9"/>
      <c r="E25" s="9"/>
      <c r="F25" s="9"/>
      <c r="G25" s="9"/>
      <c r="H25" s="7"/>
      <c r="I25" s="7"/>
      <c r="J25" s="7"/>
      <c r="K25" s="7"/>
      <c r="L25" s="7"/>
    </row>
    <row r="26" spans="1:14" x14ac:dyDescent="0.25">
      <c r="A26" s="2"/>
      <c r="D26" s="36"/>
      <c r="E26" s="36"/>
      <c r="F26" s="36"/>
      <c r="G26" s="36"/>
      <c r="H26" s="37"/>
      <c r="I26" s="37"/>
      <c r="J26" s="37"/>
      <c r="K26" s="37"/>
      <c r="L26" s="37"/>
    </row>
    <row r="27" spans="1:14" x14ac:dyDescent="0.25">
      <c r="A27" s="1"/>
      <c r="D27" s="9"/>
      <c r="E27" s="9"/>
      <c r="F27" s="9"/>
      <c r="G27" s="9"/>
    </row>
    <row r="28" spans="1:14" x14ac:dyDescent="0.25">
      <c r="A28" s="1"/>
      <c r="D28" s="9"/>
      <c r="E28" s="9"/>
      <c r="F28" s="9"/>
      <c r="G28" s="9"/>
      <c r="H28" s="16"/>
      <c r="I28" s="16"/>
      <c r="J28" s="16"/>
      <c r="K28" s="16"/>
      <c r="L28" s="16"/>
    </row>
    <row r="29" spans="1:14" x14ac:dyDescent="0.25">
      <c r="A29" s="2"/>
      <c r="D29" s="36"/>
      <c r="E29" s="36"/>
      <c r="F29" s="36"/>
      <c r="G29" s="36"/>
      <c r="H29" s="37"/>
      <c r="I29" s="37"/>
      <c r="J29" s="37"/>
      <c r="K29" s="37"/>
      <c r="L29" s="37"/>
      <c r="N29" s="15"/>
    </row>
    <row r="30" spans="1:14" x14ac:dyDescent="0.25">
      <c r="A30" s="1"/>
      <c r="D30" s="9"/>
      <c r="E30" s="9"/>
      <c r="F30" s="9"/>
      <c r="G30" s="9"/>
    </row>
    <row r="31" spans="1:14" x14ac:dyDescent="0.25">
      <c r="A31" s="1"/>
      <c r="D31" s="9"/>
      <c r="E31" s="9"/>
      <c r="F31" s="9"/>
      <c r="G31" s="9"/>
      <c r="H31" s="16"/>
      <c r="I31" s="16"/>
      <c r="J31" s="16"/>
      <c r="K31" s="16"/>
      <c r="L31" s="16"/>
    </row>
    <row r="32" spans="1:14" x14ac:dyDescent="0.25">
      <c r="A32" s="2"/>
      <c r="D32" s="10"/>
      <c r="E32" s="10"/>
      <c r="F32" s="10"/>
      <c r="G32" s="10"/>
      <c r="H32" s="4"/>
      <c r="I32" s="4"/>
      <c r="J32" s="4"/>
      <c r="K32" s="4"/>
      <c r="L32" s="4"/>
    </row>
    <row r="33" spans="1:12" x14ac:dyDescent="0.25">
      <c r="A33" s="1"/>
      <c r="D33" s="9"/>
      <c r="E33" s="9"/>
      <c r="F33" s="9"/>
      <c r="G33" s="9"/>
    </row>
    <row r="34" spans="1:12" x14ac:dyDescent="0.25">
      <c r="A34" s="1"/>
      <c r="D34" s="9"/>
      <c r="E34" s="9"/>
      <c r="F34" s="9"/>
      <c r="G34" s="9"/>
      <c r="H34" s="19"/>
      <c r="I34" s="19"/>
      <c r="J34" s="19"/>
      <c r="K34" s="19"/>
      <c r="L34" s="19"/>
    </row>
    <row r="35" spans="1:12" x14ac:dyDescent="0.25">
      <c r="A35" s="2"/>
      <c r="D35" s="36"/>
      <c r="E35" s="36"/>
      <c r="F35" s="36"/>
      <c r="G35" s="36"/>
      <c r="H35" s="37"/>
      <c r="I35" s="37"/>
      <c r="J35" s="37"/>
      <c r="K35" s="37"/>
      <c r="L35" s="37"/>
    </row>
    <row r="36" spans="1:12" x14ac:dyDescent="0.25">
      <c r="A36" s="1"/>
      <c r="D36" s="9"/>
      <c r="E36" s="9"/>
      <c r="F36" s="9"/>
      <c r="G36" s="9"/>
    </row>
    <row r="37" spans="1:12" x14ac:dyDescent="0.25">
      <c r="A37" s="1"/>
      <c r="D37" s="9"/>
      <c r="E37" s="9"/>
      <c r="F37" s="9"/>
      <c r="G37" s="9"/>
    </row>
    <row r="38" spans="1:12" x14ac:dyDescent="0.25">
      <c r="A38" s="2"/>
      <c r="D38" s="9"/>
      <c r="E38" s="9"/>
      <c r="F38" s="9"/>
      <c r="G38" s="9"/>
      <c r="H38" s="16"/>
      <c r="I38" s="16"/>
      <c r="J38" s="16"/>
      <c r="K38" s="16"/>
      <c r="L38" s="16"/>
    </row>
    <row r="39" spans="1:12" x14ac:dyDescent="0.25">
      <c r="A39" s="2"/>
      <c r="D39" s="11"/>
      <c r="E39" s="11"/>
      <c r="F39" s="11"/>
      <c r="G39" s="11"/>
      <c r="H39" s="5"/>
      <c r="I39" s="5"/>
      <c r="J39" s="5"/>
      <c r="K39" s="5"/>
      <c r="L39" s="5"/>
    </row>
    <row r="40" spans="1:12" x14ac:dyDescent="0.25">
      <c r="A40" s="2"/>
      <c r="D40" s="11"/>
      <c r="E40" s="11"/>
      <c r="F40" s="11"/>
      <c r="G40" s="11"/>
    </row>
    <row r="41" spans="1:12" x14ac:dyDescent="0.25">
      <c r="A41" s="2"/>
      <c r="D41" s="9"/>
      <c r="E41" s="9"/>
      <c r="F41" s="9"/>
      <c r="G41" s="9"/>
      <c r="H41" s="19"/>
      <c r="I41" s="19"/>
      <c r="J41" s="19"/>
      <c r="K41" s="19"/>
      <c r="L41" s="19"/>
    </row>
    <row r="42" spans="1:12" s="2" customFormat="1" x14ac:dyDescent="0.25">
      <c r="D42" s="11"/>
      <c r="E42" s="11"/>
      <c r="F42" s="11"/>
      <c r="G42" s="11"/>
      <c r="H42" s="18"/>
      <c r="I42" s="18"/>
      <c r="J42" s="18"/>
      <c r="K42" s="18"/>
      <c r="L42" s="18"/>
    </row>
    <row r="43" spans="1:12" x14ac:dyDescent="0.25">
      <c r="D43" s="9"/>
      <c r="E43" s="9"/>
      <c r="F43" s="9"/>
      <c r="G43" s="9"/>
    </row>
    <row r="44" spans="1:12" x14ac:dyDescent="0.25">
      <c r="D44" s="9"/>
      <c r="E44" s="9"/>
      <c r="F44" s="9"/>
      <c r="G44" s="9"/>
    </row>
    <row r="48" spans="1:12" x14ac:dyDescent="0.25">
      <c r="H48" s="34"/>
      <c r="I48" s="34"/>
      <c r="J48" s="34"/>
      <c r="K48" s="34"/>
      <c r="L48" s="34"/>
    </row>
    <row r="49" spans="1:14" x14ac:dyDescent="0.25">
      <c r="D49" s="9"/>
      <c r="E49" s="9"/>
      <c r="F49" s="9"/>
      <c r="G49" s="9"/>
    </row>
    <row r="50" spans="1:14" x14ac:dyDescent="0.25">
      <c r="H50" s="7"/>
      <c r="I50" s="7"/>
      <c r="J50" s="7"/>
      <c r="K50" s="7"/>
      <c r="L50" s="7"/>
    </row>
    <row r="51" spans="1:14" x14ac:dyDescent="0.25">
      <c r="H51" s="4"/>
      <c r="I51" s="4"/>
      <c r="J51" s="4"/>
      <c r="K51" s="4"/>
      <c r="L51" s="4"/>
      <c r="M51" s="21">
        <v>2.3E-2</v>
      </c>
      <c r="N51" s="22"/>
    </row>
    <row r="52" spans="1:14" x14ac:dyDescent="0.25">
      <c r="D52" s="9"/>
      <c r="E52" s="9"/>
      <c r="F52" s="9"/>
      <c r="G52" s="9"/>
    </row>
    <row r="53" spans="1:14" x14ac:dyDescent="0.25">
      <c r="A53" s="1" t="s">
        <v>31</v>
      </c>
    </row>
    <row r="54" spans="1:14" x14ac:dyDescent="0.25">
      <c r="A54" t="s">
        <v>33</v>
      </c>
      <c r="D54" s="9"/>
      <c r="E54" s="9"/>
      <c r="F54" s="9"/>
      <c r="G54" s="9"/>
      <c r="H54" s="7"/>
      <c r="I54" s="7"/>
      <c r="J54" s="7"/>
      <c r="K54" s="7"/>
      <c r="L54" s="7"/>
    </row>
    <row r="55" spans="1:14" x14ac:dyDescent="0.25">
      <c r="A55" t="s">
        <v>36</v>
      </c>
      <c r="D55" s="9"/>
      <c r="E55" s="9"/>
      <c r="F55" s="9"/>
      <c r="G55" s="12"/>
      <c r="H55" s="7"/>
      <c r="I55" s="7"/>
      <c r="J55" s="7"/>
      <c r="K55" s="7"/>
      <c r="L55" s="7"/>
    </row>
    <row r="56" spans="1:14" x14ac:dyDescent="0.25">
      <c r="A56" s="34" t="s">
        <v>37</v>
      </c>
      <c r="B56" s="34"/>
      <c r="C56" s="34"/>
      <c r="D56" s="38"/>
      <c r="E56" s="38"/>
      <c r="F56" s="38"/>
      <c r="G56" s="38"/>
      <c r="H56" s="39"/>
      <c r="I56" s="39"/>
      <c r="J56" s="39"/>
      <c r="K56" s="39"/>
      <c r="L56" s="39"/>
    </row>
    <row r="57" spans="1:14" x14ac:dyDescent="0.25">
      <c r="A57" t="s">
        <v>35</v>
      </c>
      <c r="D57" s="9"/>
      <c r="E57" s="9"/>
      <c r="F57" s="9"/>
      <c r="G57" s="9"/>
      <c r="H57" s="19"/>
      <c r="I57" s="19"/>
      <c r="J57" s="19"/>
      <c r="K57" s="19"/>
      <c r="L57" s="19"/>
    </row>
    <row r="58" spans="1:14" s="1" customFormat="1" x14ac:dyDescent="0.25">
      <c r="A58" s="34" t="s">
        <v>34</v>
      </c>
      <c r="B58" s="34"/>
      <c r="C58" s="34">
        <v>3840</v>
      </c>
      <c r="D58" s="38">
        <v>4072</v>
      </c>
      <c r="E58" s="38">
        <v>3881</v>
      </c>
      <c r="F58" s="38">
        <v>3750</v>
      </c>
      <c r="G58" s="38"/>
      <c r="H58" s="39"/>
      <c r="I58" s="39"/>
      <c r="J58" s="39"/>
      <c r="K58" s="39"/>
      <c r="L58" s="39"/>
    </row>
    <row r="59" spans="1:14" x14ac:dyDescent="0.25">
      <c r="D59" s="9"/>
      <c r="E59" s="9"/>
      <c r="F59" s="9"/>
      <c r="G59" s="9"/>
    </row>
    <row r="60" spans="1:14" x14ac:dyDescent="0.25">
      <c r="A60" s="1" t="s">
        <v>44</v>
      </c>
      <c r="D60" s="11"/>
      <c r="E60" s="11"/>
      <c r="F60" s="11"/>
      <c r="G60" s="11"/>
      <c r="H60" s="3"/>
      <c r="I60" s="3"/>
      <c r="J60" s="3"/>
      <c r="K60" s="3"/>
      <c r="L60" s="3"/>
    </row>
    <row r="61" spans="1:14" x14ac:dyDescent="0.25">
      <c r="A61" s="1"/>
      <c r="D61" s="11"/>
      <c r="E61" s="11"/>
      <c r="F61" s="11"/>
      <c r="G61" s="11"/>
      <c r="H61" s="3"/>
      <c r="I61" s="3"/>
      <c r="J61" s="3"/>
      <c r="K61" s="3"/>
      <c r="L61" s="3"/>
    </row>
    <row r="62" spans="1:14" x14ac:dyDescent="0.25">
      <c r="A62" s="1" t="s">
        <v>46</v>
      </c>
      <c r="D62" s="13"/>
      <c r="E62" s="13"/>
      <c r="F62" s="13"/>
      <c r="G62" s="13"/>
      <c r="H62" s="15"/>
      <c r="I62" s="15"/>
      <c r="J62" s="15"/>
      <c r="K62" s="15"/>
      <c r="L62" s="15"/>
    </row>
    <row r="63" spans="1:14" x14ac:dyDescent="0.25">
      <c r="A63" s="1"/>
      <c r="D63" s="9"/>
      <c r="E63" s="9"/>
      <c r="F63" s="9"/>
      <c r="G63" s="9"/>
    </row>
    <row r="64" spans="1:14" x14ac:dyDescent="0.25">
      <c r="A64" s="1" t="s">
        <v>47</v>
      </c>
      <c r="D64" s="9"/>
      <c r="E64" s="9"/>
      <c r="F64" s="9"/>
      <c r="G64" s="9"/>
    </row>
    <row r="65" spans="1:12" x14ac:dyDescent="0.25">
      <c r="A65" t="s">
        <v>33</v>
      </c>
      <c r="D65" s="9"/>
      <c r="E65" s="9"/>
      <c r="F65" s="9"/>
      <c r="G65" s="9"/>
      <c r="H65" s="16"/>
      <c r="I65" s="16"/>
      <c r="J65" s="16"/>
      <c r="K65" s="16"/>
      <c r="L65" s="16"/>
    </row>
    <row r="66" spans="1:12" x14ac:dyDescent="0.25">
      <c r="A66" t="s">
        <v>36</v>
      </c>
      <c r="D66" s="9"/>
      <c r="E66" s="9"/>
      <c r="F66" s="9"/>
      <c r="G66" s="9"/>
      <c r="H66" s="16"/>
      <c r="I66" s="16"/>
      <c r="J66" s="16"/>
      <c r="K66" s="16"/>
      <c r="L66" s="16"/>
    </row>
    <row r="67" spans="1:12" s="1" customFormat="1" x14ac:dyDescent="0.25">
      <c r="A67" s="34" t="s">
        <v>37</v>
      </c>
      <c r="B67" s="34"/>
      <c r="C67" s="34"/>
      <c r="D67" s="38"/>
      <c r="E67" s="38"/>
      <c r="F67" s="38"/>
      <c r="G67" s="38"/>
      <c r="H67" s="40"/>
      <c r="I67" s="40"/>
      <c r="J67" s="40"/>
      <c r="K67" s="40"/>
      <c r="L67" s="40"/>
    </row>
    <row r="68" spans="1:12" x14ac:dyDescent="0.25">
      <c r="A68" t="s">
        <v>41</v>
      </c>
      <c r="D68" s="9"/>
      <c r="E68" s="9"/>
      <c r="F68" s="9"/>
      <c r="G68" s="9"/>
      <c r="H68" s="43"/>
      <c r="I68" s="43"/>
      <c r="J68" s="43"/>
      <c r="K68" s="43"/>
      <c r="L68" s="43"/>
    </row>
    <row r="69" spans="1:12" s="1" customFormat="1" x14ac:dyDescent="0.25">
      <c r="A69" s="34" t="s">
        <v>34</v>
      </c>
      <c r="B69" s="34"/>
      <c r="C69" s="34">
        <v>1313</v>
      </c>
      <c r="D69" s="38">
        <v>1341</v>
      </c>
      <c r="E69" s="38">
        <v>1637</v>
      </c>
      <c r="F69" s="38">
        <v>2997</v>
      </c>
      <c r="G69" s="38">
        <v>2894</v>
      </c>
      <c r="H69" s="40"/>
      <c r="I69" s="40"/>
      <c r="J69" s="40"/>
      <c r="K69" s="40"/>
      <c r="L69" s="40"/>
    </row>
    <row r="70" spans="1:12" s="1" customFormat="1" x14ac:dyDescent="0.25">
      <c r="D70" s="8"/>
      <c r="E70" s="8"/>
      <c r="F70" s="8"/>
      <c r="G70" s="8"/>
    </row>
    <row r="71" spans="1:12" x14ac:dyDescent="0.25">
      <c r="A71" s="1" t="s">
        <v>45</v>
      </c>
      <c r="D71" s="11"/>
      <c r="E71" s="11"/>
      <c r="F71" s="11"/>
      <c r="G71" s="11"/>
      <c r="H71" s="3"/>
      <c r="I71" s="3"/>
      <c r="J71" s="3"/>
      <c r="K71" s="3"/>
      <c r="L71" s="3"/>
    </row>
    <row r="72" spans="1:12" x14ac:dyDescent="0.25">
      <c r="A72" s="1"/>
      <c r="D72" s="9"/>
      <c r="E72" s="9"/>
      <c r="F72" s="9"/>
      <c r="G72" s="9"/>
    </row>
    <row r="73" spans="1:12" x14ac:dyDescent="0.25">
      <c r="A73" s="1" t="s">
        <v>32</v>
      </c>
      <c r="D73" s="9"/>
      <c r="E73" s="9"/>
      <c r="F73" s="9"/>
      <c r="G73" s="9"/>
    </row>
    <row r="74" spans="1:12" x14ac:dyDescent="0.25">
      <c r="A74" t="s">
        <v>10</v>
      </c>
      <c r="D74" s="9"/>
      <c r="E74" s="9"/>
      <c r="F74" s="9"/>
      <c r="G74" s="9"/>
      <c r="H74" s="7"/>
      <c r="I74" s="7"/>
      <c r="J74" s="7"/>
      <c r="K74" s="7"/>
      <c r="L74" s="7"/>
    </row>
    <row r="75" spans="1:12" x14ac:dyDescent="0.25">
      <c r="A75" t="s">
        <v>11</v>
      </c>
      <c r="D75" s="9"/>
      <c r="E75" s="9"/>
      <c r="F75" s="9"/>
      <c r="G75" s="9"/>
      <c r="H75" s="7"/>
      <c r="I75" s="7"/>
      <c r="J75" s="7"/>
      <c r="K75" s="7"/>
      <c r="L75" s="7"/>
    </row>
    <row r="76" spans="1:12" x14ac:dyDescent="0.25">
      <c r="A76" s="2" t="s">
        <v>12</v>
      </c>
      <c r="D76" s="9"/>
      <c r="E76" s="9"/>
      <c r="F76" s="9"/>
      <c r="G76" s="9"/>
      <c r="H76" s="7"/>
      <c r="I76" s="7"/>
      <c r="J76" s="7"/>
      <c r="K76" s="7"/>
      <c r="L76" s="7"/>
    </row>
    <row r="77" spans="1:12" x14ac:dyDescent="0.25">
      <c r="A77" s="2" t="s">
        <v>13</v>
      </c>
      <c r="D77" s="9"/>
      <c r="E77" s="9"/>
      <c r="F77" s="9"/>
      <c r="G77" s="9"/>
      <c r="H77" s="7"/>
      <c r="I77" s="7"/>
      <c r="J77" s="7"/>
      <c r="K77" s="7"/>
      <c r="L77" s="7"/>
    </row>
    <row r="78" spans="1:12" x14ac:dyDescent="0.25">
      <c r="A78" s="2" t="s">
        <v>15</v>
      </c>
      <c r="D78" s="9"/>
      <c r="E78" s="9"/>
      <c r="F78" s="9"/>
      <c r="G78" s="9"/>
      <c r="H78" s="7"/>
      <c r="I78" s="7"/>
      <c r="J78" s="7"/>
      <c r="K78" s="7"/>
      <c r="L78" s="7"/>
    </row>
    <row r="79" spans="1:12" x14ac:dyDescent="0.25">
      <c r="A79" s="2" t="s">
        <v>16</v>
      </c>
      <c r="D79" s="9"/>
      <c r="E79" s="9"/>
      <c r="F79" s="9"/>
      <c r="G79" s="9"/>
      <c r="H79" s="7"/>
      <c r="I79" s="7"/>
      <c r="J79" s="7"/>
      <c r="K79" s="7"/>
      <c r="L79" s="7"/>
    </row>
    <row r="80" spans="1:12" s="1" customFormat="1" x14ac:dyDescent="0.25">
      <c r="A80" s="34" t="s">
        <v>38</v>
      </c>
      <c r="B80" s="34"/>
      <c r="C80" s="34"/>
      <c r="D80" s="41"/>
      <c r="E80" s="41"/>
      <c r="F80" s="41"/>
      <c r="G80" s="41"/>
      <c r="H80" s="42"/>
      <c r="I80" s="42"/>
      <c r="J80" s="42"/>
      <c r="K80" s="42"/>
      <c r="L80" s="42"/>
    </row>
    <row r="81" spans="1:12" s="1" customFormat="1" x14ac:dyDescent="0.25">
      <c r="A81" s="34" t="s">
        <v>39</v>
      </c>
      <c r="B81" s="34"/>
      <c r="C81" s="34"/>
      <c r="D81" s="38"/>
      <c r="E81" s="41"/>
      <c r="F81" s="41"/>
      <c r="G81" s="41"/>
      <c r="H81" s="42"/>
      <c r="I81" s="42"/>
      <c r="J81" s="42"/>
      <c r="K81" s="42"/>
      <c r="L81" s="42"/>
    </row>
    <row r="82" spans="1:12" x14ac:dyDescent="0.25">
      <c r="D82" s="9"/>
      <c r="E82" s="9"/>
      <c r="F82" s="9"/>
      <c r="G82" s="9"/>
    </row>
    <row r="83" spans="1:12" x14ac:dyDescent="0.25">
      <c r="D83" s="9"/>
      <c r="E83" s="9"/>
      <c r="F83" s="9"/>
      <c r="G83" s="9"/>
    </row>
    <row r="84" spans="1:12" x14ac:dyDescent="0.25">
      <c r="D84" s="9"/>
      <c r="E84" s="9"/>
      <c r="F84" s="9"/>
      <c r="G84" s="9"/>
    </row>
    <row r="85" spans="1:12" x14ac:dyDescent="0.25">
      <c r="D85" s="9"/>
      <c r="E85" s="9"/>
      <c r="F85" s="9"/>
      <c r="G85" s="9"/>
    </row>
    <row r="86" spans="1:12" x14ac:dyDescent="0.25">
      <c r="D86" s="9"/>
      <c r="E86" s="9"/>
      <c r="F86" s="9"/>
      <c r="G86" s="9"/>
    </row>
    <row r="87" spans="1:12" x14ac:dyDescent="0.25">
      <c r="D87" s="9"/>
      <c r="E87" s="9"/>
      <c r="F87" s="9"/>
      <c r="G87" s="9"/>
    </row>
  </sheetData>
  <mergeCells count="2">
    <mergeCell ref="D1:G1"/>
    <mergeCell ref="H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C6C4-D6F1-4D3E-9007-DE0A7E8D5EDC}">
  <dimension ref="A1:N31"/>
  <sheetViews>
    <sheetView showGridLines="0" topLeftCell="A5" workbookViewId="0">
      <selection activeCell="H26" sqref="H26"/>
    </sheetView>
  </sheetViews>
  <sheetFormatPr defaultRowHeight="15" x14ac:dyDescent="0.25"/>
  <sheetData>
    <row r="1" spans="1:12" x14ac:dyDescent="0.25">
      <c r="A1" s="1" t="s">
        <v>17</v>
      </c>
      <c r="D1" s="74" t="s">
        <v>18</v>
      </c>
      <c r="E1" s="74"/>
      <c r="F1" s="74"/>
      <c r="G1" s="74"/>
      <c r="H1" s="75" t="s">
        <v>19</v>
      </c>
      <c r="I1" s="75"/>
      <c r="J1" s="75"/>
      <c r="K1" s="75"/>
      <c r="L1" s="75"/>
    </row>
    <row r="2" spans="1:12" x14ac:dyDescent="0.25">
      <c r="D2" s="8">
        <v>2017</v>
      </c>
      <c r="E2" s="8">
        <f>D2+1</f>
        <v>2018</v>
      </c>
      <c r="F2" s="8">
        <f t="shared" ref="F2:G2" si="0">E2+1</f>
        <v>2019</v>
      </c>
      <c r="G2" s="8">
        <f t="shared" si="0"/>
        <v>2020</v>
      </c>
      <c r="H2" s="1">
        <f>G2+1</f>
        <v>2021</v>
      </c>
      <c r="I2" s="1">
        <f t="shared" ref="I2:L2" si="1">H2+1</f>
        <v>2022</v>
      </c>
      <c r="J2" s="1">
        <f t="shared" si="1"/>
        <v>2023</v>
      </c>
      <c r="K2" s="1">
        <f t="shared" si="1"/>
        <v>2024</v>
      </c>
      <c r="L2" s="1">
        <f t="shared" si="1"/>
        <v>2025</v>
      </c>
    </row>
    <row r="3" spans="1:12" x14ac:dyDescent="0.25">
      <c r="A3" s="61" t="s">
        <v>111</v>
      </c>
    </row>
    <row r="4" spans="1:12" x14ac:dyDescent="0.25">
      <c r="A4" t="s">
        <v>10</v>
      </c>
      <c r="D4" s="9">
        <v>1480</v>
      </c>
      <c r="E4" s="9">
        <v>1400</v>
      </c>
      <c r="F4" s="9">
        <v>1440</v>
      </c>
      <c r="G4" s="9">
        <v>1264</v>
      </c>
      <c r="H4" s="16">
        <f>H18*'Income Statement'!H3/365</f>
        <v>1319.1874981201809</v>
      </c>
      <c r="I4" s="16">
        <f>I18*'Income Statement'!I3/365</f>
        <v>1368.9812150249472</v>
      </c>
      <c r="J4" s="16">
        <f>J18*'Income Statement'!J3/365</f>
        <v>1412.5565684057158</v>
      </c>
      <c r="K4" s="16">
        <f>K18*'Income Statement'!K3/365</f>
        <v>1449.1633233723751</v>
      </c>
      <c r="L4" s="16">
        <f>L18*'Income Statement'!L3/365</f>
        <v>1478.1465898398228</v>
      </c>
    </row>
    <row r="5" spans="1:12" x14ac:dyDescent="0.25">
      <c r="A5" t="s">
        <v>11</v>
      </c>
      <c r="D5" s="9">
        <v>1221</v>
      </c>
      <c r="E5" s="9">
        <v>1250</v>
      </c>
      <c r="F5" s="9">
        <v>1400</v>
      </c>
      <c r="G5" s="9">
        <v>1673</v>
      </c>
      <c r="H5" s="16">
        <f>H19*'Income Statement'!H6/365</f>
        <v>1786.0498576999812</v>
      </c>
      <c r="I5" s="16">
        <f>I19*'Income Statement'!I6/365</f>
        <v>1853.4656428850594</v>
      </c>
      <c r="J5" s="16">
        <f>J19*'Income Statement'!J6/365</f>
        <v>1912.462376719978</v>
      </c>
      <c r="K5" s="16">
        <f>K19*'Income Statement'!K6/365</f>
        <v>1962.0243151041934</v>
      </c>
      <c r="L5" s="16">
        <f>L19*'Income Statement'!L6/365</f>
        <v>2001.2648014062772</v>
      </c>
    </row>
    <row r="6" spans="1:12" x14ac:dyDescent="0.25">
      <c r="A6" s="2" t="s">
        <v>12</v>
      </c>
      <c r="D6" s="9">
        <v>403</v>
      </c>
      <c r="E6" s="9">
        <v>417</v>
      </c>
      <c r="F6" s="9">
        <v>456</v>
      </c>
      <c r="G6" s="9">
        <v>513</v>
      </c>
      <c r="H6" s="16">
        <f>H20*'Income Statement'!H3</f>
        <v>486.08410908971183</v>
      </c>
      <c r="I6" s="16">
        <f>I20*'Income Statement'!I3</f>
        <v>504.43171665452638</v>
      </c>
      <c r="J6" s="16">
        <f>J20*'Income Statement'!J3</f>
        <v>520.48802923825178</v>
      </c>
      <c r="K6" s="16">
        <f>K20*'Income Statement'!K3</f>
        <v>533.97660603267263</v>
      </c>
      <c r="L6" s="16">
        <f>L20*'Income Statement'!L3</f>
        <v>544.65613815332608</v>
      </c>
    </row>
    <row r="7" spans="1:12" s="1" customFormat="1" x14ac:dyDescent="0.25">
      <c r="A7" s="34" t="s">
        <v>109</v>
      </c>
      <c r="B7" s="34"/>
      <c r="C7" s="34"/>
      <c r="D7" s="38">
        <f>SUM(D4:D6)</f>
        <v>3104</v>
      </c>
      <c r="E7" s="38">
        <f t="shared" ref="E7:G7" si="2">SUM(E4:E6)</f>
        <v>3067</v>
      </c>
      <c r="F7" s="38">
        <f t="shared" si="2"/>
        <v>3296</v>
      </c>
      <c r="G7" s="38">
        <f t="shared" si="2"/>
        <v>3450</v>
      </c>
      <c r="H7" s="41">
        <f t="shared" ref="H7" si="3">SUM(H4:H6)</f>
        <v>3591.3214649098741</v>
      </c>
      <c r="I7" s="41">
        <f t="shared" ref="I7" si="4">SUM(I4:I6)</f>
        <v>3726.8785745645332</v>
      </c>
      <c r="J7" s="41">
        <f t="shared" ref="J7" si="5">SUM(J4:J6)</f>
        <v>3845.5069743639456</v>
      </c>
      <c r="K7" s="41">
        <f t="shared" ref="K7" si="6">SUM(K4:K6)</f>
        <v>3945.1642445092411</v>
      </c>
      <c r="L7" s="41">
        <f t="shared" ref="L7" si="7">SUM(L4:L6)</f>
        <v>4024.0675293994259</v>
      </c>
    </row>
    <row r="8" spans="1:12" x14ac:dyDescent="0.25">
      <c r="A8" s="2"/>
      <c r="D8" s="9"/>
      <c r="E8" s="9"/>
      <c r="F8" s="9"/>
      <c r="G8" s="9"/>
      <c r="H8" s="16"/>
      <c r="I8" s="16"/>
      <c r="J8" s="16"/>
      <c r="K8" s="16"/>
      <c r="L8" s="16"/>
    </row>
    <row r="9" spans="1:12" x14ac:dyDescent="0.25">
      <c r="A9" s="61" t="s">
        <v>108</v>
      </c>
      <c r="D9" s="9"/>
      <c r="E9" s="9"/>
      <c r="F9" s="9"/>
      <c r="G9" s="9"/>
      <c r="H9" s="16"/>
      <c r="I9" s="16"/>
      <c r="J9" s="16"/>
      <c r="K9" s="16"/>
      <c r="L9" s="16"/>
    </row>
    <row r="10" spans="1:12" x14ac:dyDescent="0.25">
      <c r="A10" s="2" t="s">
        <v>13</v>
      </c>
      <c r="D10" s="9">
        <v>1212</v>
      </c>
      <c r="E10" s="9">
        <v>1222</v>
      </c>
      <c r="F10" s="9">
        <v>1237</v>
      </c>
      <c r="G10" s="9">
        <v>1393</v>
      </c>
      <c r="H10" s="14">
        <f>H21*'Income Statement'!H6/365</f>
        <v>1415.7774707394244</v>
      </c>
      <c r="I10" s="14">
        <f>I21*'Income Statement'!I6/365</f>
        <v>1430.0379269791003</v>
      </c>
      <c r="J10" s="14">
        <f>J21*'Income Statement'!J6/365</f>
        <v>1435.1305336716134</v>
      </c>
      <c r="K10" s="14">
        <f>K21*'Income Statement'!K6/365</f>
        <v>1472.3222985653777</v>
      </c>
      <c r="L10" s="14">
        <f>L21*'Income Statement'!L6/365</f>
        <v>1501.7687445366851</v>
      </c>
    </row>
    <row r="11" spans="1:12" x14ac:dyDescent="0.25">
      <c r="A11" s="2" t="s">
        <v>15</v>
      </c>
      <c r="D11" s="9">
        <v>354</v>
      </c>
      <c r="E11" s="9">
        <v>411</v>
      </c>
      <c r="F11" s="9">
        <v>370</v>
      </c>
      <c r="G11" s="9">
        <v>403</v>
      </c>
      <c r="H11" s="16">
        <f>H22*'Income Statement'!H23</f>
        <v>404.72384089225648</v>
      </c>
      <c r="I11" s="16">
        <f>I22*'Income Statement'!I23</f>
        <v>442.18813233716537</v>
      </c>
      <c r="J11" s="16">
        <f>J22*'Income Statement'!J23</f>
        <v>478.60882431135872</v>
      </c>
      <c r="K11" s="16">
        <f>K22*'Income Statement'!K23</f>
        <v>515.10617948188792</v>
      </c>
      <c r="L11" s="16">
        <f>L22*'Income Statement'!L23</f>
        <v>548.97476954830051</v>
      </c>
    </row>
    <row r="12" spans="1:12" x14ac:dyDescent="0.25">
      <c r="A12" s="2" t="s">
        <v>16</v>
      </c>
      <c r="D12" s="9">
        <v>1831</v>
      </c>
      <c r="E12" s="9">
        <v>1696</v>
      </c>
      <c r="F12" s="9">
        <v>1917</v>
      </c>
      <c r="G12" s="9">
        <v>2341</v>
      </c>
      <c r="H12" s="16">
        <f>H23*'Income Statement'!H10</f>
        <v>2019.145331147786</v>
      </c>
      <c r="I12" s="16">
        <f>I23*'Income Statement'!I10</f>
        <v>2097.255612559371</v>
      </c>
      <c r="J12" s="16">
        <f>J23*'Income Statement'!J10</f>
        <v>2165.6896126176762</v>
      </c>
      <c r="K12" s="16">
        <f>K23*'Income Statement'!K10</f>
        <v>2223.2832896474692</v>
      </c>
      <c r="L12" s="16">
        <f>L23*'Income Statement'!L10</f>
        <v>2269.0205993928698</v>
      </c>
    </row>
    <row r="13" spans="1:12" s="1" customFormat="1" x14ac:dyDescent="0.25">
      <c r="A13" s="34" t="s">
        <v>110</v>
      </c>
      <c r="B13" s="34"/>
      <c r="C13" s="34"/>
      <c r="D13" s="38">
        <f>SUM(D10:D12)</f>
        <v>3397</v>
      </c>
      <c r="E13" s="38">
        <f t="shared" ref="E13:G13" si="8">SUM(E10:E12)</f>
        <v>3329</v>
      </c>
      <c r="F13" s="38">
        <f t="shared" si="8"/>
        <v>3524</v>
      </c>
      <c r="G13" s="38">
        <f t="shared" si="8"/>
        <v>4137</v>
      </c>
      <c r="H13" s="78">
        <f>SUM(H10:H12)</f>
        <v>3839.6466427794667</v>
      </c>
      <c r="I13" s="78">
        <f t="shared" ref="I13:L13" si="9">SUM(I10:I12)</f>
        <v>3969.4816718756365</v>
      </c>
      <c r="J13" s="78">
        <f t="shared" si="9"/>
        <v>4079.4289706006484</v>
      </c>
      <c r="K13" s="78">
        <f t="shared" si="9"/>
        <v>4210.7117676947346</v>
      </c>
      <c r="L13" s="78">
        <f t="shared" si="9"/>
        <v>4319.7641134778551</v>
      </c>
    </row>
    <row r="14" spans="1:12" s="1" customFormat="1" x14ac:dyDescent="0.25">
      <c r="D14" s="8"/>
      <c r="E14" s="8"/>
      <c r="F14" s="8"/>
      <c r="G14" s="8"/>
    </row>
    <row r="15" spans="1:12" x14ac:dyDescent="0.25">
      <c r="A15" s="34" t="s">
        <v>38</v>
      </c>
      <c r="B15" s="34"/>
      <c r="C15" s="34"/>
      <c r="D15" s="41">
        <f>D7-D13</f>
        <v>-293</v>
      </c>
      <c r="E15" s="41">
        <f t="shared" ref="E15:L15" si="10">E7-E13</f>
        <v>-262</v>
      </c>
      <c r="F15" s="41">
        <f t="shared" si="10"/>
        <v>-228</v>
      </c>
      <c r="G15" s="41">
        <f t="shared" si="10"/>
        <v>-687</v>
      </c>
      <c r="H15" s="41">
        <f t="shared" si="10"/>
        <v>-248.32517786959261</v>
      </c>
      <c r="I15" s="41">
        <f t="shared" si="10"/>
        <v>-242.60309731110328</v>
      </c>
      <c r="J15" s="41">
        <f t="shared" si="10"/>
        <v>-233.92199623670285</v>
      </c>
      <c r="K15" s="41">
        <f t="shared" si="10"/>
        <v>-265.54752318549345</v>
      </c>
      <c r="L15" s="41">
        <f t="shared" si="10"/>
        <v>-295.69658407842917</v>
      </c>
    </row>
    <row r="16" spans="1:12" x14ac:dyDescent="0.25">
      <c r="A16" s="57" t="s">
        <v>39</v>
      </c>
      <c r="B16" s="57"/>
      <c r="C16" s="57"/>
      <c r="D16" s="58"/>
      <c r="E16" s="59">
        <f>-(E15-D15)</f>
        <v>-31</v>
      </c>
      <c r="F16" s="59">
        <f t="shared" ref="F16:G16" si="11">-(F15-E15)</f>
        <v>-34</v>
      </c>
      <c r="G16" s="59">
        <f t="shared" si="11"/>
        <v>459</v>
      </c>
      <c r="H16" s="59">
        <f t="shared" ref="H16" si="12">-(H15-G15)</f>
        <v>-438.67482213040739</v>
      </c>
      <c r="I16" s="59">
        <f t="shared" ref="I16" si="13">-(I15-H15)</f>
        <v>-5.7220805584893242</v>
      </c>
      <c r="J16" s="59">
        <f t="shared" ref="J16" si="14">-(J15-I15)</f>
        <v>-8.6811010744004307</v>
      </c>
      <c r="K16" s="59">
        <f t="shared" ref="K16" si="15">-(K15-J15)</f>
        <v>31.625526948790593</v>
      </c>
      <c r="L16" s="59">
        <f t="shared" ref="L16" si="16">-(L15-K15)</f>
        <v>30.149060892935722</v>
      </c>
    </row>
    <row r="17" spans="1:14" x14ac:dyDescent="0.25">
      <c r="D17" s="63"/>
      <c r="E17" s="63"/>
      <c r="F17" s="63"/>
      <c r="G17" s="63"/>
    </row>
    <row r="18" spans="1:14" x14ac:dyDescent="0.25">
      <c r="A18" s="2" t="s">
        <v>22</v>
      </c>
      <c r="D18" s="16">
        <f>365/('Income Statement'!D3/D4)</f>
        <v>34.95535136534231</v>
      </c>
      <c r="E18" s="16">
        <f>365/('Income Statement'!E3/E4)</f>
        <v>32.874420998455996</v>
      </c>
      <c r="F18" s="16">
        <f>365/('Income Statement'!F3/F4)</f>
        <v>33.492640030586884</v>
      </c>
      <c r="G18" s="16">
        <f>365/('Income Statement'!G3/G4)</f>
        <v>28.010442596077954</v>
      </c>
      <c r="H18" s="16">
        <f>G18</f>
        <v>28.010442596077954</v>
      </c>
      <c r="I18" s="16">
        <f t="shared" ref="I18:L19" si="17">H18</f>
        <v>28.010442596077954</v>
      </c>
      <c r="J18" s="16">
        <f t="shared" si="17"/>
        <v>28.010442596077954</v>
      </c>
      <c r="K18" s="16">
        <f t="shared" si="17"/>
        <v>28.010442596077954</v>
      </c>
      <c r="L18" s="16">
        <f t="shared" si="17"/>
        <v>28.010442596077954</v>
      </c>
      <c r="M18" s="16"/>
      <c r="N18" s="16"/>
    </row>
    <row r="19" spans="1:14" x14ac:dyDescent="0.25">
      <c r="A19" s="2" t="s">
        <v>23</v>
      </c>
      <c r="D19" s="16">
        <f>365/('Income Statement'!D6/'Working Capital Schedule'!D5)</f>
        <v>72.184159378036924</v>
      </c>
      <c r="E19" s="16">
        <f>365/('Income Statement'!E6/'Working Capital Schedule'!E5)</f>
        <v>72.271503247267546</v>
      </c>
      <c r="F19" s="16">
        <f>365/('Income Statement'!F6/'Working Capital Schedule'!F5)</f>
        <v>80.244974874371849</v>
      </c>
      <c r="G19" s="16">
        <f>365/('Income Statement'!G6/'Working Capital Schedule'!G5)</f>
        <v>94.614967462039047</v>
      </c>
      <c r="H19" s="16">
        <f>G19</f>
        <v>94.614967462039047</v>
      </c>
      <c r="I19" s="16">
        <f t="shared" si="17"/>
        <v>94.614967462039047</v>
      </c>
      <c r="J19" s="16">
        <f t="shared" si="17"/>
        <v>94.614967462039047</v>
      </c>
      <c r="K19" s="16">
        <f t="shared" si="17"/>
        <v>94.614967462039047</v>
      </c>
      <c r="L19" s="16">
        <f t="shared" si="17"/>
        <v>94.614967462039047</v>
      </c>
      <c r="M19" s="16"/>
      <c r="N19" s="16"/>
    </row>
    <row r="20" spans="1:14" x14ac:dyDescent="0.25">
      <c r="A20" s="2" t="s">
        <v>27</v>
      </c>
      <c r="D20" s="3">
        <f>D6/'Income Statement'!D3</f>
        <v>2.6077390966740003E-2</v>
      </c>
      <c r="E20" s="3">
        <f>E6/'Income Statement'!E3</f>
        <v>2.6827071538857435E-2</v>
      </c>
      <c r="F20" s="3">
        <f>F6/'Income Statement'!F3</f>
        <v>2.9057541579047982E-2</v>
      </c>
      <c r="G20" s="3">
        <f>G6/'Income Statement'!G3</f>
        <v>3.1145649930180316E-2</v>
      </c>
      <c r="H20" s="3">
        <f>AVERAGE($D$20:$G$20)</f>
        <v>2.8276913503706435E-2</v>
      </c>
      <c r="I20" s="3">
        <f t="shared" ref="I20:L20" si="18">AVERAGE($D$20:$G$20)</f>
        <v>2.8276913503706435E-2</v>
      </c>
      <c r="J20" s="3">
        <f t="shared" si="18"/>
        <v>2.8276913503706435E-2</v>
      </c>
      <c r="K20" s="3">
        <f t="shared" si="18"/>
        <v>2.8276913503706435E-2</v>
      </c>
      <c r="L20" s="3">
        <f t="shared" si="18"/>
        <v>2.8276913503706435E-2</v>
      </c>
      <c r="M20" s="16"/>
      <c r="N20" s="16"/>
    </row>
    <row r="21" spans="1:14" x14ac:dyDescent="0.25">
      <c r="A21" s="2" t="s">
        <v>28</v>
      </c>
      <c r="D21" s="16">
        <f>365/('Income Statement'!D6/'Working Capital Schedule'!D10)</f>
        <v>71.652089407191454</v>
      </c>
      <c r="E21" s="16">
        <f>365/('Income Statement'!E6/'Working Capital Schedule'!E10)</f>
        <v>70.652621574528752</v>
      </c>
      <c r="F21" s="16">
        <f>365/('Income Statement'!F6/'Working Capital Schedule'!F10)</f>
        <v>70.902167085427138</v>
      </c>
      <c r="G21" s="16">
        <f>365/('Income Statement'!G6/'Working Capital Schedule'!G10)</f>
        <v>78.779826464208242</v>
      </c>
      <c r="H21" s="16">
        <v>75</v>
      </c>
      <c r="I21" s="16">
        <v>73</v>
      </c>
      <c r="J21" s="16">
        <v>71</v>
      </c>
      <c r="K21" s="16">
        <f t="shared" ref="K21" si="19">J21</f>
        <v>71</v>
      </c>
      <c r="L21" s="16">
        <v>71</v>
      </c>
      <c r="M21" s="16"/>
      <c r="N21" s="16"/>
    </row>
    <row r="22" spans="1:14" x14ac:dyDescent="0.25">
      <c r="A22" s="2" t="s">
        <v>117</v>
      </c>
      <c r="D22" s="3">
        <f>D11/'Income Statement'!D23</f>
        <v>0.26961157654226964</v>
      </c>
      <c r="E22" s="3">
        <f>E11/'Income Statement'!E23</f>
        <v>0.31302361005331303</v>
      </c>
      <c r="F22" s="3">
        <f>F11/'Income Statement'!F23</f>
        <v>0.4083885209713024</v>
      </c>
      <c r="G22" s="3">
        <f>G11/'Income Statement'!G23</f>
        <v>0.51207115628970779</v>
      </c>
      <c r="H22" s="3">
        <f>AVERAGE($F$22:G22)</f>
        <v>0.46022983863050509</v>
      </c>
      <c r="I22" s="3">
        <f>AVERAGE($F$22:H22)</f>
        <v>0.46022983863050509</v>
      </c>
      <c r="J22" s="3">
        <f>AVERAGE($F$22:I22)</f>
        <v>0.46022983863050509</v>
      </c>
      <c r="K22" s="3">
        <f>AVERAGE($F$22:J22)</f>
        <v>0.46022983863050515</v>
      </c>
      <c r="L22" s="3">
        <f>AVERAGE($F$22:K22)</f>
        <v>0.46022983863050509</v>
      </c>
      <c r="M22" s="16"/>
      <c r="N22" s="16"/>
    </row>
    <row r="23" spans="1:14" x14ac:dyDescent="0.25">
      <c r="A23" s="2" t="s">
        <v>118</v>
      </c>
      <c r="D23" s="49">
        <f>D12/'Income Statement'!D10</f>
        <v>0.35916045508042371</v>
      </c>
      <c r="E23" s="49">
        <f>E12/'Income Statement'!E10</f>
        <v>0.33744528452049344</v>
      </c>
      <c r="F23" s="49">
        <f>F12/'Income Statement'!F10</f>
        <v>0.365003808073115</v>
      </c>
      <c r="G23" s="49">
        <f>G12/'Income Statement'!G10</f>
        <v>0.42263946560751037</v>
      </c>
      <c r="H23" s="3">
        <f>AVERAGE($D$23:$F$23)</f>
        <v>0.3538698492246774</v>
      </c>
      <c r="I23" s="3">
        <f t="shared" ref="I23:L23" si="20">AVERAGE($D$23:$F$23)</f>
        <v>0.3538698492246774</v>
      </c>
      <c r="J23" s="3">
        <f t="shared" si="20"/>
        <v>0.3538698492246774</v>
      </c>
      <c r="K23" s="3">
        <f t="shared" si="20"/>
        <v>0.3538698492246774</v>
      </c>
      <c r="L23" s="3">
        <f t="shared" si="20"/>
        <v>0.3538698492246774</v>
      </c>
      <c r="M23" s="16"/>
      <c r="N23" s="16"/>
    </row>
    <row r="24" spans="1:14" x14ac:dyDescent="0.25">
      <c r="D24" s="72"/>
      <c r="E24" s="72"/>
      <c r="F24" s="72"/>
      <c r="G24" s="72"/>
      <c r="H24" s="16"/>
      <c r="I24" s="16"/>
      <c r="J24" s="16"/>
      <c r="K24" s="16"/>
      <c r="L24" s="16"/>
      <c r="M24" s="16"/>
      <c r="N24" s="16"/>
    </row>
    <row r="25" spans="1:14" x14ac:dyDescent="0.25">
      <c r="D25" s="63"/>
      <c r="E25" s="63"/>
      <c r="F25" s="63"/>
      <c r="G25" s="63"/>
    </row>
    <row r="26" spans="1:14" x14ac:dyDescent="0.25">
      <c r="D26" s="63"/>
      <c r="E26" s="63"/>
      <c r="F26" s="63"/>
      <c r="G26" s="63"/>
    </row>
    <row r="27" spans="1:14" x14ac:dyDescent="0.25">
      <c r="D27" s="63"/>
      <c r="E27" s="63"/>
      <c r="F27" s="63"/>
      <c r="G27" s="63"/>
    </row>
    <row r="28" spans="1:14" x14ac:dyDescent="0.25">
      <c r="D28" s="63"/>
      <c r="E28" s="63"/>
      <c r="F28" s="63"/>
      <c r="G28" s="63"/>
    </row>
    <row r="29" spans="1:14" x14ac:dyDescent="0.25">
      <c r="D29" s="63"/>
      <c r="E29" s="63"/>
      <c r="F29" s="63"/>
      <c r="G29" s="63"/>
    </row>
    <row r="30" spans="1:14" x14ac:dyDescent="0.25">
      <c r="D30" s="63"/>
      <c r="E30" s="63"/>
      <c r="F30" s="63"/>
      <c r="G30" s="63"/>
    </row>
    <row r="31" spans="1:14" x14ac:dyDescent="0.25">
      <c r="D31" s="63"/>
      <c r="E31" s="63"/>
      <c r="F31" s="63"/>
      <c r="G31" s="63"/>
    </row>
  </sheetData>
  <mergeCells count="2">
    <mergeCell ref="D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0375-8992-4FCF-AF5A-8E5A837C79B3}">
  <dimension ref="A1:L9"/>
  <sheetViews>
    <sheetView showGridLines="0" workbookViewId="0">
      <selection activeCell="H8" sqref="H8:L8"/>
    </sheetView>
  </sheetViews>
  <sheetFormatPr defaultRowHeight="15" x14ac:dyDescent="0.25"/>
  <sheetData>
    <row r="1" spans="1:12" x14ac:dyDescent="0.25">
      <c r="A1" s="1" t="s">
        <v>17</v>
      </c>
      <c r="D1" s="74" t="s">
        <v>18</v>
      </c>
      <c r="E1" s="74"/>
      <c r="F1" s="74"/>
      <c r="G1" s="74"/>
      <c r="H1" s="75" t="s">
        <v>19</v>
      </c>
      <c r="I1" s="75"/>
      <c r="J1" s="75"/>
      <c r="K1" s="75"/>
      <c r="L1" s="75"/>
    </row>
    <row r="2" spans="1:12" x14ac:dyDescent="0.25">
      <c r="A2" s="1" t="s">
        <v>30</v>
      </c>
      <c r="D2" s="8">
        <v>2017</v>
      </c>
      <c r="E2" s="8">
        <f>D2+1</f>
        <v>2018</v>
      </c>
      <c r="F2" s="8">
        <f t="shared" ref="F2:G2" si="0">E2+1</f>
        <v>2019</v>
      </c>
      <c r="G2" s="8">
        <f t="shared" si="0"/>
        <v>2020</v>
      </c>
      <c r="H2" s="1">
        <f>G2+1</f>
        <v>2021</v>
      </c>
      <c r="I2" s="1">
        <f t="shared" ref="I2:L2" si="1">H2+1</f>
        <v>2022</v>
      </c>
      <c r="J2" s="1">
        <f t="shared" si="1"/>
        <v>2023</v>
      </c>
      <c r="K2" s="1">
        <f t="shared" si="1"/>
        <v>2024</v>
      </c>
      <c r="L2" s="1">
        <f t="shared" si="1"/>
        <v>2025</v>
      </c>
    </row>
    <row r="3" spans="1:12" x14ac:dyDescent="0.25">
      <c r="A3" s="1"/>
      <c r="D3" s="8"/>
      <c r="E3" s="8"/>
      <c r="F3" s="8"/>
      <c r="G3" s="8"/>
      <c r="H3" s="1"/>
      <c r="I3" s="1"/>
      <c r="J3" s="1"/>
      <c r="K3" s="1"/>
      <c r="L3" s="1"/>
    </row>
    <row r="4" spans="1:12" x14ac:dyDescent="0.25">
      <c r="A4" t="s">
        <v>33</v>
      </c>
      <c r="D4" s="9">
        <f>C6</f>
        <v>6533</v>
      </c>
      <c r="E4" s="9">
        <f t="shared" ref="E4:L4" si="2">D6</f>
        <v>6577</v>
      </c>
      <c r="F4" s="9">
        <f t="shared" si="2"/>
        <v>6366</v>
      </c>
      <c r="G4" s="9">
        <f t="shared" si="2"/>
        <v>7847</v>
      </c>
      <c r="H4" s="9">
        <f t="shared" si="2"/>
        <v>7601</v>
      </c>
      <c r="I4" s="9">
        <f t="shared" si="2"/>
        <v>6970</v>
      </c>
      <c r="J4" s="9">
        <f t="shared" si="2"/>
        <v>6557</v>
      </c>
      <c r="K4" s="9">
        <f t="shared" si="2"/>
        <v>5661</v>
      </c>
      <c r="L4" s="9">
        <f t="shared" si="2"/>
        <v>5163</v>
      </c>
    </row>
    <row r="5" spans="1:12" x14ac:dyDescent="0.25">
      <c r="A5" t="s">
        <v>116</v>
      </c>
      <c r="D5" s="9">
        <f>D6-D4</f>
        <v>44</v>
      </c>
      <c r="E5" s="9">
        <f t="shared" ref="E5:G5" si="3">E6-E4</f>
        <v>-211</v>
      </c>
      <c r="F5" s="9">
        <f t="shared" si="3"/>
        <v>1481</v>
      </c>
      <c r="G5" s="9">
        <f t="shared" si="3"/>
        <v>-246</v>
      </c>
      <c r="H5">
        <v>-631</v>
      </c>
      <c r="I5">
        <v>-413</v>
      </c>
      <c r="J5">
        <v>-896</v>
      </c>
      <c r="K5">
        <v>-498</v>
      </c>
      <c r="L5">
        <v>-130</v>
      </c>
    </row>
    <row r="6" spans="1:12" x14ac:dyDescent="0.25">
      <c r="A6" s="34" t="s">
        <v>34</v>
      </c>
      <c r="B6" s="34"/>
      <c r="C6" s="38">
        <f>13+6520</f>
        <v>6533</v>
      </c>
      <c r="D6" s="38">
        <f>11+6566</f>
        <v>6577</v>
      </c>
      <c r="E6" s="38">
        <f>12+6354</f>
        <v>6366</v>
      </c>
      <c r="F6" s="38">
        <f>7333+260+254</f>
        <v>7847</v>
      </c>
      <c r="G6" s="38">
        <f>258+9+7334</f>
        <v>7601</v>
      </c>
      <c r="H6" s="35">
        <f>H4+H5</f>
        <v>6970</v>
      </c>
      <c r="I6" s="35">
        <f t="shared" ref="I6:L6" si="4">I4+I5</f>
        <v>6557</v>
      </c>
      <c r="J6" s="35">
        <f t="shared" si="4"/>
        <v>5661</v>
      </c>
      <c r="K6" s="35">
        <f t="shared" si="4"/>
        <v>5163</v>
      </c>
      <c r="L6" s="35">
        <f t="shared" si="4"/>
        <v>5033</v>
      </c>
    </row>
    <row r="8" spans="1:12" x14ac:dyDescent="0.25">
      <c r="A8" t="s">
        <v>29</v>
      </c>
      <c r="D8" s="9">
        <v>102</v>
      </c>
      <c r="E8" s="9">
        <v>143</v>
      </c>
      <c r="F8" s="9">
        <v>145</v>
      </c>
      <c r="G8" s="9">
        <v>164</v>
      </c>
      <c r="H8" s="16">
        <f>H4*H9</f>
        <v>158.85867210398879</v>
      </c>
      <c r="I8" s="16">
        <f t="shared" ref="I8:L8" si="5">I4*I9</f>
        <v>145.67095705365108</v>
      </c>
      <c r="J8" s="16">
        <f t="shared" si="5"/>
        <v>137.03937810628267</v>
      </c>
      <c r="K8" s="16">
        <f t="shared" si="5"/>
        <v>118.31324072894101</v>
      </c>
      <c r="L8" s="16">
        <f t="shared" si="5"/>
        <v>107.90518669555244</v>
      </c>
    </row>
    <row r="9" spans="1:12" x14ac:dyDescent="0.25">
      <c r="A9" t="s">
        <v>40</v>
      </c>
      <c r="D9" s="10">
        <f>D8/D4</f>
        <v>1.5613041481708251E-2</v>
      </c>
      <c r="E9" s="10">
        <f t="shared" ref="E9:G9" si="6">E8/E4</f>
        <v>2.1742435760985251E-2</v>
      </c>
      <c r="F9" s="10">
        <f t="shared" si="6"/>
        <v>2.2777254162739555E-2</v>
      </c>
      <c r="G9" s="10">
        <f t="shared" si="6"/>
        <v>2.0899706894354532E-2</v>
      </c>
      <c r="H9" s="6">
        <f>G9</f>
        <v>2.0899706894354532E-2</v>
      </c>
      <c r="I9" s="6">
        <f t="shared" ref="I9:L9" si="7">H9</f>
        <v>2.0899706894354532E-2</v>
      </c>
      <c r="J9" s="6">
        <f t="shared" si="7"/>
        <v>2.0899706894354532E-2</v>
      </c>
      <c r="K9" s="6">
        <f t="shared" si="7"/>
        <v>2.0899706894354532E-2</v>
      </c>
      <c r="L9" s="6">
        <f t="shared" si="7"/>
        <v>2.0899706894354532E-2</v>
      </c>
    </row>
  </sheetData>
  <mergeCells count="2">
    <mergeCell ref="D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9A60-DDFD-46B3-BBA2-FEEE4A15A882}">
  <dimension ref="A1:L23"/>
  <sheetViews>
    <sheetView showGridLines="0" workbookViewId="0">
      <selection activeCell="H20" sqref="H20"/>
    </sheetView>
  </sheetViews>
  <sheetFormatPr defaultRowHeight="15" x14ac:dyDescent="0.25"/>
  <sheetData>
    <row r="1" spans="1:12" x14ac:dyDescent="0.25">
      <c r="A1" s="1" t="s">
        <v>17</v>
      </c>
      <c r="D1" s="74" t="s">
        <v>18</v>
      </c>
      <c r="E1" s="74"/>
      <c r="F1" s="74"/>
      <c r="G1" s="74"/>
      <c r="H1" s="75" t="s">
        <v>19</v>
      </c>
      <c r="I1" s="75"/>
      <c r="J1" s="75"/>
      <c r="K1" s="75"/>
      <c r="L1" s="75"/>
    </row>
    <row r="2" spans="1:12" x14ac:dyDescent="0.25">
      <c r="D2" s="8">
        <v>2017</v>
      </c>
      <c r="E2" s="8">
        <f>D2+1</f>
        <v>2018</v>
      </c>
      <c r="F2" s="8">
        <f t="shared" ref="F2:G2" si="0">E2+1</f>
        <v>2019</v>
      </c>
      <c r="G2" s="8">
        <f t="shared" si="0"/>
        <v>2020</v>
      </c>
      <c r="H2" s="1">
        <f>G2+1</f>
        <v>2021</v>
      </c>
      <c r="I2" s="1">
        <f t="shared" ref="I2:L2" si="1">H2+1</f>
        <v>2022</v>
      </c>
      <c r="J2" s="1">
        <f t="shared" si="1"/>
        <v>2023</v>
      </c>
      <c r="K2" s="1">
        <f t="shared" si="1"/>
        <v>2024</v>
      </c>
      <c r="L2" s="1">
        <f t="shared" si="1"/>
        <v>2025</v>
      </c>
    </row>
    <row r="4" spans="1:12" x14ac:dyDescent="0.25">
      <c r="A4" s="1" t="s">
        <v>31</v>
      </c>
    </row>
    <row r="5" spans="1:12" x14ac:dyDescent="0.25">
      <c r="A5" t="s">
        <v>33</v>
      </c>
      <c r="D5">
        <f>C9</f>
        <v>3840</v>
      </c>
      <c r="E5">
        <f t="shared" ref="E5:L5" si="2">D9</f>
        <v>4072</v>
      </c>
      <c r="F5">
        <f t="shared" si="2"/>
        <v>3881</v>
      </c>
      <c r="G5">
        <f t="shared" si="2"/>
        <v>3750</v>
      </c>
      <c r="H5">
        <f t="shared" si="2"/>
        <v>3716</v>
      </c>
      <c r="I5" s="7">
        <f t="shared" si="2"/>
        <v>3931.6119214162854</v>
      </c>
      <c r="J5" s="7">
        <f t="shared" si="2"/>
        <v>4080.013548382411</v>
      </c>
      <c r="K5" s="7">
        <f t="shared" si="2"/>
        <v>4209.8824101445844</v>
      </c>
      <c r="L5" s="7">
        <f t="shared" si="2"/>
        <v>4318.9825603782474</v>
      </c>
    </row>
    <row r="6" spans="1:12" x14ac:dyDescent="0.25">
      <c r="A6" t="s">
        <v>36</v>
      </c>
      <c r="D6" s="9">
        <f>D7-D5</f>
        <v>672</v>
      </c>
      <c r="E6" s="9">
        <f t="shared" ref="E6:L6" si="3">E7-E5</f>
        <v>261</v>
      </c>
      <c r="F6" s="9">
        <f t="shared" si="3"/>
        <v>326</v>
      </c>
      <c r="G6" s="9">
        <f t="shared" si="3"/>
        <v>471</v>
      </c>
      <c r="H6" s="12">
        <f t="shared" si="3"/>
        <v>689.2930613649396</v>
      </c>
      <c r="I6" s="12">
        <f t="shared" si="3"/>
        <v>639.96221515040997</v>
      </c>
      <c r="J6" s="12">
        <f t="shared" si="3"/>
        <v>637.07606810534753</v>
      </c>
      <c r="K6" s="12">
        <f t="shared" si="3"/>
        <v>629.45175754117099</v>
      </c>
      <c r="L6" s="12">
        <f t="shared" si="3"/>
        <v>617.13829066122344</v>
      </c>
    </row>
    <row r="7" spans="1:12" x14ac:dyDescent="0.25">
      <c r="A7" s="34" t="s">
        <v>37</v>
      </c>
      <c r="B7" s="34"/>
      <c r="C7" s="34"/>
      <c r="D7" s="38">
        <f>D8+D9</f>
        <v>4512</v>
      </c>
      <c r="E7" s="38">
        <f t="shared" ref="E7:G7" si="4">E8+E9</f>
        <v>4333</v>
      </c>
      <c r="F7" s="38">
        <f t="shared" si="4"/>
        <v>4207</v>
      </c>
      <c r="G7" s="38">
        <f t="shared" si="4"/>
        <v>4221</v>
      </c>
      <c r="H7" s="41">
        <f>'Income Statement'!H3/'Fixed asset Schedule'!H13</f>
        <v>4405.2930613649396</v>
      </c>
      <c r="I7" s="41">
        <f>'Income Statement'!I3/'Fixed asset Schedule'!I13</f>
        <v>4571.5741365666954</v>
      </c>
      <c r="J7" s="41">
        <f>'Income Statement'!J3/'Fixed asset Schedule'!J13</f>
        <v>4717.0896164877586</v>
      </c>
      <c r="K7" s="41">
        <f>'Income Statement'!K3/'Fixed asset Schedule'!K13</f>
        <v>4839.3341676857553</v>
      </c>
      <c r="L7" s="41">
        <f>'Income Statement'!L3/'Fixed asset Schedule'!L13</f>
        <v>4936.1208510394708</v>
      </c>
    </row>
    <row r="8" spans="1:12" x14ac:dyDescent="0.25">
      <c r="A8" t="s">
        <v>35</v>
      </c>
      <c r="D8" s="9">
        <f>'Income Statement'!D14</f>
        <v>440</v>
      </c>
      <c r="E8" s="9">
        <f>'Income Statement'!E14</f>
        <v>452</v>
      </c>
      <c r="F8" s="9">
        <f>'Income Statement'!F14</f>
        <v>457</v>
      </c>
      <c r="G8" s="9">
        <f>'Income Statement'!G14</f>
        <v>505</v>
      </c>
      <c r="H8" s="19">
        <f>H11*H7</f>
        <v>473.68113994865405</v>
      </c>
      <c r="I8" s="19">
        <f t="shared" ref="I8:L8" si="5">I11*I7</f>
        <v>491.56058818428431</v>
      </c>
      <c r="J8" s="19">
        <f t="shared" si="5"/>
        <v>507.20720634317428</v>
      </c>
      <c r="K8" s="19">
        <f t="shared" si="5"/>
        <v>520.35160730750817</v>
      </c>
      <c r="L8" s="19">
        <f t="shared" si="5"/>
        <v>530.75863945365836</v>
      </c>
    </row>
    <row r="9" spans="1:12" x14ac:dyDescent="0.25">
      <c r="A9" s="34" t="s">
        <v>34</v>
      </c>
      <c r="B9" s="34"/>
      <c r="C9" s="34">
        <v>3840</v>
      </c>
      <c r="D9" s="38">
        <v>4072</v>
      </c>
      <c r="E9" s="38">
        <v>3881</v>
      </c>
      <c r="F9" s="38">
        <v>3750</v>
      </c>
      <c r="G9" s="38">
        <v>3716</v>
      </c>
      <c r="H9" s="69">
        <f>H7-H8</f>
        <v>3931.6119214162854</v>
      </c>
      <c r="I9" s="69">
        <f t="shared" ref="I9:L9" si="6">I7-I8</f>
        <v>4080.013548382411</v>
      </c>
      <c r="J9" s="69">
        <f t="shared" si="6"/>
        <v>4209.8824101445844</v>
      </c>
      <c r="K9" s="69">
        <f t="shared" si="6"/>
        <v>4318.9825603782474</v>
      </c>
      <c r="L9" s="69">
        <f t="shared" si="6"/>
        <v>4405.3622115858125</v>
      </c>
    </row>
    <row r="10" spans="1:12" x14ac:dyDescent="0.25">
      <c r="D10" s="9"/>
      <c r="E10" s="9"/>
      <c r="F10" s="9"/>
      <c r="G10" s="9"/>
    </row>
    <row r="11" spans="1:12" x14ac:dyDescent="0.25">
      <c r="A11" s="1" t="s">
        <v>44</v>
      </c>
      <c r="D11" s="11">
        <f>D8/D7</f>
        <v>9.7517730496453903E-2</v>
      </c>
      <c r="E11" s="11">
        <f t="shared" ref="E11:G11" si="7">E8/E7</f>
        <v>0.10431571659358412</v>
      </c>
      <c r="F11" s="11">
        <f t="shared" si="7"/>
        <v>0.10862847634894224</v>
      </c>
      <c r="G11" s="11">
        <f t="shared" si="7"/>
        <v>0.11963989575929874</v>
      </c>
      <c r="H11" s="5">
        <f>AVERAGE($D$11:$G$11)</f>
        <v>0.10752545479956975</v>
      </c>
      <c r="I11" s="5">
        <f t="shared" ref="I11:L11" si="8">AVERAGE($D$11:$G$11)</f>
        <v>0.10752545479956975</v>
      </c>
      <c r="J11" s="5">
        <f t="shared" si="8"/>
        <v>0.10752545479956975</v>
      </c>
      <c r="K11" s="5">
        <f t="shared" si="8"/>
        <v>0.10752545479956975</v>
      </c>
      <c r="L11" s="5">
        <f t="shared" si="8"/>
        <v>0.10752545479956975</v>
      </c>
    </row>
    <row r="12" spans="1:12" x14ac:dyDescent="0.25">
      <c r="A12" s="1"/>
      <c r="D12" s="11"/>
      <c r="E12" s="11"/>
      <c r="F12" s="11"/>
      <c r="G12" s="11"/>
    </row>
    <row r="13" spans="1:12" x14ac:dyDescent="0.25">
      <c r="A13" s="1" t="s">
        <v>46</v>
      </c>
      <c r="D13" s="13">
        <f>'Income Statement'!D3/'Fixed asset Schedule'!D7</f>
        <v>3.4250886524822697</v>
      </c>
      <c r="E13" s="13">
        <f>'Income Statement'!E3/'Fixed asset Schedule'!E7</f>
        <v>3.5873528732979461</v>
      </c>
      <c r="F13" s="13">
        <f>'Income Statement'!F3/'Fixed asset Schedule'!F7</f>
        <v>3.7302115521749464</v>
      </c>
      <c r="G13" s="13">
        <f>'Income Statement'!G3/'Fixed asset Schedule'!G7</f>
        <v>3.902155887230514</v>
      </c>
      <c r="H13" s="13">
        <f>G13</f>
        <v>3.902155887230514</v>
      </c>
      <c r="I13" s="13">
        <f t="shared" ref="I13:L13" si="9">H13</f>
        <v>3.902155887230514</v>
      </c>
      <c r="J13" s="13">
        <f t="shared" si="9"/>
        <v>3.902155887230514</v>
      </c>
      <c r="K13" s="13">
        <f t="shared" si="9"/>
        <v>3.902155887230514</v>
      </c>
      <c r="L13" s="13">
        <f t="shared" si="9"/>
        <v>3.902155887230514</v>
      </c>
    </row>
    <row r="14" spans="1:12" x14ac:dyDescent="0.25">
      <c r="A14" s="1"/>
      <c r="D14" s="9"/>
      <c r="E14" s="9"/>
      <c r="F14" s="9"/>
      <c r="G14" s="9"/>
    </row>
    <row r="15" spans="1:12" x14ac:dyDescent="0.25">
      <c r="A15" s="1" t="s">
        <v>47</v>
      </c>
      <c r="D15" s="9"/>
      <c r="E15" s="9"/>
      <c r="F15" s="9"/>
      <c r="G15" s="9"/>
      <c r="H15" s="16"/>
      <c r="I15" s="16"/>
      <c r="J15" s="16"/>
      <c r="K15" s="16"/>
      <c r="L15" s="16"/>
    </row>
    <row r="16" spans="1:12" x14ac:dyDescent="0.25">
      <c r="A16" t="s">
        <v>33</v>
      </c>
      <c r="D16" s="9">
        <f>C20</f>
        <v>1313</v>
      </c>
      <c r="E16" s="9">
        <f t="shared" ref="E16:L16" si="10">D20</f>
        <v>1341</v>
      </c>
      <c r="F16" s="9">
        <f t="shared" si="10"/>
        <v>1637</v>
      </c>
      <c r="G16" s="9">
        <f t="shared" si="10"/>
        <v>2667</v>
      </c>
      <c r="H16" s="9">
        <f t="shared" si="10"/>
        <v>2894</v>
      </c>
      <c r="I16" s="12">
        <f t="shared" si="10"/>
        <v>2812.6401657000411</v>
      </c>
      <c r="J16" s="12">
        <f t="shared" si="10"/>
        <v>2733.5676232581736</v>
      </c>
      <c r="K16" s="12">
        <f t="shared" si="10"/>
        <v>2656.7180693963846</v>
      </c>
      <c r="L16" s="12">
        <f t="shared" si="10"/>
        <v>2582.0290086127643</v>
      </c>
    </row>
    <row r="17" spans="1:12" x14ac:dyDescent="0.25">
      <c r="A17" t="s">
        <v>36</v>
      </c>
      <c r="D17" s="9">
        <f>D18-D16</f>
        <v>63</v>
      </c>
      <c r="E17" s="9">
        <f t="shared" ref="E17:G17" si="11">E18-E16</f>
        <v>355</v>
      </c>
      <c r="F17" s="9">
        <f t="shared" si="11"/>
        <v>1092</v>
      </c>
      <c r="G17" s="9">
        <f t="shared" si="11"/>
        <v>315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</row>
    <row r="18" spans="1:12" x14ac:dyDescent="0.25">
      <c r="A18" s="34" t="s">
        <v>115</v>
      </c>
      <c r="B18" s="34"/>
      <c r="C18" s="34"/>
      <c r="D18" s="38">
        <f>D20+D19</f>
        <v>1376</v>
      </c>
      <c r="E18" s="38">
        <f t="shared" ref="E18:G18" si="12">E20+E19</f>
        <v>1696</v>
      </c>
      <c r="F18" s="38">
        <f t="shared" si="12"/>
        <v>2729</v>
      </c>
      <c r="G18" s="38">
        <f t="shared" si="12"/>
        <v>2982</v>
      </c>
      <c r="H18" s="70">
        <f>H16+H17</f>
        <v>2894</v>
      </c>
      <c r="I18" s="70">
        <f t="shared" ref="I18:L18" si="13">I16+I17</f>
        <v>2812.6401657000411</v>
      </c>
      <c r="J18" s="70">
        <f t="shared" si="13"/>
        <v>2733.5676232581736</v>
      </c>
      <c r="K18" s="70">
        <f t="shared" si="13"/>
        <v>2656.7180693963846</v>
      </c>
      <c r="L18" s="70">
        <f t="shared" si="13"/>
        <v>2582.0290086127643</v>
      </c>
    </row>
    <row r="19" spans="1:12" x14ac:dyDescent="0.25">
      <c r="A19" t="s">
        <v>41</v>
      </c>
      <c r="D19" s="9">
        <f>'Income Statement'!D13</f>
        <v>35</v>
      </c>
      <c r="E19" s="9">
        <f>'Income Statement'!E13</f>
        <v>59</v>
      </c>
      <c r="F19" s="9">
        <f>'Income Statement'!F13</f>
        <v>62</v>
      </c>
      <c r="G19" s="9">
        <f>'Income Statement'!G13</f>
        <v>88</v>
      </c>
      <c r="H19" s="16">
        <f>H22*H18</f>
        <v>81.359834299959047</v>
      </c>
      <c r="I19" s="16">
        <f t="shared" ref="I19:L19" si="14">I22*I18</f>
        <v>79.072542441867554</v>
      </c>
      <c r="J19" s="16">
        <f t="shared" si="14"/>
        <v>76.84955386178919</v>
      </c>
      <c r="K19" s="16">
        <f t="shared" si="14"/>
        <v>74.689060783620235</v>
      </c>
      <c r="L19" s="16">
        <f t="shared" si="14"/>
        <v>72.589306253774026</v>
      </c>
    </row>
    <row r="20" spans="1:12" x14ac:dyDescent="0.25">
      <c r="A20" s="34" t="s">
        <v>34</v>
      </c>
      <c r="B20" s="34"/>
      <c r="C20" s="34">
        <v>1313</v>
      </c>
      <c r="D20" s="38">
        <v>1341</v>
      </c>
      <c r="E20" s="38">
        <v>1637</v>
      </c>
      <c r="F20" s="38">
        <v>2667</v>
      </c>
      <c r="G20" s="38">
        <v>2894</v>
      </c>
      <c r="H20" s="70">
        <f>H18-H19</f>
        <v>2812.6401657000411</v>
      </c>
      <c r="I20" s="70">
        <f t="shared" ref="I20:L20" si="15">I18-I19</f>
        <v>2733.5676232581736</v>
      </c>
      <c r="J20" s="70">
        <f t="shared" si="15"/>
        <v>2656.7180693963846</v>
      </c>
      <c r="K20" s="70">
        <f t="shared" si="15"/>
        <v>2582.0290086127643</v>
      </c>
      <c r="L20" s="70">
        <f t="shared" si="15"/>
        <v>2509.4397023589904</v>
      </c>
    </row>
    <row r="21" spans="1:12" x14ac:dyDescent="0.25">
      <c r="A21" s="1"/>
      <c r="B21" s="1"/>
      <c r="C21" s="1"/>
      <c r="D21" s="8"/>
      <c r="E21" s="8"/>
      <c r="F21" s="8"/>
      <c r="G21" s="8"/>
    </row>
    <row r="22" spans="1:12" x14ac:dyDescent="0.25">
      <c r="A22" s="1" t="s">
        <v>45</v>
      </c>
      <c r="D22" s="11">
        <f>D19/D18</f>
        <v>2.5436046511627907E-2</v>
      </c>
      <c r="E22" s="11">
        <f t="shared" ref="E22:G22" si="16">E19/E18</f>
        <v>3.4787735849056603E-2</v>
      </c>
      <c r="F22" s="11">
        <f t="shared" si="16"/>
        <v>2.2718944668376696E-2</v>
      </c>
      <c r="G22" s="11">
        <f t="shared" si="16"/>
        <v>2.9510395707578806E-2</v>
      </c>
      <c r="H22" s="5">
        <f>AVERAGE($D$22:$G$22)</f>
        <v>2.8113280684160004E-2</v>
      </c>
      <c r="I22" s="5">
        <f t="shared" ref="I22:L22" si="17">AVERAGE($D$22:$G$22)</f>
        <v>2.8113280684160004E-2</v>
      </c>
      <c r="J22" s="5">
        <f t="shared" si="17"/>
        <v>2.8113280684160004E-2</v>
      </c>
      <c r="K22" s="5">
        <f t="shared" si="17"/>
        <v>2.8113280684160004E-2</v>
      </c>
      <c r="L22" s="5">
        <f t="shared" si="17"/>
        <v>2.8113280684160004E-2</v>
      </c>
    </row>
    <row r="23" spans="1:12" x14ac:dyDescent="0.25">
      <c r="A23" s="1"/>
      <c r="D23" s="9"/>
      <c r="E23" s="9"/>
      <c r="F23" s="9"/>
      <c r="G23" s="9"/>
    </row>
  </sheetData>
  <mergeCells count="2">
    <mergeCell ref="D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7EE3-298C-4CE6-8556-F008AA242CB9}">
  <dimension ref="A1:M196"/>
  <sheetViews>
    <sheetView showGridLines="0" topLeftCell="A16" workbookViewId="0">
      <selection activeCell="G30" sqref="G30"/>
    </sheetView>
  </sheetViews>
  <sheetFormatPr defaultRowHeight="15" x14ac:dyDescent="0.25"/>
  <cols>
    <col min="1" max="1" width="33.85546875" bestFit="1" customWidth="1"/>
    <col min="2" max="2" width="4" customWidth="1"/>
    <col min="3" max="3" width="4.7109375" customWidth="1"/>
    <col min="4" max="4" width="25.85546875" bestFit="1" customWidth="1"/>
    <col min="5" max="5" width="16.28515625" bestFit="1" customWidth="1"/>
    <col min="7" max="7" width="10" bestFit="1" customWidth="1"/>
    <col min="9" max="9" width="6.5703125" bestFit="1" customWidth="1"/>
    <col min="12" max="12" width="4" bestFit="1" customWidth="1"/>
  </cols>
  <sheetData>
    <row r="1" spans="1:13" x14ac:dyDescent="0.25">
      <c r="A1" t="s">
        <v>50</v>
      </c>
      <c r="D1" s="44">
        <v>44366</v>
      </c>
      <c r="G1" s="21">
        <v>1.443E-2</v>
      </c>
    </row>
    <row r="2" spans="1:13" x14ac:dyDescent="0.25">
      <c r="D2" s="44"/>
      <c r="G2" s="21"/>
    </row>
    <row r="3" spans="1:13" x14ac:dyDescent="0.25">
      <c r="A3" s="76" t="s">
        <v>48</v>
      </c>
      <c r="B3" s="76"/>
      <c r="C3" s="76"/>
      <c r="D3" s="76"/>
      <c r="E3" s="76"/>
      <c r="F3" s="76"/>
      <c r="G3" s="76"/>
      <c r="I3" s="76" t="s">
        <v>70</v>
      </c>
      <c r="J3" s="76"/>
      <c r="K3" s="76"/>
      <c r="L3" s="76"/>
      <c r="M3" s="76"/>
    </row>
    <row r="4" spans="1:13" x14ac:dyDescent="0.25">
      <c r="A4" t="s">
        <v>50</v>
      </c>
      <c r="D4" s="44">
        <v>44366</v>
      </c>
      <c r="G4" s="21">
        <f>G1</f>
        <v>1.443E-2</v>
      </c>
    </row>
    <row r="5" spans="1:13" x14ac:dyDescent="0.25">
      <c r="A5" t="s">
        <v>54</v>
      </c>
      <c r="D5" t="s">
        <v>57</v>
      </c>
      <c r="G5" s="22">
        <f>(0.85%+1.07%)/2</f>
        <v>9.6000000000000009E-3</v>
      </c>
    </row>
    <row r="6" spans="1:13" x14ac:dyDescent="0.25">
      <c r="A6" t="s">
        <v>55</v>
      </c>
      <c r="D6" t="s">
        <v>57</v>
      </c>
      <c r="G6" s="21">
        <v>0</v>
      </c>
      <c r="I6" t="s">
        <v>71</v>
      </c>
      <c r="J6" s="22">
        <f>G9</f>
        <v>1.7541900000000003E-2</v>
      </c>
      <c r="K6" s="22"/>
      <c r="L6" s="22" t="s">
        <v>72</v>
      </c>
      <c r="M6" s="22">
        <f ca="1">G32/SUM(G32,G30)</f>
        <v>9.9552663724915502E-2</v>
      </c>
    </row>
    <row r="7" spans="1:13" s="1" customFormat="1" x14ac:dyDescent="0.25">
      <c r="A7" s="1" t="s">
        <v>48</v>
      </c>
      <c r="G7" s="73">
        <f>SUM(G4:G6)</f>
        <v>2.4030000000000003E-2</v>
      </c>
      <c r="I7" s="2" t="s">
        <v>73</v>
      </c>
      <c r="J7" s="22">
        <f>G17</f>
        <v>4.7732275068137382E-2</v>
      </c>
      <c r="K7" s="22"/>
      <c r="L7" s="22" t="s">
        <v>74</v>
      </c>
      <c r="M7" s="79">
        <f ca="1">1-M6</f>
        <v>0.90044733627508444</v>
      </c>
    </row>
    <row r="8" spans="1:13" s="1" customFormat="1" x14ac:dyDescent="0.25">
      <c r="A8" s="2" t="s">
        <v>7</v>
      </c>
      <c r="B8" s="2"/>
      <c r="C8" s="2"/>
      <c r="D8" s="2" t="s">
        <v>58</v>
      </c>
      <c r="E8" s="2"/>
      <c r="F8" s="2"/>
      <c r="G8" s="46">
        <f>'Income Statement'!L21</f>
        <v>0.27</v>
      </c>
    </row>
    <row r="9" spans="1:13" s="1" customFormat="1" x14ac:dyDescent="0.25">
      <c r="A9" s="34" t="s">
        <v>56</v>
      </c>
      <c r="B9" s="34"/>
      <c r="C9" s="34"/>
      <c r="D9" s="34"/>
      <c r="E9" s="34"/>
      <c r="F9" s="34"/>
      <c r="G9" s="45">
        <f>G7*(1-G8)</f>
        <v>1.7541900000000003E-2</v>
      </c>
      <c r="I9" s="34" t="s">
        <v>80</v>
      </c>
      <c r="J9" s="81"/>
      <c r="K9" s="34"/>
      <c r="L9" s="34"/>
      <c r="M9" s="45">
        <f ca="1">SUMPRODUCT(M6:M7,J6:J7)</f>
        <v>4.4726742811250032E-2</v>
      </c>
    </row>
    <row r="11" spans="1:13" x14ac:dyDescent="0.25">
      <c r="A11" s="76" t="s">
        <v>49</v>
      </c>
      <c r="B11" s="76"/>
      <c r="C11" s="76"/>
      <c r="D11" s="76"/>
      <c r="E11" s="76"/>
      <c r="F11" s="76"/>
      <c r="G11" s="76"/>
    </row>
    <row r="12" spans="1:13" x14ac:dyDescent="0.25">
      <c r="A12" t="s">
        <v>51</v>
      </c>
      <c r="D12" s="44">
        <v>44366</v>
      </c>
      <c r="G12" s="21">
        <f>G4</f>
        <v>1.443E-2</v>
      </c>
    </row>
    <row r="13" spans="1:13" x14ac:dyDescent="0.25">
      <c r="A13" t="s">
        <v>52</v>
      </c>
      <c r="G13" s="15">
        <f>SLOPE(E40:E196,C40:C196)</f>
        <v>0.51758317634723794</v>
      </c>
    </row>
    <row r="14" spans="1:13" x14ac:dyDescent="0.25">
      <c r="A14" t="s">
        <v>53</v>
      </c>
      <c r="G14" s="21">
        <f>D23</f>
        <v>7.8771880860894594E-2</v>
      </c>
    </row>
    <row r="15" spans="1:13" x14ac:dyDescent="0.25">
      <c r="A15" t="s">
        <v>51</v>
      </c>
      <c r="D15" s="44">
        <v>44366</v>
      </c>
      <c r="G15" s="21">
        <f>G12</f>
        <v>1.443E-2</v>
      </c>
    </row>
    <row r="17" spans="1:7" s="1" customFormat="1" x14ac:dyDescent="0.25">
      <c r="A17" s="34" t="s">
        <v>49</v>
      </c>
      <c r="B17" s="34"/>
      <c r="C17" s="34"/>
      <c r="D17" s="34"/>
      <c r="E17" s="34"/>
      <c r="F17" s="34"/>
      <c r="G17" s="45">
        <f>G12+(G13*(G14-G15))</f>
        <v>4.7732275068137382E-2</v>
      </c>
    </row>
    <row r="19" spans="1:7" x14ac:dyDescent="0.25">
      <c r="A19" s="1" t="s">
        <v>65</v>
      </c>
    </row>
    <row r="20" spans="1:7" x14ac:dyDescent="0.25">
      <c r="A20" t="s">
        <v>66</v>
      </c>
      <c r="D20" s="44">
        <v>31048</v>
      </c>
      <c r="G20" s="48">
        <v>1097.02</v>
      </c>
    </row>
    <row r="21" spans="1:7" x14ac:dyDescent="0.25">
      <c r="A21" t="s">
        <v>67</v>
      </c>
      <c r="D21" s="44">
        <f>D15</f>
        <v>44366</v>
      </c>
      <c r="G21" s="48">
        <v>16143.95</v>
      </c>
    </row>
    <row r="22" spans="1:7" x14ac:dyDescent="0.25">
      <c r="A22" t="s">
        <v>68</v>
      </c>
      <c r="D22" s="15">
        <f>YEARFRAC(D20,D21,1)</f>
        <v>36.463371318632532</v>
      </c>
    </row>
    <row r="23" spans="1:7" x14ac:dyDescent="0.25">
      <c r="A23" t="s">
        <v>69</v>
      </c>
      <c r="D23" s="80">
        <f>((G21/G20)^(1/(D22-1)))-1</f>
        <v>7.8771880860894594E-2</v>
      </c>
      <c r="G23" s="22"/>
    </row>
    <row r="26" spans="1:7" x14ac:dyDescent="0.25">
      <c r="A26" s="1" t="s">
        <v>75</v>
      </c>
    </row>
    <row r="27" spans="1:7" x14ac:dyDescent="0.25">
      <c r="A27" t="s">
        <v>76</v>
      </c>
      <c r="G27" s="15">
        <f>848562678/10^6</f>
        <v>848.56267800000001</v>
      </c>
    </row>
    <row r="28" spans="1:7" x14ac:dyDescent="0.25">
      <c r="A28" t="s">
        <v>77</v>
      </c>
      <c r="D28" s="20"/>
      <c r="G28" s="20">
        <f ca="1">'DCF value'!G27</f>
        <v>0</v>
      </c>
    </row>
    <row r="30" spans="1:7" x14ac:dyDescent="0.25">
      <c r="A30" t="s">
        <v>78</v>
      </c>
      <c r="G30" s="19">
        <f ca="1">G27*G28</f>
        <v>68750.548171560004</v>
      </c>
    </row>
    <row r="32" spans="1:7" x14ac:dyDescent="0.25">
      <c r="A32" t="s">
        <v>79</v>
      </c>
      <c r="G32">
        <f>'Debt Schedule'!G6</f>
        <v>7601</v>
      </c>
    </row>
    <row r="35" spans="1:5" x14ac:dyDescent="0.25">
      <c r="A35" s="1" t="s">
        <v>59</v>
      </c>
    </row>
    <row r="36" spans="1:5" x14ac:dyDescent="0.25">
      <c r="A36" s="1" t="s">
        <v>60</v>
      </c>
    </row>
    <row r="38" spans="1:5" x14ac:dyDescent="0.25">
      <c r="A38" s="1" t="s">
        <v>64</v>
      </c>
      <c r="B38" s="24" t="s">
        <v>62</v>
      </c>
      <c r="C38" s="1" t="s">
        <v>63</v>
      </c>
      <c r="D38" s="24" t="s">
        <v>62</v>
      </c>
      <c r="E38" s="1" t="s">
        <v>61</v>
      </c>
    </row>
    <row r="39" spans="1:5" x14ac:dyDescent="0.25">
      <c r="A39" s="47">
        <v>43269</v>
      </c>
      <c r="B39">
        <v>12639.570313</v>
      </c>
      <c r="D39">
        <v>60.091602000000002</v>
      </c>
    </row>
    <row r="40" spans="1:5" x14ac:dyDescent="0.25">
      <c r="A40" s="47">
        <v>43276</v>
      </c>
      <c r="B40">
        <v>12504.25</v>
      </c>
      <c r="C40" s="21">
        <f>B40/B39-1</f>
        <v>-1.0706084910245828E-2</v>
      </c>
      <c r="D40">
        <v>60.258960999999999</v>
      </c>
      <c r="E40" s="21">
        <f>D40/D39-1</f>
        <v>2.7850647083762503E-3</v>
      </c>
    </row>
    <row r="41" spans="1:5" x14ac:dyDescent="0.25">
      <c r="A41" s="47">
        <v>43283</v>
      </c>
      <c r="B41">
        <v>12664.879883</v>
      </c>
      <c r="C41" s="21">
        <f t="shared" ref="C41:E56" si="0">B41/B40-1</f>
        <v>1.2846022992182737E-2</v>
      </c>
      <c r="D41">
        <v>61.160857999999998</v>
      </c>
      <c r="E41" s="21">
        <f t="shared" si="0"/>
        <v>1.49670187642299E-2</v>
      </c>
    </row>
    <row r="42" spans="1:5" x14ac:dyDescent="0.25">
      <c r="A42" s="47">
        <v>43290</v>
      </c>
      <c r="B42">
        <v>12769.5</v>
      </c>
      <c r="C42" s="21">
        <f t="shared" si="0"/>
        <v>8.260648183519903E-3</v>
      </c>
      <c r="D42">
        <v>61.132953999999998</v>
      </c>
      <c r="E42" s="21">
        <f t="shared" si="0"/>
        <v>-4.5623951187867551E-4</v>
      </c>
    </row>
    <row r="43" spans="1:5" x14ac:dyDescent="0.25">
      <c r="A43" s="47">
        <v>43297</v>
      </c>
      <c r="B43">
        <v>12789.910156</v>
      </c>
      <c r="C43" s="21">
        <f t="shared" si="0"/>
        <v>1.5983520106503946E-3</v>
      </c>
      <c r="D43">
        <v>61.318897</v>
      </c>
      <c r="E43" s="21">
        <f t="shared" si="0"/>
        <v>3.0416164741524643E-3</v>
      </c>
    </row>
    <row r="44" spans="1:5" x14ac:dyDescent="0.25">
      <c r="A44" s="47">
        <v>43304</v>
      </c>
      <c r="B44">
        <v>12921.339844</v>
      </c>
      <c r="C44" s="21">
        <f t="shared" si="0"/>
        <v>1.0276044663092732E-2</v>
      </c>
      <c r="D44">
        <v>62.378304</v>
      </c>
      <c r="E44" s="21">
        <f t="shared" si="0"/>
        <v>1.7277006792865146E-2</v>
      </c>
    </row>
    <row r="45" spans="1:5" x14ac:dyDescent="0.25">
      <c r="A45" s="47">
        <v>43311</v>
      </c>
      <c r="B45">
        <v>12953.339844</v>
      </c>
      <c r="C45" s="21">
        <f t="shared" si="0"/>
        <v>2.476523362618499E-3</v>
      </c>
      <c r="D45">
        <v>63.164360000000002</v>
      </c>
      <c r="E45" s="21">
        <f t="shared" si="0"/>
        <v>1.2601432703268189E-2</v>
      </c>
    </row>
    <row r="46" spans="1:5" x14ac:dyDescent="0.25">
      <c r="A46" s="47">
        <v>43318</v>
      </c>
      <c r="B46">
        <v>12843.490234000001</v>
      </c>
      <c r="C46" s="21">
        <f t="shared" si="0"/>
        <v>-8.4804082439697837E-3</v>
      </c>
      <c r="D46">
        <v>61.227314</v>
      </c>
      <c r="E46" s="21">
        <f t="shared" si="0"/>
        <v>-3.0666755746436847E-2</v>
      </c>
    </row>
    <row r="47" spans="1:5" x14ac:dyDescent="0.25">
      <c r="A47" s="47">
        <v>43325</v>
      </c>
      <c r="B47">
        <v>12908.259765999999</v>
      </c>
      <c r="C47" s="21">
        <f t="shared" si="0"/>
        <v>5.0429852649038764E-3</v>
      </c>
      <c r="D47">
        <v>63.164360000000002</v>
      </c>
      <c r="E47" s="21">
        <f t="shared" si="0"/>
        <v>3.1636958629281065E-2</v>
      </c>
    </row>
    <row r="48" spans="1:5" x14ac:dyDescent="0.25">
      <c r="A48" s="47">
        <v>43332</v>
      </c>
      <c r="B48">
        <v>12999.440430000001</v>
      </c>
      <c r="C48" s="21">
        <f t="shared" si="0"/>
        <v>7.0637456677289379E-3</v>
      </c>
      <c r="D48">
        <v>62.584175000000002</v>
      </c>
      <c r="E48" s="21">
        <f t="shared" si="0"/>
        <v>-9.1853222291811143E-3</v>
      </c>
    </row>
    <row r="49" spans="1:5" x14ac:dyDescent="0.25">
      <c r="A49" s="47">
        <v>43339</v>
      </c>
      <c r="B49">
        <v>13016.889648</v>
      </c>
      <c r="C49" s="21">
        <f t="shared" si="0"/>
        <v>1.3423053164449694E-3</v>
      </c>
      <c r="D49">
        <v>62.144362999999998</v>
      </c>
      <c r="E49" s="21">
        <f t="shared" si="0"/>
        <v>-7.0275273261971583E-3</v>
      </c>
    </row>
    <row r="50" spans="1:5" x14ac:dyDescent="0.25">
      <c r="A50" s="47">
        <v>43346</v>
      </c>
      <c r="B50">
        <v>12911.120117</v>
      </c>
      <c r="C50" s="21">
        <f t="shared" si="0"/>
        <v>-8.1255610103639908E-3</v>
      </c>
      <c r="D50">
        <v>62.705832999999998</v>
      </c>
      <c r="E50" s="21">
        <f t="shared" si="0"/>
        <v>9.0349304891901294E-3</v>
      </c>
    </row>
    <row r="51" spans="1:5" x14ac:dyDescent="0.25">
      <c r="A51" s="47">
        <v>43353</v>
      </c>
      <c r="B51">
        <v>13050.519531</v>
      </c>
      <c r="C51" s="21">
        <f t="shared" si="0"/>
        <v>1.0796848974896633E-2</v>
      </c>
      <c r="D51">
        <v>63.622871000000004</v>
      </c>
      <c r="E51" s="21">
        <f t="shared" si="0"/>
        <v>1.4624444906106371E-2</v>
      </c>
    </row>
    <row r="52" spans="1:5" x14ac:dyDescent="0.25">
      <c r="A52" s="47">
        <v>43360</v>
      </c>
      <c r="B52">
        <v>13236.440430000001</v>
      </c>
      <c r="C52" s="21">
        <f t="shared" si="0"/>
        <v>1.4246245029430948E-2</v>
      </c>
      <c r="D52">
        <v>64.652221999999995</v>
      </c>
      <c r="E52" s="21">
        <f t="shared" si="0"/>
        <v>1.617894608999948E-2</v>
      </c>
    </row>
    <row r="53" spans="1:5" x14ac:dyDescent="0.25">
      <c r="A53" s="47">
        <v>43367</v>
      </c>
      <c r="B53">
        <v>13082.519531</v>
      </c>
      <c r="C53" s="21">
        <f t="shared" si="0"/>
        <v>-1.1628571881843963E-2</v>
      </c>
      <c r="D53">
        <v>62.64967</v>
      </c>
      <c r="E53" s="21">
        <f t="shared" si="0"/>
        <v>-3.0974217715208474E-2</v>
      </c>
    </row>
    <row r="54" spans="1:5" x14ac:dyDescent="0.25">
      <c r="A54" s="47">
        <v>43374</v>
      </c>
      <c r="B54">
        <v>12991.950194999999</v>
      </c>
      <c r="C54" s="21">
        <f t="shared" si="0"/>
        <v>-6.9229276352609226E-3</v>
      </c>
      <c r="D54">
        <v>60.553550999999999</v>
      </c>
      <c r="E54" s="21">
        <f t="shared" si="0"/>
        <v>-3.345778198033611E-2</v>
      </c>
    </row>
    <row r="55" spans="1:5" x14ac:dyDescent="0.25">
      <c r="A55" s="47">
        <v>43381</v>
      </c>
      <c r="B55">
        <v>12439.419921999999</v>
      </c>
      <c r="C55" s="21">
        <f t="shared" si="0"/>
        <v>-4.2528663111150444E-2</v>
      </c>
      <c r="D55">
        <v>58.522933999999999</v>
      </c>
      <c r="E55" s="21">
        <f t="shared" si="0"/>
        <v>-3.3534234846111621E-2</v>
      </c>
    </row>
    <row r="56" spans="1:5" x14ac:dyDescent="0.25">
      <c r="A56" s="47">
        <v>43388</v>
      </c>
      <c r="B56">
        <v>12457.269531</v>
      </c>
      <c r="C56" s="21">
        <f t="shared" si="0"/>
        <v>1.4349229394878815E-3</v>
      </c>
      <c r="D56">
        <v>60.375748000000002</v>
      </c>
      <c r="E56" s="21">
        <f t="shared" si="0"/>
        <v>3.1659622533620757E-2</v>
      </c>
    </row>
    <row r="57" spans="1:5" x14ac:dyDescent="0.25">
      <c r="A57" s="47">
        <v>43395</v>
      </c>
      <c r="B57">
        <v>11976.950194999999</v>
      </c>
      <c r="C57" s="21">
        <f t="shared" ref="C57:E72" si="1">B57/B56-1</f>
        <v>-3.8557352781419918E-2</v>
      </c>
      <c r="D57">
        <v>56.123992999999999</v>
      </c>
      <c r="E57" s="21">
        <f t="shared" si="1"/>
        <v>-7.0421570594868754E-2</v>
      </c>
    </row>
    <row r="58" spans="1:5" x14ac:dyDescent="0.25">
      <c r="A58" s="47">
        <v>43402</v>
      </c>
      <c r="B58">
        <v>12321.799805000001</v>
      </c>
      <c r="C58" s="21">
        <f t="shared" si="1"/>
        <v>2.8792773150544182E-2</v>
      </c>
      <c r="D58">
        <v>56.792800999999997</v>
      </c>
      <c r="E58" s="21">
        <f t="shared" si="1"/>
        <v>1.1916614699884143E-2</v>
      </c>
    </row>
    <row r="59" spans="1:5" x14ac:dyDescent="0.25">
      <c r="A59" s="47">
        <v>43409</v>
      </c>
      <c r="B59">
        <v>12537.530273</v>
      </c>
      <c r="C59" s="21">
        <f t="shared" si="1"/>
        <v>1.7508032220460157E-2</v>
      </c>
      <c r="D59">
        <v>60.099196999999997</v>
      </c>
      <c r="E59" s="21">
        <f t="shared" si="1"/>
        <v>5.8218575977613707E-2</v>
      </c>
    </row>
    <row r="60" spans="1:5" x14ac:dyDescent="0.25">
      <c r="A60" s="47">
        <v>43416</v>
      </c>
      <c r="B60">
        <v>12400.280273</v>
      </c>
      <c r="C60" s="21">
        <f t="shared" si="1"/>
        <v>-1.0947132091523093E-2</v>
      </c>
      <c r="D60">
        <v>59.571682000000003</v>
      </c>
      <c r="E60" s="21">
        <f t="shared" si="1"/>
        <v>-8.7774051290567812E-3</v>
      </c>
    </row>
    <row r="61" spans="1:5" x14ac:dyDescent="0.25">
      <c r="A61" s="47">
        <v>43423</v>
      </c>
      <c r="B61">
        <v>12036.240234000001</v>
      </c>
      <c r="C61" s="21">
        <f t="shared" si="1"/>
        <v>-2.9357404105828877E-2</v>
      </c>
      <c r="D61">
        <v>58.196373000000001</v>
      </c>
      <c r="E61" s="21">
        <f t="shared" si="1"/>
        <v>-2.3086623607505352E-2</v>
      </c>
    </row>
    <row r="62" spans="1:5" x14ac:dyDescent="0.25">
      <c r="A62" s="47">
        <v>43430</v>
      </c>
      <c r="B62">
        <v>12457.549805000001</v>
      </c>
      <c r="C62" s="21">
        <f t="shared" si="1"/>
        <v>3.5003419905983879E-2</v>
      </c>
      <c r="D62">
        <v>59.835442</v>
      </c>
      <c r="E62" s="21">
        <f t="shared" si="1"/>
        <v>2.8164452791585415E-2</v>
      </c>
    </row>
    <row r="63" spans="1:5" x14ac:dyDescent="0.25">
      <c r="A63" s="47">
        <v>43437</v>
      </c>
      <c r="B63">
        <v>11941.929688</v>
      </c>
      <c r="C63" s="21">
        <f t="shared" si="1"/>
        <v>-4.1390171026492673E-2</v>
      </c>
      <c r="D63">
        <v>59.072426</v>
      </c>
      <c r="E63" s="21">
        <f t="shared" si="1"/>
        <v>-1.2751907138916052E-2</v>
      </c>
    </row>
    <row r="64" spans="1:5" x14ac:dyDescent="0.25">
      <c r="A64" s="47">
        <v>43444</v>
      </c>
      <c r="B64">
        <v>11755.379883</v>
      </c>
      <c r="C64" s="21">
        <f t="shared" si="1"/>
        <v>-1.5621412106240906E-2</v>
      </c>
      <c r="D64">
        <v>61.389724999999999</v>
      </c>
      <c r="E64" s="21">
        <f t="shared" si="1"/>
        <v>3.9228099418161744E-2</v>
      </c>
    </row>
    <row r="65" spans="1:5" x14ac:dyDescent="0.25">
      <c r="A65" s="47">
        <v>43451</v>
      </c>
      <c r="B65">
        <v>11036.839844</v>
      </c>
      <c r="C65" s="21">
        <f t="shared" si="1"/>
        <v>-6.1124357200834756E-2</v>
      </c>
      <c r="D65">
        <v>56.434845000000003</v>
      </c>
      <c r="E65" s="21">
        <f t="shared" si="1"/>
        <v>-8.0711878087090239E-2</v>
      </c>
    </row>
    <row r="66" spans="1:5" x14ac:dyDescent="0.25">
      <c r="A66" s="47">
        <v>43458</v>
      </c>
      <c r="B66">
        <v>11290.950194999999</v>
      </c>
      <c r="C66" s="21">
        <f t="shared" si="1"/>
        <v>2.3023832418674006E-2</v>
      </c>
      <c r="D66">
        <v>56.161667000000001</v>
      </c>
      <c r="E66" s="21">
        <f t="shared" si="1"/>
        <v>-4.840590950502377E-3</v>
      </c>
    </row>
    <row r="67" spans="1:5" x14ac:dyDescent="0.25">
      <c r="A67" s="47">
        <v>43465</v>
      </c>
      <c r="B67">
        <v>11533.339844</v>
      </c>
      <c r="C67" s="21">
        <f t="shared" si="1"/>
        <v>2.1467604126651718E-2</v>
      </c>
      <c r="D67">
        <v>56.067470999999998</v>
      </c>
      <c r="E67" s="21">
        <f t="shared" si="1"/>
        <v>-1.6772294169972168E-3</v>
      </c>
    </row>
    <row r="68" spans="1:5" x14ac:dyDescent="0.25">
      <c r="A68" s="47">
        <v>43472</v>
      </c>
      <c r="B68">
        <v>11848.009765999999</v>
      </c>
      <c r="C68" s="21">
        <f t="shared" si="1"/>
        <v>2.7283503846780244E-2</v>
      </c>
      <c r="D68">
        <v>58.497818000000002</v>
      </c>
      <c r="E68" s="21">
        <f t="shared" si="1"/>
        <v>4.3346827610612371E-2</v>
      </c>
    </row>
    <row r="69" spans="1:5" x14ac:dyDescent="0.25">
      <c r="A69" s="47">
        <v>43479</v>
      </c>
      <c r="B69">
        <v>12151.769531</v>
      </c>
      <c r="C69" s="21">
        <f t="shared" si="1"/>
        <v>2.5638041409426826E-2</v>
      </c>
      <c r="D69">
        <v>58.997062999999997</v>
      </c>
      <c r="E69" s="21">
        <f t="shared" si="1"/>
        <v>8.5344208907072172E-3</v>
      </c>
    </row>
    <row r="70" spans="1:5" x14ac:dyDescent="0.25">
      <c r="A70" s="47">
        <v>43486</v>
      </c>
      <c r="B70">
        <v>12127.25</v>
      </c>
      <c r="C70" s="21">
        <f t="shared" si="1"/>
        <v>-2.0177745255494095E-3</v>
      </c>
      <c r="D70">
        <v>58.252887999999999</v>
      </c>
      <c r="E70" s="21">
        <f t="shared" si="1"/>
        <v>-1.2613763502091646E-2</v>
      </c>
    </row>
    <row r="71" spans="1:5" x14ac:dyDescent="0.25">
      <c r="A71" s="47">
        <v>43493</v>
      </c>
      <c r="B71">
        <v>12329.690430000001</v>
      </c>
      <c r="C71" s="21">
        <f t="shared" si="1"/>
        <v>1.6693020264280989E-2</v>
      </c>
      <c r="D71">
        <v>61.690398999999999</v>
      </c>
      <c r="E71" s="21">
        <f t="shared" si="1"/>
        <v>5.9010138690462899E-2</v>
      </c>
    </row>
    <row r="72" spans="1:5" x14ac:dyDescent="0.25">
      <c r="A72" s="47">
        <v>43500</v>
      </c>
      <c r="B72">
        <v>12292.139648</v>
      </c>
      <c r="C72" s="21">
        <f t="shared" si="1"/>
        <v>-3.0455575679850799E-3</v>
      </c>
      <c r="D72">
        <v>62.297333000000002</v>
      </c>
      <c r="E72" s="21">
        <f t="shared" si="1"/>
        <v>9.8383866831530664E-3</v>
      </c>
    </row>
    <row r="73" spans="1:5" x14ac:dyDescent="0.25">
      <c r="A73" s="47">
        <v>43507</v>
      </c>
      <c r="B73">
        <v>12603.469727</v>
      </c>
      <c r="C73" s="21">
        <f t="shared" ref="C73:E88" si="2">B73/B72-1</f>
        <v>2.532757419906595E-2</v>
      </c>
      <c r="D73">
        <v>63.046534999999999</v>
      </c>
      <c r="E73" s="21">
        <f t="shared" si="2"/>
        <v>1.2026229116421261E-2</v>
      </c>
    </row>
    <row r="74" spans="1:5" x14ac:dyDescent="0.25">
      <c r="A74" s="47">
        <v>43514</v>
      </c>
      <c r="B74">
        <v>12694.519531</v>
      </c>
      <c r="C74" s="21">
        <f t="shared" si="2"/>
        <v>7.2241855593897508E-3</v>
      </c>
      <c r="D74">
        <v>63.444851</v>
      </c>
      <c r="E74" s="21">
        <f t="shared" si="2"/>
        <v>6.317809535448804E-3</v>
      </c>
    </row>
    <row r="75" spans="1:5" x14ac:dyDescent="0.25">
      <c r="A75" s="47">
        <v>43521</v>
      </c>
      <c r="B75">
        <v>12700.669921999999</v>
      </c>
      <c r="C75" s="21">
        <f t="shared" si="2"/>
        <v>4.8449183011456398E-4</v>
      </c>
      <c r="D75">
        <v>62.591330999999997</v>
      </c>
      <c r="E75" s="21">
        <f t="shared" si="2"/>
        <v>-1.3452943565112951E-2</v>
      </c>
    </row>
    <row r="76" spans="1:5" x14ac:dyDescent="0.25">
      <c r="A76" s="47">
        <v>43528</v>
      </c>
      <c r="B76">
        <v>12415.129883</v>
      </c>
      <c r="C76" s="21">
        <f t="shared" si="2"/>
        <v>-2.2482281702746243E-2</v>
      </c>
      <c r="D76">
        <v>61.974894999999997</v>
      </c>
      <c r="E76" s="21">
        <f t="shared" si="2"/>
        <v>-9.8485843031521636E-3</v>
      </c>
    </row>
    <row r="77" spans="1:5" x14ac:dyDescent="0.25">
      <c r="A77" s="47">
        <v>43535</v>
      </c>
      <c r="B77">
        <v>12715.769531</v>
      </c>
      <c r="C77" s="21">
        <f t="shared" si="2"/>
        <v>2.4215586210794671E-2</v>
      </c>
      <c r="D77">
        <v>63.729351000000001</v>
      </c>
      <c r="E77" s="21">
        <f t="shared" si="2"/>
        <v>2.8309140338196759E-2</v>
      </c>
    </row>
    <row r="78" spans="1:5" x14ac:dyDescent="0.25">
      <c r="A78" s="47">
        <v>43542</v>
      </c>
      <c r="B78">
        <v>12539.410156</v>
      </c>
      <c r="C78" s="21">
        <f t="shared" si="2"/>
        <v>-1.3869343461286432E-2</v>
      </c>
      <c r="D78">
        <v>62.591330999999997</v>
      </c>
      <c r="E78" s="21">
        <f t="shared" si="2"/>
        <v>-1.7857078130295134E-2</v>
      </c>
    </row>
    <row r="79" spans="1:5" x14ac:dyDescent="0.25">
      <c r="A79" s="47">
        <v>43549</v>
      </c>
      <c r="B79">
        <v>12696.879883</v>
      </c>
      <c r="C79" s="21">
        <f t="shared" si="2"/>
        <v>1.2557985187577003E-2</v>
      </c>
      <c r="D79">
        <v>65.000136999999995</v>
      </c>
      <c r="E79" s="21">
        <f t="shared" si="2"/>
        <v>3.8484658522439874E-2</v>
      </c>
    </row>
    <row r="80" spans="1:5" x14ac:dyDescent="0.25">
      <c r="A80" s="47">
        <v>43556</v>
      </c>
      <c r="B80">
        <v>12927.719727</v>
      </c>
      <c r="C80" s="21">
        <f t="shared" si="2"/>
        <v>1.8180832308973383E-2</v>
      </c>
      <c r="D80">
        <v>64.412163000000007</v>
      </c>
      <c r="E80" s="21">
        <f t="shared" si="2"/>
        <v>-9.0457347805280586E-3</v>
      </c>
    </row>
    <row r="81" spans="1:5" x14ac:dyDescent="0.25">
      <c r="A81" s="47">
        <v>43563</v>
      </c>
      <c r="B81">
        <v>12969.540039</v>
      </c>
      <c r="C81" s="21">
        <f t="shared" si="2"/>
        <v>3.2349333744183806E-3</v>
      </c>
      <c r="D81">
        <v>65.218269000000006</v>
      </c>
      <c r="E81" s="21">
        <f t="shared" si="2"/>
        <v>1.2514810285132016E-2</v>
      </c>
    </row>
    <row r="82" spans="1:5" x14ac:dyDescent="0.25">
      <c r="A82" s="47">
        <v>43570</v>
      </c>
      <c r="B82">
        <v>12922.709961</v>
      </c>
      <c r="C82" s="21">
        <f t="shared" si="2"/>
        <v>-3.6107740027154778E-3</v>
      </c>
      <c r="D82">
        <v>65.768310999999997</v>
      </c>
      <c r="E82" s="21">
        <f t="shared" si="2"/>
        <v>8.4338638303937952E-3</v>
      </c>
    </row>
    <row r="83" spans="1:5" x14ac:dyDescent="0.25">
      <c r="A83" s="47">
        <v>43577</v>
      </c>
      <c r="B83">
        <v>12991.200194999999</v>
      </c>
      <c r="C83" s="21">
        <f t="shared" si="2"/>
        <v>5.2999900335686245E-3</v>
      </c>
      <c r="D83">
        <v>68.041381999999999</v>
      </c>
      <c r="E83" s="21">
        <f t="shared" si="2"/>
        <v>3.4561796789946531E-2</v>
      </c>
    </row>
    <row r="84" spans="1:5" x14ac:dyDescent="0.25">
      <c r="A84" s="47">
        <v>43584</v>
      </c>
      <c r="B84">
        <v>13037.879883</v>
      </c>
      <c r="C84" s="21">
        <f t="shared" si="2"/>
        <v>3.5931774816284623E-3</v>
      </c>
      <c r="D84">
        <v>68.661666999999994</v>
      </c>
      <c r="E84" s="21">
        <f t="shared" si="2"/>
        <v>9.1162904363111252E-3</v>
      </c>
    </row>
    <row r="85" spans="1:5" x14ac:dyDescent="0.25">
      <c r="A85" s="47">
        <v>43591</v>
      </c>
      <c r="B85">
        <v>12788.139648</v>
      </c>
      <c r="C85" s="21">
        <f t="shared" si="2"/>
        <v>-1.9154972836161299E-2</v>
      </c>
      <c r="D85">
        <v>68.232239000000007</v>
      </c>
      <c r="E85" s="21">
        <f t="shared" si="2"/>
        <v>-6.2542612022511435E-3</v>
      </c>
    </row>
    <row r="86" spans="1:5" x14ac:dyDescent="0.25">
      <c r="A86" s="47">
        <v>43598</v>
      </c>
      <c r="B86">
        <v>12657.629883</v>
      </c>
      <c r="C86" s="21">
        <f t="shared" si="2"/>
        <v>-1.0205531734274742E-2</v>
      </c>
      <c r="D86">
        <v>68.680747999999994</v>
      </c>
      <c r="E86" s="21">
        <f t="shared" si="2"/>
        <v>6.5732710310149045E-3</v>
      </c>
    </row>
    <row r="87" spans="1:5" x14ac:dyDescent="0.25">
      <c r="A87" s="47">
        <v>43605</v>
      </c>
      <c r="B87">
        <v>12581.360352</v>
      </c>
      <c r="C87" s="21">
        <f t="shared" si="2"/>
        <v>-6.0255775927241517E-3</v>
      </c>
      <c r="D87">
        <v>67.945953000000003</v>
      </c>
      <c r="E87" s="21">
        <f t="shared" si="2"/>
        <v>-1.0698704096816058E-2</v>
      </c>
    </row>
    <row r="88" spans="1:5" x14ac:dyDescent="0.25">
      <c r="A88" s="47">
        <v>43612</v>
      </c>
      <c r="B88">
        <v>12264.490234000001</v>
      </c>
      <c r="C88" s="21">
        <f t="shared" si="2"/>
        <v>-2.5185680175643932E-2</v>
      </c>
      <c r="D88">
        <v>66.438156000000006</v>
      </c>
      <c r="E88" s="21">
        <f t="shared" si="2"/>
        <v>-2.2191122994477674E-2</v>
      </c>
    </row>
    <row r="89" spans="1:5" x14ac:dyDescent="0.25">
      <c r="A89" s="47">
        <v>43619</v>
      </c>
      <c r="B89">
        <v>12765.860352</v>
      </c>
      <c r="C89" s="21">
        <f t="shared" ref="C89:E104" si="3">B89/B88-1</f>
        <v>4.0879817133376184E-2</v>
      </c>
      <c r="D89">
        <v>70.608436999999995</v>
      </c>
      <c r="E89" s="21">
        <f t="shared" si="3"/>
        <v>6.2769367048657765E-2</v>
      </c>
    </row>
    <row r="90" spans="1:5" x14ac:dyDescent="0.25">
      <c r="A90" s="47">
        <v>43626</v>
      </c>
      <c r="B90">
        <v>12787.240234000001</v>
      </c>
      <c r="C90" s="21">
        <f t="shared" si="3"/>
        <v>1.6747701612334076E-3</v>
      </c>
      <c r="D90">
        <v>69.997687999999997</v>
      </c>
      <c r="E90" s="21">
        <f t="shared" si="3"/>
        <v>-8.6498020059557756E-3</v>
      </c>
    </row>
    <row r="91" spans="1:5" x14ac:dyDescent="0.25">
      <c r="A91" s="47">
        <v>43633</v>
      </c>
      <c r="B91">
        <v>13047.240234000001</v>
      </c>
      <c r="C91" s="21">
        <f t="shared" si="3"/>
        <v>2.0332768857246108E-2</v>
      </c>
      <c r="D91">
        <v>69.615966999999998</v>
      </c>
      <c r="E91" s="21">
        <f t="shared" si="3"/>
        <v>-5.4533372587962647E-3</v>
      </c>
    </row>
    <row r="92" spans="1:5" x14ac:dyDescent="0.25">
      <c r="A92" s="47">
        <v>43640</v>
      </c>
      <c r="B92">
        <v>13049.709961</v>
      </c>
      <c r="C92" s="21">
        <f t="shared" si="3"/>
        <v>1.8929114170540551E-4</v>
      </c>
      <c r="D92">
        <v>68.394469999999998</v>
      </c>
      <c r="E92" s="21">
        <f t="shared" si="3"/>
        <v>-1.754621895864783E-2</v>
      </c>
    </row>
    <row r="93" spans="1:5" x14ac:dyDescent="0.25">
      <c r="A93" s="47">
        <v>43647</v>
      </c>
      <c r="B93">
        <v>13210.910156</v>
      </c>
      <c r="C93" s="21">
        <f t="shared" si="3"/>
        <v>1.2352779907121247E-2</v>
      </c>
      <c r="D93">
        <v>69.797286999999997</v>
      </c>
      <c r="E93" s="21">
        <f t="shared" si="3"/>
        <v>2.0510678714229291E-2</v>
      </c>
    </row>
    <row r="94" spans="1:5" x14ac:dyDescent="0.25">
      <c r="A94" s="47">
        <v>43654</v>
      </c>
      <c r="B94">
        <v>13234.759765999999</v>
      </c>
      <c r="C94" s="21">
        <f t="shared" si="3"/>
        <v>1.805296510109633E-3</v>
      </c>
      <c r="D94">
        <v>70.980605999999995</v>
      </c>
      <c r="E94" s="21">
        <f t="shared" si="3"/>
        <v>1.6953653227237853E-2</v>
      </c>
    </row>
    <row r="95" spans="1:5" x14ac:dyDescent="0.25">
      <c r="A95" s="47">
        <v>43661</v>
      </c>
      <c r="B95">
        <v>13111.990234000001</v>
      </c>
      <c r="C95" s="21">
        <f t="shared" si="3"/>
        <v>-9.2762947095867965E-3</v>
      </c>
      <c r="D95">
        <v>69.377387999999996</v>
      </c>
      <c r="E95" s="21">
        <f t="shared" si="3"/>
        <v>-2.2586704881048747E-2</v>
      </c>
    </row>
    <row r="96" spans="1:5" x14ac:dyDescent="0.25">
      <c r="A96" s="47">
        <v>43668</v>
      </c>
      <c r="B96">
        <v>13235.5</v>
      </c>
      <c r="C96" s="21">
        <f t="shared" si="3"/>
        <v>9.4196047888850387E-3</v>
      </c>
      <c r="D96">
        <v>70.730391999999995</v>
      </c>
      <c r="E96" s="21">
        <f t="shared" si="3"/>
        <v>1.9502089066829598E-2</v>
      </c>
    </row>
    <row r="97" spans="1:5" x14ac:dyDescent="0.25">
      <c r="A97" s="47">
        <v>43675</v>
      </c>
      <c r="B97">
        <v>12839.509765999999</v>
      </c>
      <c r="C97" s="21">
        <f t="shared" si="3"/>
        <v>-2.991879672094E-2</v>
      </c>
      <c r="D97">
        <v>68.340393000000006</v>
      </c>
      <c r="E97" s="21">
        <f t="shared" si="3"/>
        <v>-3.3790269393671468E-2</v>
      </c>
    </row>
    <row r="98" spans="1:5" x14ac:dyDescent="0.25">
      <c r="A98" s="47">
        <v>43682</v>
      </c>
      <c r="B98">
        <v>12748.419921999999</v>
      </c>
      <c r="C98" s="21">
        <f t="shared" si="3"/>
        <v>-7.0944954799764259E-3</v>
      </c>
      <c r="D98">
        <v>68.647544999999994</v>
      </c>
      <c r="E98" s="21">
        <f t="shared" si="3"/>
        <v>4.494442986302305E-3</v>
      </c>
    </row>
    <row r="99" spans="1:5" x14ac:dyDescent="0.25">
      <c r="A99" s="47">
        <v>43689</v>
      </c>
      <c r="B99">
        <v>12580.410156</v>
      </c>
      <c r="C99" s="21">
        <f t="shared" si="3"/>
        <v>-1.3178869775858582E-2</v>
      </c>
      <c r="D99">
        <v>69.377021999999997</v>
      </c>
      <c r="E99" s="21">
        <f t="shared" si="3"/>
        <v>1.06264106021563E-2</v>
      </c>
    </row>
    <row r="100" spans="1:5" x14ac:dyDescent="0.25">
      <c r="A100" s="47">
        <v>43696</v>
      </c>
      <c r="B100">
        <v>12416.450194999999</v>
      </c>
      <c r="C100" s="21">
        <f t="shared" si="3"/>
        <v>-1.3032958303176079E-2</v>
      </c>
      <c r="D100">
        <v>69.329041000000004</v>
      </c>
      <c r="E100" s="21">
        <f t="shared" si="3"/>
        <v>-6.9159786074401985E-4</v>
      </c>
    </row>
    <row r="101" spans="1:5" x14ac:dyDescent="0.25">
      <c r="A101" s="47">
        <v>43703</v>
      </c>
      <c r="B101">
        <v>12736.879883</v>
      </c>
      <c r="C101" s="21">
        <f t="shared" si="3"/>
        <v>2.5806867741396289E-2</v>
      </c>
      <c r="D101">
        <v>71.171920999999998</v>
      </c>
      <c r="E101" s="21">
        <f t="shared" si="3"/>
        <v>2.6581645633898088E-2</v>
      </c>
    </row>
    <row r="102" spans="1:5" x14ac:dyDescent="0.25">
      <c r="A102" s="47">
        <v>43710</v>
      </c>
      <c r="B102">
        <v>12933.379883</v>
      </c>
      <c r="C102" s="21">
        <f t="shared" si="3"/>
        <v>1.5427640191713721E-2</v>
      </c>
      <c r="D102">
        <v>71.699821</v>
      </c>
      <c r="E102" s="21">
        <f t="shared" si="3"/>
        <v>7.4172509689600652E-3</v>
      </c>
    </row>
    <row r="103" spans="1:5" x14ac:dyDescent="0.25">
      <c r="A103" s="47">
        <v>43717</v>
      </c>
      <c r="B103">
        <v>13124.339844</v>
      </c>
      <c r="C103" s="21">
        <f t="shared" si="3"/>
        <v>1.4764892296328824E-2</v>
      </c>
      <c r="D103">
        <v>67.870063999999999</v>
      </c>
      <c r="E103" s="21">
        <f t="shared" si="3"/>
        <v>-5.3413759568521124E-2</v>
      </c>
    </row>
    <row r="104" spans="1:5" x14ac:dyDescent="0.25">
      <c r="A104" s="47">
        <v>43724</v>
      </c>
      <c r="B104">
        <v>13093.799805000001</v>
      </c>
      <c r="C104" s="21">
        <f t="shared" si="3"/>
        <v>-2.3269771556518881E-3</v>
      </c>
      <c r="D104">
        <v>68.100432999999995</v>
      </c>
      <c r="E104" s="21">
        <f t="shared" si="3"/>
        <v>3.3942652536764761E-3</v>
      </c>
    </row>
    <row r="105" spans="1:5" x14ac:dyDescent="0.25">
      <c r="A105" s="47">
        <v>43731</v>
      </c>
      <c r="B105">
        <v>12971.980469</v>
      </c>
      <c r="C105" s="21">
        <f t="shared" ref="C105:E120" si="4">B105/B104-1</f>
        <v>-9.3035893181658835E-3</v>
      </c>
      <c r="D105">
        <v>70.317665000000005</v>
      </c>
      <c r="E105" s="21">
        <f t="shared" si="4"/>
        <v>3.2558265818956045E-2</v>
      </c>
    </row>
    <row r="106" spans="1:5" x14ac:dyDescent="0.25">
      <c r="A106" s="47">
        <v>43738</v>
      </c>
      <c r="B106">
        <v>12831.549805000001</v>
      </c>
      <c r="C106" s="21">
        <f t="shared" si="4"/>
        <v>-1.0825691908463497E-2</v>
      </c>
      <c r="D106">
        <v>69.175460999999999</v>
      </c>
      <c r="E106" s="21">
        <f t="shared" si="4"/>
        <v>-1.6243485900733545E-2</v>
      </c>
    </row>
    <row r="107" spans="1:5" x14ac:dyDescent="0.25">
      <c r="A107" s="47">
        <v>43745</v>
      </c>
      <c r="B107">
        <v>12926.919921999999</v>
      </c>
      <c r="C107" s="21">
        <f t="shared" si="4"/>
        <v>7.4324706250865624E-3</v>
      </c>
      <c r="D107">
        <v>67.678116000000003</v>
      </c>
      <c r="E107" s="21">
        <f t="shared" si="4"/>
        <v>-2.1645609271761734E-2</v>
      </c>
    </row>
    <row r="108" spans="1:5" x14ac:dyDescent="0.25">
      <c r="A108" s="47">
        <v>43752</v>
      </c>
      <c r="B108">
        <v>13006.639648</v>
      </c>
      <c r="C108" s="21">
        <f t="shared" si="4"/>
        <v>6.1669544238707186E-3</v>
      </c>
      <c r="D108">
        <v>65.297713999999999</v>
      </c>
      <c r="E108" s="21">
        <f t="shared" si="4"/>
        <v>-3.5172403439835742E-2</v>
      </c>
    </row>
    <row r="109" spans="1:5" x14ac:dyDescent="0.25">
      <c r="A109" s="47">
        <v>43759</v>
      </c>
      <c r="B109">
        <v>13146.240234000001</v>
      </c>
      <c r="C109" s="21">
        <f t="shared" si="4"/>
        <v>1.0733024807177305E-2</v>
      </c>
      <c r="D109">
        <v>65.662452999999999</v>
      </c>
      <c r="E109" s="21">
        <f t="shared" si="4"/>
        <v>5.5857851317735463E-3</v>
      </c>
    </row>
    <row r="110" spans="1:5" x14ac:dyDescent="0.25">
      <c r="A110" s="47">
        <v>43766</v>
      </c>
      <c r="B110">
        <v>13300.269531</v>
      </c>
      <c r="C110" s="21">
        <f t="shared" si="4"/>
        <v>1.1716604463201108E-2</v>
      </c>
      <c r="D110">
        <v>64.532996999999995</v>
      </c>
      <c r="E110" s="21">
        <f t="shared" si="4"/>
        <v>-1.7200941305071327E-2</v>
      </c>
    </row>
    <row r="111" spans="1:5" x14ac:dyDescent="0.25">
      <c r="A111" s="47">
        <v>43773</v>
      </c>
      <c r="B111">
        <v>13407.799805000001</v>
      </c>
      <c r="C111" s="21">
        <f t="shared" si="4"/>
        <v>8.0848191647071577E-3</v>
      </c>
      <c r="D111">
        <v>64.359131000000005</v>
      </c>
      <c r="E111" s="21">
        <f t="shared" si="4"/>
        <v>-2.6942185871204893E-3</v>
      </c>
    </row>
    <row r="112" spans="1:5" x14ac:dyDescent="0.25">
      <c r="A112" s="47">
        <v>43780</v>
      </c>
      <c r="B112">
        <v>13492.959961</v>
      </c>
      <c r="C112" s="21">
        <f t="shared" si="4"/>
        <v>6.3515384506442896E-3</v>
      </c>
      <c r="D112">
        <v>64.108001999999999</v>
      </c>
      <c r="E112" s="21">
        <f t="shared" si="4"/>
        <v>-3.9019948855432141E-3</v>
      </c>
    </row>
    <row r="113" spans="1:5" x14ac:dyDescent="0.25">
      <c r="A113" s="47">
        <v>43787</v>
      </c>
      <c r="B113">
        <v>13440.950194999999</v>
      </c>
      <c r="C113" s="21">
        <f t="shared" si="4"/>
        <v>-3.8545853652816042E-3</v>
      </c>
      <c r="D113">
        <v>64.436394000000007</v>
      </c>
      <c r="E113" s="21">
        <f t="shared" si="4"/>
        <v>5.1224806538192613E-3</v>
      </c>
    </row>
    <row r="114" spans="1:5" x14ac:dyDescent="0.25">
      <c r="A114" s="47">
        <v>43794</v>
      </c>
      <c r="B114">
        <v>13545.209961</v>
      </c>
      <c r="C114" s="21">
        <f t="shared" si="4"/>
        <v>7.7568746619405271E-3</v>
      </c>
      <c r="D114">
        <v>65.508574999999993</v>
      </c>
      <c r="E114" s="21">
        <f t="shared" si="4"/>
        <v>1.6639369980883556E-2</v>
      </c>
    </row>
    <row r="115" spans="1:5" x14ac:dyDescent="0.25">
      <c r="A115" s="47">
        <v>43801</v>
      </c>
      <c r="B115">
        <v>13588.290039</v>
      </c>
      <c r="C115" s="21">
        <f t="shared" si="4"/>
        <v>3.1804658712590861E-3</v>
      </c>
      <c r="D115">
        <v>65.914253000000002</v>
      </c>
      <c r="E115" s="21">
        <f t="shared" si="4"/>
        <v>6.1927465221156552E-3</v>
      </c>
    </row>
    <row r="116" spans="1:5" x14ac:dyDescent="0.25">
      <c r="A116" s="47">
        <v>43808</v>
      </c>
      <c r="B116">
        <v>13697.339844</v>
      </c>
      <c r="C116" s="21">
        <f t="shared" si="4"/>
        <v>8.0252779920810813E-3</v>
      </c>
      <c r="D116">
        <v>66.348922999999999</v>
      </c>
      <c r="E116" s="21">
        <f t="shared" si="4"/>
        <v>6.5944766149439449E-3</v>
      </c>
    </row>
    <row r="117" spans="1:5" x14ac:dyDescent="0.25">
      <c r="A117" s="47">
        <v>43815</v>
      </c>
      <c r="B117">
        <v>13889.25</v>
      </c>
      <c r="C117" s="21">
        <f t="shared" si="4"/>
        <v>1.4010761081033163E-2</v>
      </c>
      <c r="D117">
        <v>66.503463999999994</v>
      </c>
      <c r="E117" s="21">
        <f t="shared" si="4"/>
        <v>2.3292164064214749E-3</v>
      </c>
    </row>
    <row r="118" spans="1:5" x14ac:dyDescent="0.25">
      <c r="A118" s="47">
        <v>43822</v>
      </c>
      <c r="B118">
        <v>13944.139648</v>
      </c>
      <c r="C118" s="21">
        <f t="shared" si="4"/>
        <v>3.9519519052504393E-3</v>
      </c>
      <c r="D118">
        <v>66.822220000000002</v>
      </c>
      <c r="E118" s="21">
        <f t="shared" si="4"/>
        <v>4.7930736359840242E-3</v>
      </c>
    </row>
    <row r="119" spans="1:5" x14ac:dyDescent="0.25">
      <c r="A119" s="47">
        <v>43829</v>
      </c>
      <c r="B119">
        <v>13917.049805000001</v>
      </c>
      <c r="C119" s="21">
        <f t="shared" si="4"/>
        <v>-1.9427403686311795E-3</v>
      </c>
      <c r="D119">
        <v>65.701758999999996</v>
      </c>
      <c r="E119" s="21">
        <f t="shared" si="4"/>
        <v>-1.6767790713927311E-2</v>
      </c>
    </row>
    <row r="120" spans="1:5" x14ac:dyDescent="0.25">
      <c r="A120" s="47">
        <v>43836</v>
      </c>
      <c r="B120">
        <v>13957.969727</v>
      </c>
      <c r="C120" s="21">
        <f t="shared" si="4"/>
        <v>2.9402727282974439E-3</v>
      </c>
      <c r="D120">
        <v>67.759163000000001</v>
      </c>
      <c r="E120" s="21">
        <f t="shared" si="4"/>
        <v>3.1314290991813598E-2</v>
      </c>
    </row>
    <row r="121" spans="1:5" x14ac:dyDescent="0.25">
      <c r="A121" s="47">
        <v>43843</v>
      </c>
      <c r="B121">
        <v>14183.200194999999</v>
      </c>
      <c r="C121" s="21">
        <f t="shared" ref="C121:E136" si="5">B121/B120-1</f>
        <v>1.6136334467348634E-2</v>
      </c>
      <c r="D121">
        <v>68.754058999999998</v>
      </c>
      <c r="E121" s="21">
        <f t="shared" si="5"/>
        <v>1.468282599653703E-2</v>
      </c>
    </row>
    <row r="122" spans="1:5" x14ac:dyDescent="0.25">
      <c r="A122" s="47">
        <v>43850</v>
      </c>
      <c r="B122">
        <v>13978.469727</v>
      </c>
      <c r="C122" s="21">
        <f t="shared" si="5"/>
        <v>-1.4434716085596322E-2</v>
      </c>
      <c r="D122">
        <v>67.904060000000001</v>
      </c>
      <c r="E122" s="21">
        <f t="shared" si="5"/>
        <v>-1.2362891913043184E-2</v>
      </c>
    </row>
    <row r="123" spans="1:5" x14ac:dyDescent="0.25">
      <c r="A123" s="47">
        <v>43857</v>
      </c>
      <c r="B123">
        <v>13614.099609000001</v>
      </c>
      <c r="C123" s="21">
        <f t="shared" si="5"/>
        <v>-2.6066524098571575E-2</v>
      </c>
      <c r="D123">
        <v>71.697906000000003</v>
      </c>
      <c r="E123" s="21">
        <f t="shared" si="5"/>
        <v>5.5870679897490616E-2</v>
      </c>
    </row>
    <row r="124" spans="1:5" x14ac:dyDescent="0.25">
      <c r="A124" s="47">
        <v>43864</v>
      </c>
      <c r="B124">
        <v>13931.929688</v>
      </c>
      <c r="C124" s="21">
        <f t="shared" si="5"/>
        <v>2.3345655469561022E-2</v>
      </c>
      <c r="D124">
        <v>73.884406999999996</v>
      </c>
      <c r="E124" s="21">
        <f t="shared" si="5"/>
        <v>3.0496023133506744E-2</v>
      </c>
    </row>
    <row r="125" spans="1:5" x14ac:dyDescent="0.25">
      <c r="A125" s="47">
        <v>43871</v>
      </c>
      <c r="B125">
        <v>14097.339844</v>
      </c>
      <c r="C125" s="21">
        <f t="shared" si="5"/>
        <v>1.1872738357449064E-2</v>
      </c>
      <c r="D125">
        <v>74.525786999999994</v>
      </c>
      <c r="E125" s="21">
        <f t="shared" si="5"/>
        <v>8.6808573830741143E-3</v>
      </c>
    </row>
    <row r="126" spans="1:5" x14ac:dyDescent="0.25">
      <c r="A126" s="47">
        <v>43878</v>
      </c>
      <c r="B126">
        <v>13975.780273</v>
      </c>
      <c r="C126" s="21">
        <f t="shared" si="5"/>
        <v>-8.6228729920090341E-3</v>
      </c>
      <c r="D126">
        <v>74.117637999999999</v>
      </c>
      <c r="E126" s="21">
        <f t="shared" si="5"/>
        <v>-5.476614423407522E-3</v>
      </c>
    </row>
    <row r="127" spans="1:5" x14ac:dyDescent="0.25">
      <c r="A127" s="47">
        <v>43885</v>
      </c>
      <c r="B127">
        <v>12380.969727</v>
      </c>
      <c r="C127" s="21">
        <f t="shared" si="5"/>
        <v>-0.11411245131558323</v>
      </c>
      <c r="D127">
        <v>65.663162</v>
      </c>
      <c r="E127" s="21">
        <f t="shared" si="5"/>
        <v>-0.11406834092581308</v>
      </c>
    </row>
    <row r="128" spans="1:5" x14ac:dyDescent="0.25">
      <c r="A128" s="47">
        <v>43892</v>
      </c>
      <c r="B128">
        <v>12352.030273</v>
      </c>
      <c r="C128" s="21">
        <f t="shared" si="5"/>
        <v>-2.3374141636812729E-3</v>
      </c>
      <c r="D128">
        <v>70.463745000000003</v>
      </c>
      <c r="E128" s="21">
        <f t="shared" si="5"/>
        <v>7.3109226753350631E-2</v>
      </c>
    </row>
    <row r="129" spans="1:5" x14ac:dyDescent="0.25">
      <c r="A129" s="47">
        <v>43899</v>
      </c>
      <c r="B129">
        <v>10851.740234000001</v>
      </c>
      <c r="C129" s="21">
        <f t="shared" si="5"/>
        <v>-0.12146100728715392</v>
      </c>
      <c r="D129">
        <v>67.149979000000002</v>
      </c>
      <c r="E129" s="21">
        <f t="shared" si="5"/>
        <v>-4.7027957426900913E-2</v>
      </c>
    </row>
    <row r="130" spans="1:5" x14ac:dyDescent="0.25">
      <c r="A130" s="47">
        <v>43906</v>
      </c>
      <c r="B130">
        <v>9133.1601559999999</v>
      </c>
      <c r="C130" s="21">
        <f t="shared" si="5"/>
        <v>-0.15836907638237152</v>
      </c>
      <c r="D130">
        <v>60.328082999999999</v>
      </c>
      <c r="E130" s="21">
        <f t="shared" si="5"/>
        <v>-0.1015919305052948</v>
      </c>
    </row>
    <row r="131" spans="1:5" x14ac:dyDescent="0.25">
      <c r="A131" s="47">
        <v>43913</v>
      </c>
      <c r="B131">
        <v>10187.209961</v>
      </c>
      <c r="C131" s="21">
        <f t="shared" si="5"/>
        <v>0.11540910123070014</v>
      </c>
      <c r="D131">
        <v>63.418346</v>
      </c>
      <c r="E131" s="21">
        <f t="shared" si="5"/>
        <v>5.1224286374224715E-2</v>
      </c>
    </row>
    <row r="132" spans="1:5" x14ac:dyDescent="0.25">
      <c r="A132" s="47">
        <v>43920</v>
      </c>
      <c r="B132">
        <v>9880.6298829999996</v>
      </c>
      <c r="C132" s="21">
        <f t="shared" si="5"/>
        <v>-3.0094606783770073E-2</v>
      </c>
      <c r="D132">
        <v>65.711738999999994</v>
      </c>
      <c r="E132" s="21">
        <f t="shared" si="5"/>
        <v>3.6162926734166101E-2</v>
      </c>
    </row>
    <row r="133" spans="1:5" x14ac:dyDescent="0.25">
      <c r="A133" s="47">
        <v>43927</v>
      </c>
      <c r="B133">
        <v>11136.610352</v>
      </c>
      <c r="C133" s="21">
        <f t="shared" si="5"/>
        <v>0.12711542521807861</v>
      </c>
      <c r="D133">
        <v>67.937111000000002</v>
      </c>
      <c r="E133" s="21">
        <f t="shared" si="5"/>
        <v>3.3865668963653617E-2</v>
      </c>
    </row>
    <row r="134" spans="1:5" x14ac:dyDescent="0.25">
      <c r="A134" s="47">
        <v>43934</v>
      </c>
      <c r="B134">
        <v>11208.290039</v>
      </c>
      <c r="C134" s="21">
        <f t="shared" si="5"/>
        <v>6.4364007300594661E-3</v>
      </c>
      <c r="D134">
        <v>71.348067999999998</v>
      </c>
      <c r="E134" s="21">
        <f t="shared" si="5"/>
        <v>5.0207566229891532E-2</v>
      </c>
    </row>
    <row r="135" spans="1:5" x14ac:dyDescent="0.25">
      <c r="A135" s="47">
        <v>43941</v>
      </c>
      <c r="B135">
        <v>11017.900390999999</v>
      </c>
      <c r="C135" s="21">
        <f t="shared" si="5"/>
        <v>-1.6986502609900977E-2</v>
      </c>
      <c r="D135">
        <v>69.806747000000001</v>
      </c>
      <c r="E135" s="21">
        <f t="shared" si="5"/>
        <v>-2.1602841439238407E-2</v>
      </c>
    </row>
    <row r="136" spans="1:5" x14ac:dyDescent="0.25">
      <c r="A136" s="47">
        <v>43948</v>
      </c>
      <c r="B136">
        <v>11058.570313</v>
      </c>
      <c r="C136" s="21">
        <f t="shared" si="5"/>
        <v>3.6912588203485974E-3</v>
      </c>
      <c r="D136">
        <v>67.000786000000005</v>
      </c>
      <c r="E136" s="21">
        <f t="shared" si="5"/>
        <v>-4.0196128892813099E-2</v>
      </c>
    </row>
    <row r="137" spans="1:5" x14ac:dyDescent="0.25">
      <c r="A137" s="47">
        <v>43955</v>
      </c>
      <c r="B137">
        <v>11354.339844</v>
      </c>
      <c r="C137" s="21">
        <f t="shared" ref="C137:E152" si="6">B137/B136-1</f>
        <v>2.6745729567980936E-2</v>
      </c>
      <c r="D137">
        <v>67.822044000000005</v>
      </c>
      <c r="E137" s="21">
        <f t="shared" si="6"/>
        <v>1.2257438293335809E-2</v>
      </c>
    </row>
    <row r="138" spans="1:5" x14ac:dyDescent="0.25">
      <c r="A138" s="47">
        <v>43962</v>
      </c>
      <c r="B138">
        <v>10947.320313</v>
      </c>
      <c r="C138" s="21">
        <f t="shared" si="6"/>
        <v>-3.5847044970657826E-2</v>
      </c>
      <c r="D138">
        <v>67.411406999999997</v>
      </c>
      <c r="E138" s="21">
        <f t="shared" si="6"/>
        <v>-6.0546243637247255E-3</v>
      </c>
    </row>
    <row r="139" spans="1:5" x14ac:dyDescent="0.25">
      <c r="A139" s="47">
        <v>43969</v>
      </c>
      <c r="B139">
        <v>11331.969727</v>
      </c>
      <c r="C139" s="21">
        <f t="shared" si="6"/>
        <v>3.513639895447529E-2</v>
      </c>
      <c r="D139">
        <v>69.171256999999997</v>
      </c>
      <c r="E139" s="21">
        <f t="shared" si="6"/>
        <v>2.6106115838822275E-2</v>
      </c>
    </row>
    <row r="140" spans="1:5" x14ac:dyDescent="0.25">
      <c r="A140" s="47">
        <v>43976</v>
      </c>
      <c r="B140">
        <v>11802.950194999999</v>
      </c>
      <c r="C140" s="21">
        <f t="shared" si="6"/>
        <v>4.1562100795047296E-2</v>
      </c>
      <c r="D140">
        <v>70.716003000000001</v>
      </c>
      <c r="E140" s="21">
        <f t="shared" si="6"/>
        <v>2.2332195004060695E-2</v>
      </c>
    </row>
    <row r="141" spans="1:5" x14ac:dyDescent="0.25">
      <c r="A141" s="47">
        <v>43983</v>
      </c>
      <c r="B141">
        <v>12641.440430000001</v>
      </c>
      <c r="C141" s="21">
        <f t="shared" si="6"/>
        <v>7.1040733134263734E-2</v>
      </c>
      <c r="D141">
        <v>70.784439000000006</v>
      </c>
      <c r="E141" s="21">
        <f t="shared" si="6"/>
        <v>9.6775831631790155E-4</v>
      </c>
    </row>
    <row r="142" spans="1:5" x14ac:dyDescent="0.25">
      <c r="A142" s="47">
        <v>43990</v>
      </c>
      <c r="B142">
        <v>11867.169921999999</v>
      </c>
      <c r="C142" s="21">
        <f t="shared" si="6"/>
        <v>-6.1248598392517284E-2</v>
      </c>
      <c r="D142">
        <v>71.165733000000003</v>
      </c>
      <c r="E142" s="21">
        <f t="shared" si="6"/>
        <v>5.3866924056571452E-3</v>
      </c>
    </row>
    <row r="143" spans="1:5" x14ac:dyDescent="0.25">
      <c r="A143" s="47">
        <v>43997</v>
      </c>
      <c r="B143">
        <v>11980.120117</v>
      </c>
      <c r="C143" s="21">
        <f t="shared" si="6"/>
        <v>9.5178712146530842E-3</v>
      </c>
      <c r="D143">
        <v>71.723006999999996</v>
      </c>
      <c r="E143" s="21">
        <f t="shared" si="6"/>
        <v>7.8306507431040728E-3</v>
      </c>
    </row>
    <row r="144" spans="1:5" x14ac:dyDescent="0.25">
      <c r="A144" s="47">
        <v>44004</v>
      </c>
      <c r="B144">
        <v>11604.429688</v>
      </c>
      <c r="C144" s="21">
        <f t="shared" si="6"/>
        <v>-3.1359487662138585E-2</v>
      </c>
      <c r="D144">
        <v>69.924064999999999</v>
      </c>
      <c r="E144" s="21">
        <f t="shared" si="6"/>
        <v>-2.508179836910629E-2</v>
      </c>
    </row>
    <row r="145" spans="1:5" x14ac:dyDescent="0.25">
      <c r="A145" s="47">
        <v>44011</v>
      </c>
      <c r="B145">
        <v>11991.519531</v>
      </c>
      <c r="C145" s="21">
        <f t="shared" si="6"/>
        <v>3.3357075996615748E-2</v>
      </c>
      <c r="D145">
        <v>71.644790999999998</v>
      </c>
      <c r="E145" s="21">
        <f t="shared" si="6"/>
        <v>2.4608494943765047E-2</v>
      </c>
    </row>
    <row r="146" spans="1:5" x14ac:dyDescent="0.25">
      <c r="A146" s="47">
        <v>44018</v>
      </c>
      <c r="B146">
        <v>12075.580078000001</v>
      </c>
      <c r="C146" s="21">
        <f t="shared" si="6"/>
        <v>7.0099995903514234E-3</v>
      </c>
      <c r="D146">
        <v>72.035872999999995</v>
      </c>
      <c r="E146" s="21">
        <f t="shared" si="6"/>
        <v>5.4586243401839596E-3</v>
      </c>
    </row>
    <row r="147" spans="1:5" x14ac:dyDescent="0.25">
      <c r="A147" s="47">
        <v>44025</v>
      </c>
      <c r="B147">
        <v>12402.740234000001</v>
      </c>
      <c r="C147" s="21">
        <f t="shared" si="6"/>
        <v>2.7092707256029858E-2</v>
      </c>
      <c r="D147">
        <v>73.521950000000004</v>
      </c>
      <c r="E147" s="21">
        <f t="shared" si="6"/>
        <v>2.0629679881855711E-2</v>
      </c>
    </row>
    <row r="148" spans="1:5" x14ac:dyDescent="0.25">
      <c r="A148" s="47">
        <v>44032</v>
      </c>
      <c r="B148">
        <v>12461.780273</v>
      </c>
      <c r="C148" s="21">
        <f t="shared" si="6"/>
        <v>4.7602415180922897E-3</v>
      </c>
      <c r="D148">
        <v>73.090500000000006</v>
      </c>
      <c r="E148" s="21">
        <f t="shared" si="6"/>
        <v>-5.8683155166585621E-3</v>
      </c>
    </row>
    <row r="149" spans="1:5" x14ac:dyDescent="0.25">
      <c r="A149" s="47">
        <v>44039</v>
      </c>
      <c r="B149">
        <v>12465.049805000001</v>
      </c>
      <c r="C149" s="21">
        <f t="shared" si="6"/>
        <v>2.6236476076246795E-4</v>
      </c>
      <c r="D149">
        <v>75.922852000000006</v>
      </c>
      <c r="E149" s="21">
        <f t="shared" si="6"/>
        <v>3.8751301468727073E-2</v>
      </c>
    </row>
    <row r="150" spans="1:5" x14ac:dyDescent="0.25">
      <c r="A150" s="47">
        <v>44046</v>
      </c>
      <c r="B150">
        <v>12765.839844</v>
      </c>
      <c r="C150" s="21">
        <f t="shared" si="6"/>
        <v>2.4130672857748614E-2</v>
      </c>
      <c r="D150">
        <v>74.978745000000004</v>
      </c>
      <c r="E150" s="21">
        <f t="shared" si="6"/>
        <v>-1.2435083444968575E-2</v>
      </c>
    </row>
    <row r="151" spans="1:5" x14ac:dyDescent="0.25">
      <c r="A151" s="47">
        <v>44053</v>
      </c>
      <c r="B151">
        <v>12902.5</v>
      </c>
      <c r="C151" s="21">
        <f t="shared" si="6"/>
        <v>1.0705144171476499E-2</v>
      </c>
      <c r="D151">
        <v>75.775345000000002</v>
      </c>
      <c r="E151" s="21">
        <f t="shared" si="6"/>
        <v>1.062434427250003E-2</v>
      </c>
    </row>
    <row r="152" spans="1:5" x14ac:dyDescent="0.25">
      <c r="A152" s="47">
        <v>44060</v>
      </c>
      <c r="B152">
        <v>12809.070313</v>
      </c>
      <c r="C152" s="21">
        <f t="shared" si="6"/>
        <v>-7.2412080604533635E-3</v>
      </c>
      <c r="D152">
        <v>77.388205999999997</v>
      </c>
      <c r="E152" s="21">
        <f t="shared" si="6"/>
        <v>2.128477277140739E-2</v>
      </c>
    </row>
    <row r="153" spans="1:5" x14ac:dyDescent="0.25">
      <c r="A153" s="47">
        <v>44067</v>
      </c>
      <c r="B153">
        <v>13170.959961</v>
      </c>
      <c r="C153" s="21">
        <f t="shared" ref="C153:E168" si="7">B153/B152-1</f>
        <v>2.8252608437375537E-2</v>
      </c>
      <c r="D153">
        <v>78.056968999999995</v>
      </c>
      <c r="E153" s="21">
        <f t="shared" si="7"/>
        <v>8.6416656305483563E-3</v>
      </c>
    </row>
    <row r="154" spans="1:5" x14ac:dyDescent="0.25">
      <c r="A154" s="47">
        <v>44074</v>
      </c>
      <c r="B154">
        <v>12966.139648</v>
      </c>
      <c r="C154" s="21">
        <f t="shared" si="7"/>
        <v>-1.5550902410035872E-2</v>
      </c>
      <c r="D154">
        <v>75.932693</v>
      </c>
      <c r="E154" s="21">
        <f t="shared" si="7"/>
        <v>-2.7214431039462972E-2</v>
      </c>
    </row>
    <row r="155" spans="1:5" x14ac:dyDescent="0.25">
      <c r="A155" s="47">
        <v>44081</v>
      </c>
      <c r="B155">
        <v>12773.040039</v>
      </c>
      <c r="C155" s="21">
        <f t="shared" si="7"/>
        <v>-1.489260599084985E-2</v>
      </c>
      <c r="D155">
        <v>75.480300999999997</v>
      </c>
      <c r="E155" s="21">
        <f t="shared" si="7"/>
        <v>-5.9578026555703323E-3</v>
      </c>
    </row>
    <row r="156" spans="1:5" x14ac:dyDescent="0.25">
      <c r="A156" s="47">
        <v>44088</v>
      </c>
      <c r="B156">
        <v>12833.570313</v>
      </c>
      <c r="C156" s="21">
        <f t="shared" si="7"/>
        <v>4.7389089688267827E-3</v>
      </c>
      <c r="D156">
        <v>74.575523000000004</v>
      </c>
      <c r="E156" s="21">
        <f t="shared" si="7"/>
        <v>-1.1986942129443734E-2</v>
      </c>
    </row>
    <row r="157" spans="1:5" x14ac:dyDescent="0.25">
      <c r="A157" s="47">
        <v>44095</v>
      </c>
      <c r="B157">
        <v>12485.379883</v>
      </c>
      <c r="C157" s="21">
        <f t="shared" si="7"/>
        <v>-2.7131220814467727E-2</v>
      </c>
      <c r="D157">
        <v>74.693534999999997</v>
      </c>
      <c r="E157" s="21">
        <f t="shared" si="7"/>
        <v>1.5824495122882531E-3</v>
      </c>
    </row>
    <row r="158" spans="1:5" x14ac:dyDescent="0.25">
      <c r="A158" s="47">
        <v>44102</v>
      </c>
      <c r="B158">
        <v>12749.790039</v>
      </c>
      <c r="C158" s="21">
        <f t="shared" si="7"/>
        <v>2.117758197810371E-2</v>
      </c>
      <c r="D158">
        <v>76.119552999999996</v>
      </c>
      <c r="E158" s="21">
        <f t="shared" si="7"/>
        <v>1.9091585369469977E-2</v>
      </c>
    </row>
    <row r="159" spans="1:5" x14ac:dyDescent="0.25">
      <c r="A159" s="47">
        <v>44109</v>
      </c>
      <c r="B159">
        <v>13252.620117</v>
      </c>
      <c r="C159" s="21">
        <f t="shared" si="7"/>
        <v>3.9438302627879063E-2</v>
      </c>
      <c r="D159">
        <v>78.450339999999997</v>
      </c>
      <c r="E159" s="21">
        <f t="shared" si="7"/>
        <v>3.0620082595598008E-2</v>
      </c>
    </row>
    <row r="160" spans="1:5" x14ac:dyDescent="0.25">
      <c r="A160" s="47">
        <v>44116</v>
      </c>
      <c r="B160">
        <v>13169.320313</v>
      </c>
      <c r="C160" s="21">
        <f t="shared" si="7"/>
        <v>-6.285534729328468E-3</v>
      </c>
      <c r="D160">
        <v>78.981407000000004</v>
      </c>
      <c r="E160" s="21">
        <f t="shared" si="7"/>
        <v>6.7694671559104247E-3</v>
      </c>
    </row>
    <row r="161" spans="1:5" x14ac:dyDescent="0.25">
      <c r="A161" s="47">
        <v>44123</v>
      </c>
      <c r="B161">
        <v>13199.860352</v>
      </c>
      <c r="C161" s="21">
        <f t="shared" si="7"/>
        <v>2.3190292493571185E-3</v>
      </c>
      <c r="D161">
        <v>78.027450999999999</v>
      </c>
      <c r="E161" s="21">
        <f t="shared" si="7"/>
        <v>-1.207823507119854E-2</v>
      </c>
    </row>
    <row r="162" spans="1:5" x14ac:dyDescent="0.25">
      <c r="A162" s="47">
        <v>44130</v>
      </c>
      <c r="B162">
        <v>12429.330078000001</v>
      </c>
      <c r="C162" s="21">
        <f t="shared" si="7"/>
        <v>-5.8374123168905334E-2</v>
      </c>
      <c r="D162">
        <v>78.012900999999999</v>
      </c>
      <c r="E162" s="21">
        <f t="shared" si="7"/>
        <v>-1.8647283505390799E-4</v>
      </c>
    </row>
    <row r="163" spans="1:5" x14ac:dyDescent="0.25">
      <c r="A163" s="47">
        <v>44137</v>
      </c>
      <c r="B163">
        <v>13218.669921999999</v>
      </c>
      <c r="C163" s="21">
        <f t="shared" si="7"/>
        <v>6.3506225922596915E-2</v>
      </c>
      <c r="D163">
        <v>82.106872999999993</v>
      </c>
      <c r="E163" s="21">
        <f t="shared" si="7"/>
        <v>5.2478140762897585E-2</v>
      </c>
    </row>
    <row r="164" spans="1:5" x14ac:dyDescent="0.25">
      <c r="A164" s="47">
        <v>44144</v>
      </c>
      <c r="B164">
        <v>13761.320313</v>
      </c>
      <c r="C164" s="21">
        <f t="shared" si="7"/>
        <v>4.1051814910429085E-2</v>
      </c>
      <c r="D164">
        <v>84.410965000000004</v>
      </c>
      <c r="E164" s="21">
        <f t="shared" si="7"/>
        <v>2.8062108759153492E-2</v>
      </c>
    </row>
    <row r="165" spans="1:5" x14ac:dyDescent="0.25">
      <c r="A165" s="47">
        <v>44151</v>
      </c>
      <c r="B165">
        <v>13827</v>
      </c>
      <c r="C165" s="21">
        <f t="shared" si="7"/>
        <v>4.7727751048678435E-3</v>
      </c>
      <c r="D165">
        <v>84.213195999999996</v>
      </c>
      <c r="E165" s="21">
        <f t="shared" si="7"/>
        <v>-2.3429302105479888E-3</v>
      </c>
    </row>
    <row r="166" spans="1:5" x14ac:dyDescent="0.25">
      <c r="A166" s="47">
        <v>44158</v>
      </c>
      <c r="B166">
        <v>14198.5</v>
      </c>
      <c r="C166" s="21">
        <f t="shared" si="7"/>
        <v>2.6867722571779939E-2</v>
      </c>
      <c r="D166">
        <v>83.956085000000002</v>
      </c>
      <c r="E166" s="21">
        <f t="shared" si="7"/>
        <v>-3.0530963342133566E-3</v>
      </c>
    </row>
    <row r="167" spans="1:5" x14ac:dyDescent="0.25">
      <c r="A167" s="47">
        <v>44165</v>
      </c>
      <c r="B167">
        <v>14417.330078000001</v>
      </c>
      <c r="C167" s="21">
        <f t="shared" si="7"/>
        <v>1.5412196922210075E-2</v>
      </c>
      <c r="D167">
        <v>84.084632999999997</v>
      </c>
      <c r="E167" s="21">
        <f t="shared" si="7"/>
        <v>1.5311338064416535E-3</v>
      </c>
    </row>
    <row r="168" spans="1:5" x14ac:dyDescent="0.25">
      <c r="A168" s="47">
        <v>44172</v>
      </c>
      <c r="B168">
        <v>14355.290039</v>
      </c>
      <c r="C168" s="21">
        <f t="shared" si="7"/>
        <v>-4.3031572880939395E-3</v>
      </c>
      <c r="D168">
        <v>83.738533000000004</v>
      </c>
      <c r="E168" s="21">
        <f t="shared" si="7"/>
        <v>-4.1160909865658457E-3</v>
      </c>
    </row>
    <row r="169" spans="1:5" x14ac:dyDescent="0.25">
      <c r="A169" s="47">
        <v>44179</v>
      </c>
      <c r="B169">
        <v>14467.820313</v>
      </c>
      <c r="C169" s="21">
        <f t="shared" ref="C169:E184" si="8">B169/B168-1</f>
        <v>7.8389411634514072E-3</v>
      </c>
      <c r="D169">
        <v>84.974632</v>
      </c>
      <c r="E169" s="21">
        <f t="shared" si="8"/>
        <v>1.4761412168517341E-2</v>
      </c>
    </row>
    <row r="170" spans="1:5" x14ac:dyDescent="0.25">
      <c r="A170" s="47">
        <v>44186</v>
      </c>
      <c r="B170">
        <v>14382.5</v>
      </c>
      <c r="C170" s="21">
        <f t="shared" si="8"/>
        <v>-5.8972472116850527E-3</v>
      </c>
      <c r="D170">
        <v>84.094527999999997</v>
      </c>
      <c r="E170" s="21">
        <f t="shared" si="8"/>
        <v>-1.0357255798412957E-2</v>
      </c>
    </row>
    <row r="171" spans="1:5" x14ac:dyDescent="0.25">
      <c r="A171" s="47">
        <v>44193</v>
      </c>
      <c r="B171">
        <v>14524.799805000001</v>
      </c>
      <c r="C171" s="21">
        <f t="shared" si="8"/>
        <v>9.8939548061880433E-3</v>
      </c>
      <c r="D171">
        <v>84.559303</v>
      </c>
      <c r="E171" s="21">
        <f t="shared" si="8"/>
        <v>5.5268162037844792E-3</v>
      </c>
    </row>
    <row r="172" spans="1:5" x14ac:dyDescent="0.25">
      <c r="A172" s="47">
        <v>44200</v>
      </c>
      <c r="B172">
        <v>14966.830078000001</v>
      </c>
      <c r="C172" s="21">
        <f t="shared" si="8"/>
        <v>3.0432796247410909E-2</v>
      </c>
      <c r="D172">
        <v>81.434432999999999</v>
      </c>
      <c r="E172" s="21">
        <f t="shared" si="8"/>
        <v>-3.6954774804612622E-2</v>
      </c>
    </row>
    <row r="173" spans="1:5" x14ac:dyDescent="0.25">
      <c r="A173" s="47">
        <v>44207</v>
      </c>
      <c r="B173">
        <v>14894.169921999999</v>
      </c>
      <c r="C173" s="21">
        <f t="shared" si="8"/>
        <v>-4.8547458360475026E-3</v>
      </c>
      <c r="D173">
        <v>80.969657999999995</v>
      </c>
      <c r="E173" s="21">
        <f t="shared" si="8"/>
        <v>-5.7073523186439434E-3</v>
      </c>
    </row>
    <row r="174" spans="1:5" x14ac:dyDescent="0.25">
      <c r="A174" s="47">
        <v>44214</v>
      </c>
      <c r="B174">
        <v>14951.839844</v>
      </c>
      <c r="C174" s="21">
        <f t="shared" si="8"/>
        <v>3.8719795934929468E-3</v>
      </c>
      <c r="D174">
        <v>77.320685999999995</v>
      </c>
      <c r="E174" s="21">
        <f t="shared" si="8"/>
        <v>-4.5065918396246629E-2</v>
      </c>
    </row>
    <row r="175" spans="1:5" x14ac:dyDescent="0.25">
      <c r="A175" s="47">
        <v>44221</v>
      </c>
      <c r="B175">
        <v>14397.200194999999</v>
      </c>
      <c r="C175" s="21">
        <f t="shared" si="8"/>
        <v>-3.7095076912729952E-2</v>
      </c>
      <c r="D175">
        <v>77.563271</v>
      </c>
      <c r="E175" s="21">
        <f t="shared" si="8"/>
        <v>3.1373880981864222E-3</v>
      </c>
    </row>
    <row r="176" spans="1:5" x14ac:dyDescent="0.25">
      <c r="A176" s="47">
        <v>44228</v>
      </c>
      <c r="B176">
        <v>15069.599609000001</v>
      </c>
      <c r="C176" s="21">
        <f t="shared" si="8"/>
        <v>4.6703484350625324E-2</v>
      </c>
      <c r="D176">
        <v>79.422805999999994</v>
      </c>
      <c r="E176" s="21">
        <f t="shared" si="8"/>
        <v>2.3974427277570598E-2</v>
      </c>
    </row>
    <row r="177" spans="1:5" x14ac:dyDescent="0.25">
      <c r="A177" s="47">
        <v>44235</v>
      </c>
      <c r="B177">
        <v>15369.599609000001</v>
      </c>
      <c r="C177" s="21">
        <f t="shared" si="8"/>
        <v>1.99076291198097E-2</v>
      </c>
      <c r="D177">
        <v>77.990868000000006</v>
      </c>
      <c r="E177" s="21">
        <f t="shared" si="8"/>
        <v>-1.8029305083982927E-2</v>
      </c>
    </row>
    <row r="178" spans="1:5" x14ac:dyDescent="0.25">
      <c r="A178" s="47">
        <v>44242</v>
      </c>
      <c r="B178">
        <v>15362.690430000001</v>
      </c>
      <c r="C178" s="21">
        <f t="shared" si="8"/>
        <v>-4.495353929685475E-4</v>
      </c>
      <c r="D178">
        <v>76.767746000000002</v>
      </c>
      <c r="E178" s="21">
        <f t="shared" si="8"/>
        <v>-1.5682887386251454E-2</v>
      </c>
    </row>
    <row r="179" spans="1:5" x14ac:dyDescent="0.25">
      <c r="A179" s="47">
        <v>44249</v>
      </c>
      <c r="B179">
        <v>15010.469727</v>
      </c>
      <c r="C179" s="21">
        <f t="shared" si="8"/>
        <v>-2.2927019496024603E-2</v>
      </c>
      <c r="D179">
        <v>74.778946000000005</v>
      </c>
      <c r="E179" s="21">
        <f t="shared" si="8"/>
        <v>-2.5906713478340171E-2</v>
      </c>
    </row>
    <row r="180" spans="1:5" x14ac:dyDescent="0.25">
      <c r="A180" s="47">
        <v>44256</v>
      </c>
      <c r="B180">
        <v>15251.830078000001</v>
      </c>
      <c r="C180" s="21">
        <f t="shared" si="8"/>
        <v>1.6079466891422811E-2</v>
      </c>
      <c r="D180">
        <v>75.634131999999994</v>
      </c>
      <c r="E180" s="21">
        <f t="shared" si="8"/>
        <v>1.1436186864682396E-2</v>
      </c>
    </row>
    <row r="181" spans="1:5" x14ac:dyDescent="0.25">
      <c r="A181" s="47">
        <v>44263</v>
      </c>
      <c r="B181">
        <v>15715.209961</v>
      </c>
      <c r="C181" s="21">
        <f t="shared" si="8"/>
        <v>3.0381920112551031E-2</v>
      </c>
      <c r="D181">
        <v>75.087219000000005</v>
      </c>
      <c r="E181" s="21">
        <f t="shared" si="8"/>
        <v>-7.2310342637367242E-3</v>
      </c>
    </row>
    <row r="182" spans="1:5" x14ac:dyDescent="0.25">
      <c r="A182" s="47">
        <v>44270</v>
      </c>
      <c r="B182">
        <v>15562.259765999999</v>
      </c>
      <c r="C182" s="21">
        <f t="shared" si="8"/>
        <v>-9.7326217963090711E-3</v>
      </c>
      <c r="D182">
        <v>74.560181</v>
      </c>
      <c r="E182" s="21">
        <f t="shared" si="8"/>
        <v>-7.0190107853109751E-3</v>
      </c>
    </row>
    <row r="183" spans="1:5" x14ac:dyDescent="0.25">
      <c r="A183" s="47">
        <v>44277</v>
      </c>
      <c r="B183">
        <v>15682.540039</v>
      </c>
      <c r="C183" s="21">
        <f t="shared" si="8"/>
        <v>7.7289721935360767E-3</v>
      </c>
      <c r="D183">
        <v>78.776443</v>
      </c>
      <c r="E183" s="21">
        <f t="shared" si="8"/>
        <v>5.6548441050592313E-2</v>
      </c>
    </row>
    <row r="184" spans="1:5" x14ac:dyDescent="0.25">
      <c r="A184" s="47">
        <v>44284</v>
      </c>
      <c r="B184">
        <v>15751.700194999999</v>
      </c>
      <c r="C184" s="21">
        <f t="shared" si="8"/>
        <v>4.4100098471300253E-3</v>
      </c>
      <c r="D184">
        <v>78.110198999999994</v>
      </c>
      <c r="E184" s="21">
        <f t="shared" si="8"/>
        <v>-8.4574014086927773E-3</v>
      </c>
    </row>
    <row r="185" spans="1:5" x14ac:dyDescent="0.25">
      <c r="A185" s="47">
        <v>44291</v>
      </c>
      <c r="B185">
        <v>15956.370117</v>
      </c>
      <c r="C185" s="21">
        <f t="shared" ref="C185:E196" si="9">B185/B184-1</f>
        <v>1.299351304724361E-2</v>
      </c>
      <c r="D185">
        <v>79.333304999999996</v>
      </c>
      <c r="E185" s="21">
        <f t="shared" si="9"/>
        <v>1.5658723388990436E-2</v>
      </c>
    </row>
    <row r="186" spans="1:5" x14ac:dyDescent="0.25">
      <c r="A186" s="47">
        <v>44298</v>
      </c>
      <c r="B186">
        <v>16186.290039</v>
      </c>
      <c r="C186" s="21">
        <f t="shared" si="9"/>
        <v>1.4409287345061195E-2</v>
      </c>
      <c r="D186">
        <v>80.248154</v>
      </c>
      <c r="E186" s="21">
        <f t="shared" si="9"/>
        <v>1.1531714202503096E-2</v>
      </c>
    </row>
    <row r="187" spans="1:5" x14ac:dyDescent="0.25">
      <c r="A187" s="47">
        <v>44305</v>
      </c>
      <c r="B187">
        <v>16206</v>
      </c>
      <c r="C187" s="21">
        <f t="shared" si="9"/>
        <v>1.2176947869160237E-3</v>
      </c>
      <c r="D187">
        <v>79.343245999999994</v>
      </c>
      <c r="E187" s="21">
        <f t="shared" si="9"/>
        <v>-1.1276371541207086E-2</v>
      </c>
    </row>
    <row r="188" spans="1:5" x14ac:dyDescent="0.25">
      <c r="A188" s="47">
        <v>44312</v>
      </c>
      <c r="B188">
        <v>16219.330078000001</v>
      </c>
      <c r="C188" s="21">
        <f t="shared" si="9"/>
        <v>8.2253967666301442E-4</v>
      </c>
      <c r="D188">
        <v>80.699996999999996</v>
      </c>
      <c r="E188" s="21">
        <f t="shared" si="9"/>
        <v>1.7099766752673551E-2</v>
      </c>
    </row>
    <row r="189" spans="1:5" x14ac:dyDescent="0.25">
      <c r="A189" s="47">
        <v>44319</v>
      </c>
      <c r="B189">
        <v>16590.429688</v>
      </c>
      <c r="C189" s="21">
        <f t="shared" si="9"/>
        <v>2.2880082482775288E-2</v>
      </c>
      <c r="D189">
        <v>82.18</v>
      </c>
      <c r="E189" s="21">
        <f t="shared" si="9"/>
        <v>1.8339566976687927E-2</v>
      </c>
    </row>
    <row r="190" spans="1:5" x14ac:dyDescent="0.25">
      <c r="A190" s="47">
        <v>44326</v>
      </c>
      <c r="B190">
        <v>16415.359375</v>
      </c>
      <c r="C190" s="21">
        <f t="shared" si="9"/>
        <v>-1.0552488168924845E-2</v>
      </c>
      <c r="D190">
        <v>83.559997999999993</v>
      </c>
      <c r="E190" s="21">
        <f t="shared" si="9"/>
        <v>1.6792382574835507E-2</v>
      </c>
    </row>
    <row r="191" spans="1:5" x14ac:dyDescent="0.25">
      <c r="A191" s="47">
        <v>44333</v>
      </c>
      <c r="B191">
        <v>16375</v>
      </c>
      <c r="C191" s="21">
        <f t="shared" si="9"/>
        <v>-2.4586348722566154E-3</v>
      </c>
      <c r="D191">
        <v>84.230002999999996</v>
      </c>
      <c r="E191" s="21">
        <f t="shared" si="9"/>
        <v>8.0182505509394097E-3</v>
      </c>
    </row>
    <row r="192" spans="1:5" x14ac:dyDescent="0.25">
      <c r="A192" s="47">
        <v>44340</v>
      </c>
      <c r="B192">
        <v>16555.660156000002</v>
      </c>
      <c r="C192" s="21">
        <f t="shared" si="9"/>
        <v>1.1032681282442836E-2</v>
      </c>
      <c r="D192">
        <v>83.779999000000004</v>
      </c>
      <c r="E192" s="21">
        <f t="shared" si="9"/>
        <v>-5.3425618422451304E-3</v>
      </c>
    </row>
    <row r="193" spans="1:5" x14ac:dyDescent="0.25">
      <c r="A193" s="47">
        <v>44347</v>
      </c>
      <c r="B193">
        <v>16708.740234000001</v>
      </c>
      <c r="C193" s="21">
        <f t="shared" si="9"/>
        <v>9.2463892443770401E-3</v>
      </c>
      <c r="D193">
        <v>83.970000999999996</v>
      </c>
      <c r="E193" s="21">
        <f t="shared" si="9"/>
        <v>2.2678682533763261E-3</v>
      </c>
    </row>
    <row r="194" spans="1:5" x14ac:dyDescent="0.25">
      <c r="A194" s="47">
        <v>44354</v>
      </c>
      <c r="B194">
        <v>16694.929688</v>
      </c>
      <c r="C194" s="21">
        <f t="shared" si="9"/>
        <v>-8.2654621512989745E-4</v>
      </c>
      <c r="D194">
        <v>83.629997000000003</v>
      </c>
      <c r="E194" s="21">
        <f t="shared" si="9"/>
        <v>-4.0491127301521823E-3</v>
      </c>
    </row>
    <row r="195" spans="1:5" x14ac:dyDescent="0.25">
      <c r="A195" s="47">
        <v>44361</v>
      </c>
      <c r="B195">
        <v>16411.650390999999</v>
      </c>
      <c r="C195" s="21">
        <f t="shared" si="9"/>
        <v>-1.6967983830660671E-2</v>
      </c>
      <c r="D195">
        <v>82.43</v>
      </c>
      <c r="E195" s="21">
        <f t="shared" si="9"/>
        <v>-1.4348882494877979E-2</v>
      </c>
    </row>
    <row r="196" spans="1:5" x14ac:dyDescent="0.25">
      <c r="A196" s="47">
        <v>44365</v>
      </c>
      <c r="B196">
        <v>16143.951171999999</v>
      </c>
      <c r="C196" s="21">
        <f t="shared" si="9"/>
        <v>-1.6311535562980595E-2</v>
      </c>
      <c r="D196">
        <v>81.019997000000004</v>
      </c>
      <c r="E196" s="21">
        <f t="shared" si="9"/>
        <v>-1.7105459177483961E-2</v>
      </c>
    </row>
  </sheetData>
  <mergeCells count="3">
    <mergeCell ref="A3:G3"/>
    <mergeCell ref="A11:G11"/>
    <mergeCell ref="I3:M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C749-35A3-4E1A-A1FE-1D35D11750CE}">
  <dimension ref="A1:M27"/>
  <sheetViews>
    <sheetView showGridLines="0" tabSelected="1" topLeftCell="A7" workbookViewId="0">
      <selection activeCell="I13" sqref="I13"/>
    </sheetView>
  </sheetViews>
  <sheetFormatPr defaultRowHeight="15" x14ac:dyDescent="0.25"/>
  <cols>
    <col min="7" max="7" width="11.5703125" bestFit="1" customWidth="1"/>
    <col min="8" max="12" width="10.42578125" customWidth="1"/>
  </cols>
  <sheetData>
    <row r="1" spans="1:12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H2" s="1">
        <v>2021</v>
      </c>
      <c r="I2" s="1">
        <v>2022</v>
      </c>
      <c r="J2" s="1">
        <v>2023</v>
      </c>
      <c r="K2" s="1">
        <v>2024</v>
      </c>
      <c r="L2" s="1">
        <v>2025</v>
      </c>
    </row>
    <row r="3" spans="1:12" x14ac:dyDescent="0.25">
      <c r="A3" t="s">
        <v>81</v>
      </c>
      <c r="H3" s="16">
        <f>'Income Statement'!H16</f>
        <v>4039.0840688028725</v>
      </c>
      <c r="I3" s="16">
        <f>'Income Statement'!I16</f>
        <v>4191.5423122012644</v>
      </c>
      <c r="J3" s="16">
        <f>'Income Statement'!J16</f>
        <v>4324.961190020771</v>
      </c>
      <c r="K3" s="16">
        <f>'Income Statement'!K16</f>
        <v>4437.0436354707908</v>
      </c>
      <c r="L3" s="16">
        <f>'Income Statement'!L16</f>
        <v>4525.784508180207</v>
      </c>
    </row>
    <row r="4" spans="1:12" x14ac:dyDescent="0.25">
      <c r="A4" t="s">
        <v>82</v>
      </c>
      <c r="H4" s="16">
        <f>-'Income Statement'!H21*'DCF value'!H3</f>
        <v>-915.39798959698078</v>
      </c>
      <c r="I4" s="16">
        <f>-'Income Statement'!I21*'DCF value'!I3</f>
        <v>-995.39188362545178</v>
      </c>
      <c r="J4" s="16">
        <f>-'Income Statement'!J21*'DCF value'!J3</f>
        <v>-1073.9636422098906</v>
      </c>
      <c r="K4" s="16">
        <f>-'Income Statement'!K21*'DCF value'!K3</f>
        <v>-1149.898729408415</v>
      </c>
      <c r="L4" s="16">
        <f>-'Income Statement'!L21*'DCF value'!L3</f>
        <v>-1221.9618172086559</v>
      </c>
    </row>
    <row r="5" spans="1:12" s="1" customFormat="1" x14ac:dyDescent="0.25">
      <c r="A5" s="34" t="s">
        <v>83</v>
      </c>
      <c r="B5" s="34"/>
      <c r="C5" s="34"/>
      <c r="D5" s="34"/>
      <c r="E5" s="34"/>
      <c r="F5" s="34"/>
      <c r="G5" s="34"/>
      <c r="H5" s="40">
        <f>SUM(H3:H4)</f>
        <v>3123.6860792058915</v>
      </c>
      <c r="I5" s="40">
        <f t="shared" ref="I5:L5" si="0">SUM(I3:I4)</f>
        <v>3196.1504285758128</v>
      </c>
      <c r="J5" s="40">
        <f t="shared" si="0"/>
        <v>3250.9975478108804</v>
      </c>
      <c r="K5" s="40">
        <f t="shared" si="0"/>
        <v>3287.1449060623759</v>
      </c>
      <c r="L5" s="40">
        <f t="shared" si="0"/>
        <v>3303.8226909715513</v>
      </c>
    </row>
    <row r="6" spans="1:12" x14ac:dyDescent="0.25">
      <c r="A6" t="s">
        <v>84</v>
      </c>
      <c r="H6" s="16">
        <f>'Income Statement'!H12</f>
        <v>555.04097424861311</v>
      </c>
      <c r="I6" s="16">
        <f>'Income Statement'!I12</f>
        <v>570.63313062615191</v>
      </c>
      <c r="J6" s="16">
        <f>'Income Statement'!J12</f>
        <v>584.05676020496344</v>
      </c>
      <c r="K6" s="16">
        <f>'Income Statement'!K12</f>
        <v>595.0406680911284</v>
      </c>
      <c r="L6" s="16">
        <f>'Income Statement'!L12</f>
        <v>603.34794570743236</v>
      </c>
    </row>
    <row r="7" spans="1:12" x14ac:dyDescent="0.25">
      <c r="A7" t="s">
        <v>85</v>
      </c>
      <c r="H7" s="16">
        <f>'Working Capital Schedule'!H16</f>
        <v>-438.67482213040739</v>
      </c>
      <c r="I7" s="16">
        <f>'Working Capital Schedule'!I16</f>
        <v>-5.7220805584893242</v>
      </c>
      <c r="J7" s="16">
        <f>'Working Capital Schedule'!J16</f>
        <v>-8.6811010744004307</v>
      </c>
      <c r="K7" s="16">
        <f>'Working Capital Schedule'!K16</f>
        <v>31.625526948790593</v>
      </c>
      <c r="L7" s="16">
        <f>'Working Capital Schedule'!L16</f>
        <v>30.149060892935722</v>
      </c>
    </row>
    <row r="8" spans="1:12" x14ac:dyDescent="0.25">
      <c r="A8" t="s">
        <v>86</v>
      </c>
      <c r="H8" s="16">
        <f>-'Fixed asset Schedule'!H6</f>
        <v>-689.2930613649396</v>
      </c>
      <c r="I8" s="16">
        <f>-'Fixed asset Schedule'!I6</f>
        <v>-639.96221515040997</v>
      </c>
      <c r="J8" s="16">
        <f>-'Fixed asset Schedule'!J6</f>
        <v>-637.07606810534753</v>
      </c>
      <c r="K8" s="16">
        <f>-'Fixed asset Schedule'!K6</f>
        <v>-629.45175754117099</v>
      </c>
      <c r="L8" s="16">
        <f>-'Fixed asset Schedule'!L6</f>
        <v>-617.13829066122344</v>
      </c>
    </row>
    <row r="9" spans="1:12" s="1" customFormat="1" x14ac:dyDescent="0.25">
      <c r="A9" s="34" t="s">
        <v>87</v>
      </c>
      <c r="B9" s="34"/>
      <c r="C9" s="34"/>
      <c r="D9" s="34"/>
      <c r="E9" s="34"/>
      <c r="F9" s="34"/>
      <c r="G9" s="34"/>
      <c r="H9" s="40">
        <f>SUM(H5:H8)</f>
        <v>2550.7591699591576</v>
      </c>
      <c r="I9" s="40">
        <f t="shared" ref="I9:L9" si="1">SUM(I5:I8)</f>
        <v>3121.0992634930653</v>
      </c>
      <c r="J9" s="40">
        <f t="shared" si="1"/>
        <v>3189.2971388360961</v>
      </c>
      <c r="K9" s="40">
        <f t="shared" si="1"/>
        <v>3284.3593435611238</v>
      </c>
      <c r="L9" s="40">
        <f t="shared" si="1"/>
        <v>3320.1814069106958</v>
      </c>
    </row>
    <row r="10" spans="1:12" x14ac:dyDescent="0.25">
      <c r="A10" t="s">
        <v>88</v>
      </c>
      <c r="G10" s="15"/>
      <c r="H10" s="15">
        <f ca="1">1/(1+'Discount rates'!$M$9)^('DCF value'!H1-0.5)</f>
        <v>0.97835990018240604</v>
      </c>
      <c r="I10" s="15">
        <f ca="1">1/(1+'Discount rates'!$M$9)^('DCF value'!I1-0.5)</f>
        <v>0.93647444838038896</v>
      </c>
      <c r="J10" s="15">
        <f ca="1">1/(1+'Discount rates'!$M$9)^('DCF value'!J1-0.5)</f>
        <v>0.89638219259175322</v>
      </c>
      <c r="K10" s="15">
        <f ca="1">1/(1+'Discount rates'!$M$9)^('DCF value'!K1-0.5)</f>
        <v>0.85800636267784502</v>
      </c>
      <c r="L10" s="15">
        <f ca="1">1/(1+'Discount rates'!$M$9)^('DCF value'!L1-0.5)</f>
        <v>0.82127347517594884</v>
      </c>
    </row>
    <row r="11" spans="1:12" x14ac:dyDescent="0.25">
      <c r="H11" s="16"/>
      <c r="I11" s="16"/>
      <c r="J11" s="16"/>
      <c r="K11" s="16"/>
      <c r="L11" s="16"/>
    </row>
    <row r="12" spans="1:12" x14ac:dyDescent="0.25">
      <c r="A12" t="s">
        <v>89</v>
      </c>
      <c r="G12" s="15">
        <f ca="1">SUMPRODUCT(H10:L10,H9:L9)</f>
        <v>13821.997496531205</v>
      </c>
      <c r="H12" s="16"/>
      <c r="I12" s="16"/>
      <c r="J12" s="16"/>
      <c r="K12" s="16"/>
      <c r="L12" s="16"/>
    </row>
    <row r="13" spans="1:12" x14ac:dyDescent="0.25">
      <c r="G13" s="15"/>
      <c r="H13" s="16"/>
      <c r="I13" s="16"/>
      <c r="J13" s="16"/>
      <c r="K13" s="16"/>
      <c r="L13" s="16"/>
    </row>
    <row r="14" spans="1:12" x14ac:dyDescent="0.25">
      <c r="A14" t="s">
        <v>92</v>
      </c>
      <c r="H14" s="16"/>
      <c r="I14" s="16"/>
      <c r="J14" s="16"/>
      <c r="K14" s="16"/>
      <c r="L14" s="16"/>
    </row>
    <row r="15" spans="1:12" s="1" customFormat="1" x14ac:dyDescent="0.25">
      <c r="A15" s="1" t="s">
        <v>93</v>
      </c>
      <c r="G15" s="23">
        <v>17.5</v>
      </c>
      <c r="H15" s="24"/>
      <c r="I15" s="24"/>
      <c r="J15" s="24"/>
      <c r="K15" s="24"/>
    </row>
    <row r="16" spans="1:12" x14ac:dyDescent="0.25">
      <c r="A16" t="s">
        <v>94</v>
      </c>
      <c r="D16" s="20"/>
      <c r="G16" s="23"/>
      <c r="H16" s="15"/>
      <c r="I16" s="15"/>
      <c r="J16" s="15"/>
      <c r="K16" s="15"/>
      <c r="L16" s="19">
        <f>L3+L6</f>
        <v>5129.1324538876397</v>
      </c>
    </row>
    <row r="17" spans="1:13" s="1" customFormat="1" x14ac:dyDescent="0.25">
      <c r="A17" s="1" t="s">
        <v>97</v>
      </c>
      <c r="H17" s="24"/>
      <c r="I17" s="24"/>
      <c r="J17" s="24"/>
      <c r="K17" s="24"/>
      <c r="L17" s="23">
        <f>G15*L16</f>
        <v>89759.81794303369</v>
      </c>
    </row>
    <row r="18" spans="1:13" x14ac:dyDescent="0.25">
      <c r="A18" t="s">
        <v>95</v>
      </c>
      <c r="G18" s="82">
        <f ca="1">L17/(1+'Discount rates'!M9)^L1</f>
        <v>72122.106636196069</v>
      </c>
      <c r="H18" s="15"/>
      <c r="I18" s="15"/>
      <c r="J18" s="15"/>
      <c r="K18" s="15"/>
    </row>
    <row r="19" spans="1:13" s="2" customFormat="1" x14ac:dyDescent="0.25"/>
    <row r="20" spans="1:13" s="1" customFormat="1" x14ac:dyDescent="0.25">
      <c r="A20" s="1" t="s">
        <v>96</v>
      </c>
      <c r="G20" s="23">
        <f ca="1">G18+G12</f>
        <v>85944.104132727269</v>
      </c>
      <c r="M20" s="2"/>
    </row>
    <row r="21" spans="1:13" x14ac:dyDescent="0.25">
      <c r="A21" s="50" t="s">
        <v>98</v>
      </c>
      <c r="B21" s="25"/>
      <c r="C21" s="25"/>
      <c r="D21" s="25"/>
      <c r="E21" s="25"/>
      <c r="F21" s="25"/>
      <c r="G21">
        <f>888+37+56</f>
        <v>981</v>
      </c>
      <c r="H21" s="25"/>
    </row>
    <row r="22" spans="1:13" x14ac:dyDescent="0.25">
      <c r="A22" s="51" t="s">
        <v>90</v>
      </c>
      <c r="B22" s="51"/>
      <c r="C22" s="51"/>
      <c r="D22" s="51"/>
      <c r="E22" s="51"/>
      <c r="F22" s="51"/>
      <c r="G22" s="52">
        <f ca="1">SUM(G20:G21)</f>
        <v>86925.104132727269</v>
      </c>
      <c r="H22" s="25"/>
    </row>
    <row r="23" spans="1:13" x14ac:dyDescent="0.25">
      <c r="A23" s="50" t="s">
        <v>91</v>
      </c>
      <c r="B23" s="25"/>
      <c r="C23" s="25"/>
      <c r="D23" s="25"/>
      <c r="E23" s="25"/>
      <c r="F23" s="25"/>
      <c r="G23" s="25">
        <f>-'Discount rates'!G32</f>
        <v>-7601</v>
      </c>
      <c r="H23" s="25"/>
    </row>
    <row r="24" spans="1:13" x14ac:dyDescent="0.25">
      <c r="A24" s="50" t="s">
        <v>99</v>
      </c>
      <c r="G24">
        <v>-358</v>
      </c>
    </row>
    <row r="25" spans="1:13" x14ac:dyDescent="0.25">
      <c r="A25" s="51" t="s">
        <v>100</v>
      </c>
      <c r="B25" s="35"/>
      <c r="C25" s="35"/>
      <c r="D25" s="35"/>
      <c r="E25" s="35"/>
      <c r="F25" s="35"/>
      <c r="G25" s="53">
        <f ca="1">SUM(G22:G24)</f>
        <v>78966.104132727269</v>
      </c>
    </row>
    <row r="26" spans="1:13" x14ac:dyDescent="0.25">
      <c r="A26" t="s">
        <v>76</v>
      </c>
      <c r="G26" s="20">
        <f>'Discount rates'!G27</f>
        <v>848.56267800000001</v>
      </c>
    </row>
    <row r="27" spans="1:13" x14ac:dyDescent="0.25">
      <c r="A27" s="54" t="s">
        <v>101</v>
      </c>
      <c r="B27" s="55"/>
      <c r="C27" s="55"/>
      <c r="D27" s="55"/>
      <c r="E27" s="55"/>
      <c r="F27" s="55"/>
      <c r="G27" s="56">
        <f ca="1">G25/G26</f>
        <v>93.058658105073135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Steps</vt:lpstr>
      <vt:lpstr>Income Statement</vt:lpstr>
      <vt:lpstr>Working Capital Schedule</vt:lpstr>
      <vt:lpstr>Debt Schedule</vt:lpstr>
      <vt:lpstr>Fixed asset Schedule</vt:lpstr>
      <vt:lpstr>Discount rates</vt:lpstr>
      <vt:lpstr>DCF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Pratap Nanda</cp:lastModifiedBy>
  <dcterms:created xsi:type="dcterms:W3CDTF">2021-02-22T06:54:57Z</dcterms:created>
  <dcterms:modified xsi:type="dcterms:W3CDTF">2021-06-19T19:30:12Z</dcterms:modified>
</cp:coreProperties>
</file>