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li\Desktop\PCN\"/>
    </mc:Choice>
  </mc:AlternateContent>
  <xr:revisionPtr revIDLastSave="0" documentId="13_ncr:1_{BBD16504-5C44-485F-A20B-13ADE3C61D8D}" xr6:coauthVersionLast="45" xr6:coauthVersionMax="45" xr10:uidLastSave="{00000000-0000-0000-0000-000000000000}"/>
  <bookViews>
    <workbookView xWindow="-120" yWindow="-120" windowWidth="20730" windowHeight="11160" tabRatio="914" xr2:uid="{C7E3D42F-1B19-42B6-AE2E-C5105910C92D}"/>
  </bookViews>
  <sheets>
    <sheet name="Content" sheetId="9" r:id="rId1"/>
    <sheet name="Project Assumptions" sheetId="2" r:id="rId2"/>
    <sheet name="Debt - Loan Amortisation Sch" sheetId="1" r:id="rId3"/>
    <sheet name="Cost - Expenses" sheetId="3" r:id="rId4"/>
    <sheet name="Depreciation" sheetId="7" r:id="rId5"/>
    <sheet name="P&amp;L Statement" sheetId="4" r:id="rId6"/>
    <sheet name="Balance Sheet" sheetId="5" r:id="rId7"/>
    <sheet name="Cash Flow Statement" sheetId="6" r:id="rId8"/>
    <sheet name="NPV, IRR, DSCR, PB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6" i="8" l="1"/>
  <c r="N28" i="8"/>
  <c r="N29" i="8"/>
  <c r="N30" i="8"/>
  <c r="N31" i="8"/>
  <c r="N22" i="5"/>
  <c r="E25" i="8"/>
  <c r="F25" i="8"/>
  <c r="G25" i="8"/>
  <c r="H25" i="8"/>
  <c r="I25" i="8"/>
  <c r="M25" i="8"/>
  <c r="D25" i="8"/>
  <c r="C6" i="8"/>
  <c r="C7" i="8" s="1"/>
  <c r="F9" i="2"/>
  <c r="C16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X30" i="6" l="1"/>
  <c r="Y30" i="6"/>
  <c r="Z30" i="6"/>
  <c r="AA30" i="6"/>
  <c r="AB30" i="6"/>
  <c r="AC30" i="6"/>
  <c r="AD30" i="6"/>
  <c r="AE30" i="6"/>
  <c r="G30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F25" i="5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H29" i="6"/>
  <c r="G29" i="6"/>
  <c r="X28" i="6" l="1"/>
  <c r="Y28" i="6"/>
  <c r="Z28" i="6"/>
  <c r="AA28" i="6"/>
  <c r="AB28" i="6"/>
  <c r="AC28" i="6"/>
  <c r="AD28" i="6"/>
  <c r="AE28" i="6"/>
  <c r="G28" i="6"/>
  <c r="G23" i="6"/>
  <c r="G22" i="6"/>
  <c r="G22" i="5"/>
  <c r="H22" i="5"/>
  <c r="I22" i="5"/>
  <c r="J22" i="5"/>
  <c r="J26" i="5" s="1"/>
  <c r="K22" i="5"/>
  <c r="L22" i="5"/>
  <c r="M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F23" i="5"/>
  <c r="F26" i="5"/>
  <c r="K26" i="5"/>
  <c r="I26" i="5"/>
  <c r="H26" i="5"/>
  <c r="G26" i="5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E11" i="4"/>
  <c r="T13" i="4"/>
  <c r="U13" i="4"/>
  <c r="V13" i="4"/>
  <c r="W13" i="4"/>
  <c r="X13" i="4"/>
  <c r="Y13" i="4"/>
  <c r="Z13" i="4"/>
  <c r="AA13" i="4"/>
  <c r="AB13" i="4"/>
  <c r="AC13" i="4"/>
  <c r="D7" i="7"/>
  <c r="D13" i="7"/>
  <c r="D19" i="7"/>
  <c r="D18" i="7"/>
  <c r="C5" i="1"/>
  <c r="G18" i="6" l="1"/>
  <c r="V10" i="5" l="1"/>
  <c r="W10" i="5"/>
  <c r="X10" i="5"/>
  <c r="Y10" i="5"/>
  <c r="Z10" i="5"/>
  <c r="AA10" i="5"/>
  <c r="AB10" i="5"/>
  <c r="AC10" i="5"/>
  <c r="AD10" i="5"/>
  <c r="E6" i="4"/>
  <c r="C6" i="1" l="1"/>
  <c r="C7" i="1"/>
  <c r="C4" i="1"/>
  <c r="F22" i="5"/>
  <c r="F7" i="5"/>
  <c r="AD12" i="5"/>
  <c r="AC12" i="5"/>
  <c r="AB12" i="5"/>
  <c r="AA12" i="5"/>
  <c r="Z12" i="5"/>
  <c r="Y12" i="5"/>
  <c r="X12" i="5"/>
  <c r="W12" i="5"/>
  <c r="V12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Z17" i="5" s="1"/>
  <c r="AA16" i="5"/>
  <c r="AB16" i="5"/>
  <c r="AC16" i="5"/>
  <c r="AD16" i="5"/>
  <c r="AD17" i="5" s="1"/>
  <c r="F16" i="5"/>
  <c r="V17" i="5" l="1"/>
  <c r="G25" i="6"/>
  <c r="C11" i="1"/>
  <c r="Y17" i="5"/>
  <c r="AC17" i="5"/>
  <c r="W17" i="5"/>
  <c r="AA17" i="5"/>
  <c r="X17" i="5"/>
  <c r="AB17" i="5"/>
  <c r="C8" i="1"/>
  <c r="G21" i="7"/>
  <c r="H21" i="7"/>
  <c r="K21" i="7"/>
  <c r="L21" i="7"/>
  <c r="O21" i="7"/>
  <c r="P21" i="7"/>
  <c r="S21" i="7"/>
  <c r="T21" i="7"/>
  <c r="W21" i="7"/>
  <c r="X21" i="7"/>
  <c r="AA21" i="7"/>
  <c r="AB21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E15" i="7"/>
  <c r="E21" i="7"/>
  <c r="D20" i="7"/>
  <c r="I21" i="7"/>
  <c r="D12" i="7"/>
  <c r="D14" i="7"/>
  <c r="D8" i="7"/>
  <c r="D6" i="7"/>
  <c r="E7" i="4"/>
  <c r="F7" i="4" s="1"/>
  <c r="F16" i="4"/>
  <c r="I18" i="6" s="1"/>
  <c r="G16" i="4"/>
  <c r="J18" i="6" s="1"/>
  <c r="H16" i="4"/>
  <c r="K18" i="6" s="1"/>
  <c r="I16" i="4"/>
  <c r="L18" i="6" s="1"/>
  <c r="J16" i="4"/>
  <c r="M18" i="6" s="1"/>
  <c r="K16" i="4"/>
  <c r="N18" i="6" s="1"/>
  <c r="L16" i="4"/>
  <c r="O18" i="6" s="1"/>
  <c r="M16" i="4"/>
  <c r="P18" i="6" s="1"/>
  <c r="N16" i="4"/>
  <c r="E16" i="4"/>
  <c r="H18" i="6" s="1"/>
  <c r="F5" i="4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C6" i="4" s="1"/>
  <c r="C16" i="4"/>
  <c r="Z21" i="7" l="1"/>
  <c r="V21" i="7"/>
  <c r="R21" i="7"/>
  <c r="N21" i="7"/>
  <c r="J21" i="7"/>
  <c r="F21" i="7"/>
  <c r="AC21" i="7"/>
  <c r="Y21" i="7"/>
  <c r="U21" i="7"/>
  <c r="Q21" i="7"/>
  <c r="M21" i="7"/>
  <c r="C13" i="1"/>
  <c r="F10" i="5"/>
  <c r="K12" i="1"/>
  <c r="L12" i="1"/>
  <c r="G12" i="1"/>
  <c r="C12" i="1"/>
  <c r="H12" i="1"/>
  <c r="J12" i="1"/>
  <c r="F12" i="1"/>
  <c r="D12" i="1"/>
  <c r="I12" i="1"/>
  <c r="E12" i="1"/>
  <c r="N6" i="4"/>
  <c r="F6" i="4"/>
  <c r="F8" i="4" s="1"/>
  <c r="F10" i="4" s="1"/>
  <c r="F12" i="4" s="1"/>
  <c r="T6" i="4"/>
  <c r="L6" i="4"/>
  <c r="X6" i="4"/>
  <c r="P6" i="4"/>
  <c r="H6" i="4"/>
  <c r="V6" i="4"/>
  <c r="AB6" i="4"/>
  <c r="R6" i="4"/>
  <c r="J6" i="4"/>
  <c r="Z6" i="4"/>
  <c r="Y6" i="4"/>
  <c r="U6" i="4"/>
  <c r="Q6" i="4"/>
  <c r="M6" i="4"/>
  <c r="I6" i="4"/>
  <c r="AA6" i="4"/>
  <c r="W6" i="4"/>
  <c r="S6" i="4"/>
  <c r="O6" i="4"/>
  <c r="K6" i="4"/>
  <c r="G6" i="4"/>
  <c r="G7" i="4"/>
  <c r="E8" i="4"/>
  <c r="E10" i="4" s="1"/>
  <c r="E12" i="4" s="1"/>
  <c r="B13" i="3"/>
  <c r="C5" i="3" s="1"/>
  <c r="D30" i="8" l="1"/>
  <c r="D26" i="8"/>
  <c r="E13" i="4"/>
  <c r="C14" i="1"/>
  <c r="D29" i="8" s="1"/>
  <c r="D31" i="8" s="1"/>
  <c r="F12" i="5"/>
  <c r="F17" i="5" s="1"/>
  <c r="C4" i="3"/>
  <c r="C12" i="3"/>
  <c r="C8" i="3"/>
  <c r="I9" i="7"/>
  <c r="I23" i="7" s="1"/>
  <c r="I14" i="4" s="1"/>
  <c r="K9" i="6" s="1"/>
  <c r="M9" i="7"/>
  <c r="M23" i="7" s="1"/>
  <c r="M14" i="4" s="1"/>
  <c r="Q9" i="7"/>
  <c r="Q23" i="7" s="1"/>
  <c r="Q14" i="4" s="1"/>
  <c r="S9" i="6" s="1"/>
  <c r="U9" i="7"/>
  <c r="U23" i="7" s="1"/>
  <c r="U14" i="4" s="1"/>
  <c r="W9" i="6" s="1"/>
  <c r="Y9" i="7"/>
  <c r="Y23" i="7" s="1"/>
  <c r="Y14" i="4" s="1"/>
  <c r="AA9" i="6" s="1"/>
  <c r="AC9" i="7"/>
  <c r="AC23" i="7" s="1"/>
  <c r="AC14" i="4" s="1"/>
  <c r="AE9" i="6" s="1"/>
  <c r="G9" i="7"/>
  <c r="G23" i="7" s="1"/>
  <c r="G14" i="4" s="1"/>
  <c r="I9" i="6" s="1"/>
  <c r="K9" i="7"/>
  <c r="K23" i="7" s="1"/>
  <c r="K14" i="4" s="1"/>
  <c r="O9" i="7"/>
  <c r="O23" i="7" s="1"/>
  <c r="O14" i="4" s="1"/>
  <c r="Q9" i="6" s="1"/>
  <c r="S9" i="7"/>
  <c r="S23" i="7" s="1"/>
  <c r="S14" i="4" s="1"/>
  <c r="U9" i="6" s="1"/>
  <c r="W9" i="7"/>
  <c r="W23" i="7" s="1"/>
  <c r="W14" i="4" s="1"/>
  <c r="Y9" i="6" s="1"/>
  <c r="AA9" i="7"/>
  <c r="AA23" i="7" s="1"/>
  <c r="AA14" i="4" s="1"/>
  <c r="AC9" i="6" s="1"/>
  <c r="V9" i="7"/>
  <c r="V23" i="7" s="1"/>
  <c r="V14" i="4" s="1"/>
  <c r="X9" i="6" s="1"/>
  <c r="L9" i="7"/>
  <c r="L23" i="7" s="1"/>
  <c r="L14" i="4" s="1"/>
  <c r="AB9" i="7"/>
  <c r="AB23" i="7" s="1"/>
  <c r="AB14" i="4" s="1"/>
  <c r="AD9" i="6" s="1"/>
  <c r="C11" i="3"/>
  <c r="C7" i="3"/>
  <c r="C3" i="3"/>
  <c r="J9" i="7"/>
  <c r="J23" i="7" s="1"/>
  <c r="J14" i="4" s="1"/>
  <c r="L9" i="6" s="1"/>
  <c r="Z9" i="7"/>
  <c r="Z23" i="7" s="1"/>
  <c r="Z14" i="4" s="1"/>
  <c r="AB9" i="6" s="1"/>
  <c r="P9" i="7"/>
  <c r="P23" i="7" s="1"/>
  <c r="P14" i="4" s="1"/>
  <c r="R9" i="6" s="1"/>
  <c r="F9" i="7"/>
  <c r="F23" i="7" s="1"/>
  <c r="C2" i="3"/>
  <c r="C10" i="3"/>
  <c r="C6" i="3"/>
  <c r="N9" i="7"/>
  <c r="N23" i="7" s="1"/>
  <c r="N14" i="4" s="1"/>
  <c r="P9" i="6" s="1"/>
  <c r="E9" i="7"/>
  <c r="E23" i="7" s="1"/>
  <c r="T9" i="7"/>
  <c r="T23" i="7" s="1"/>
  <c r="T14" i="4" s="1"/>
  <c r="V9" i="6" s="1"/>
  <c r="C13" i="3"/>
  <c r="C9" i="3"/>
  <c r="R9" i="7"/>
  <c r="R23" i="7" s="1"/>
  <c r="R14" i="4" s="1"/>
  <c r="T9" i="6" s="1"/>
  <c r="H9" i="7"/>
  <c r="H23" i="7" s="1"/>
  <c r="H14" i="4" s="1"/>
  <c r="J9" i="6" s="1"/>
  <c r="X9" i="7"/>
  <c r="X23" i="7" s="1"/>
  <c r="X14" i="4" s="1"/>
  <c r="Z9" i="6" s="1"/>
  <c r="H7" i="4"/>
  <c r="G8" i="4"/>
  <c r="G10" i="4" s="1"/>
  <c r="G12" i="4" s="1"/>
  <c r="D17" i="2"/>
  <c r="M9" i="6" l="1"/>
  <c r="J25" i="8"/>
  <c r="N25" i="8" s="1"/>
  <c r="O9" i="6"/>
  <c r="L25" i="8"/>
  <c r="N9" i="6"/>
  <c r="K25" i="8"/>
  <c r="D11" i="1"/>
  <c r="E14" i="4"/>
  <c r="F14" i="4"/>
  <c r="D13" i="1"/>
  <c r="G10" i="5"/>
  <c r="I7" i="4"/>
  <c r="H8" i="4"/>
  <c r="H10" i="4" s="1"/>
  <c r="H12" i="4" s="1"/>
  <c r="E30" i="8" l="1"/>
  <c r="E26" i="8"/>
  <c r="F13" i="4"/>
  <c r="G12" i="5"/>
  <c r="G17" i="5" s="1"/>
  <c r="H28" i="6"/>
  <c r="H30" i="6" s="1"/>
  <c r="H9" i="6"/>
  <c r="F15" i="4"/>
  <c r="F24" i="5"/>
  <c r="G9" i="6"/>
  <c r="E15" i="4"/>
  <c r="D14" i="1"/>
  <c r="E29" i="8" s="1"/>
  <c r="E31" i="8" s="1"/>
  <c r="J7" i="4"/>
  <c r="I8" i="4"/>
  <c r="I10" i="4" s="1"/>
  <c r="I12" i="4" s="1"/>
  <c r="H7" i="6" l="1"/>
  <c r="F18" i="4"/>
  <c r="E24" i="8" s="1"/>
  <c r="G7" i="6"/>
  <c r="E18" i="4"/>
  <c r="D24" i="8" s="1"/>
  <c r="G24" i="5"/>
  <c r="E11" i="1"/>
  <c r="K7" i="4"/>
  <c r="J8" i="4"/>
  <c r="J10" i="4" s="1"/>
  <c r="J12" i="4" s="1"/>
  <c r="D27" i="8" l="1"/>
  <c r="D33" i="8" s="1"/>
  <c r="D34" i="8"/>
  <c r="E27" i="8"/>
  <c r="E33" i="8" s="1"/>
  <c r="E34" i="8"/>
  <c r="F8" i="5"/>
  <c r="G8" i="5"/>
  <c r="G18" i="5" s="1"/>
  <c r="G12" i="6"/>
  <c r="G17" i="6" s="1"/>
  <c r="G19" i="6" s="1"/>
  <c r="D7" i="8" s="1"/>
  <c r="H12" i="6"/>
  <c r="H17" i="6" s="1"/>
  <c r="H19" i="6" s="1"/>
  <c r="E7" i="8" s="1"/>
  <c r="E10" i="8" s="1"/>
  <c r="F18" i="5"/>
  <c r="H24" i="5"/>
  <c r="E13" i="1"/>
  <c r="H10" i="5"/>
  <c r="K8" i="4"/>
  <c r="K10" i="4" s="1"/>
  <c r="K12" i="4" s="1"/>
  <c r="L7" i="4"/>
  <c r="H12" i="5" l="1"/>
  <c r="H17" i="5" s="1"/>
  <c r="I28" i="6"/>
  <c r="I30" i="6" s="1"/>
  <c r="F30" i="8"/>
  <c r="F26" i="8"/>
  <c r="G13" i="4"/>
  <c r="G15" i="4" s="1"/>
  <c r="D8" i="8"/>
  <c r="E8" i="8" s="1"/>
  <c r="D10" i="8"/>
  <c r="H33" i="6"/>
  <c r="G33" i="6"/>
  <c r="I24" i="5"/>
  <c r="E14" i="1"/>
  <c r="F29" i="8" s="1"/>
  <c r="L8" i="4"/>
  <c r="L10" i="4" s="1"/>
  <c r="L12" i="4" s="1"/>
  <c r="M7" i="4"/>
  <c r="F31" i="8" l="1"/>
  <c r="G18" i="4"/>
  <c r="I7" i="6"/>
  <c r="I12" i="6" s="1"/>
  <c r="I17" i="6" s="1"/>
  <c r="I19" i="6" s="1"/>
  <c r="F7" i="8" s="1"/>
  <c r="F10" i="8" s="1"/>
  <c r="G34" i="6"/>
  <c r="H32" i="6" s="1"/>
  <c r="H34" i="6" s="1"/>
  <c r="F29" i="5"/>
  <c r="J24" i="5"/>
  <c r="F11" i="1"/>
  <c r="N7" i="4"/>
  <c r="M8" i="4"/>
  <c r="M10" i="4" s="1"/>
  <c r="M12" i="4" s="1"/>
  <c r="F8" i="8" l="1"/>
  <c r="F24" i="8"/>
  <c r="H8" i="5"/>
  <c r="H18" i="5" s="1"/>
  <c r="I33" i="6"/>
  <c r="I34" i="6" s="1"/>
  <c r="J32" i="6" s="1"/>
  <c r="I32" i="6"/>
  <c r="G29" i="5"/>
  <c r="G30" i="5" s="1"/>
  <c r="G31" i="5" s="1"/>
  <c r="G33" i="5" s="1"/>
  <c r="G34" i="5" s="1"/>
  <c r="K24" i="5"/>
  <c r="I10" i="5"/>
  <c r="F13" i="1"/>
  <c r="O7" i="4"/>
  <c r="N8" i="4"/>
  <c r="N10" i="4" s="1"/>
  <c r="N12" i="4" s="1"/>
  <c r="F34" i="8" l="1"/>
  <c r="F27" i="8"/>
  <c r="F33" i="8" s="1"/>
  <c r="G30" i="8"/>
  <c r="G26" i="8"/>
  <c r="H13" i="4"/>
  <c r="H15" i="4" s="1"/>
  <c r="I12" i="5"/>
  <c r="I17" i="5" s="1"/>
  <c r="J28" i="6"/>
  <c r="J30" i="6" s="1"/>
  <c r="H29" i="5"/>
  <c r="H30" i="5" s="1"/>
  <c r="H31" i="5" s="1"/>
  <c r="H33" i="5" s="1"/>
  <c r="H34" i="5" s="1"/>
  <c r="L24" i="5"/>
  <c r="L26" i="5" s="1"/>
  <c r="F14" i="1"/>
  <c r="G29" i="8" s="1"/>
  <c r="G31" i="8" s="1"/>
  <c r="P7" i="4"/>
  <c r="O8" i="4"/>
  <c r="O10" i="4" s="1"/>
  <c r="O12" i="4" s="1"/>
  <c r="H18" i="4" l="1"/>
  <c r="J7" i="6"/>
  <c r="J12" i="6" s="1"/>
  <c r="J17" i="6" s="1"/>
  <c r="J19" i="6" s="1"/>
  <c r="G7" i="8" s="1"/>
  <c r="G10" i="8" s="1"/>
  <c r="M24" i="5"/>
  <c r="M26" i="5" s="1"/>
  <c r="G11" i="1"/>
  <c r="Q7" i="4"/>
  <c r="P8" i="4"/>
  <c r="P10" i="4" s="1"/>
  <c r="P12" i="4" s="1"/>
  <c r="G8" i="8" l="1"/>
  <c r="J33" i="6"/>
  <c r="J34" i="6" s="1"/>
  <c r="I29" i="5" s="1"/>
  <c r="I30" i="5" s="1"/>
  <c r="I31" i="5" s="1"/>
  <c r="G24" i="8"/>
  <c r="I8" i="5"/>
  <c r="I18" i="5" s="1"/>
  <c r="N24" i="5"/>
  <c r="N26" i="5" s="1"/>
  <c r="G13" i="1"/>
  <c r="J10" i="5"/>
  <c r="R7" i="4"/>
  <c r="Q8" i="4"/>
  <c r="Q10" i="4" s="1"/>
  <c r="Q12" i="4" s="1"/>
  <c r="I33" i="5" l="1"/>
  <c r="I34" i="5" s="1"/>
  <c r="K32" i="6"/>
  <c r="J12" i="5"/>
  <c r="J17" i="5" s="1"/>
  <c r="K28" i="6"/>
  <c r="K30" i="6" s="1"/>
  <c r="H26" i="8"/>
  <c r="H30" i="8"/>
  <c r="I13" i="4"/>
  <c r="I15" i="4" s="1"/>
  <c r="G27" i="8"/>
  <c r="G33" i="8" s="1"/>
  <c r="G34" i="8"/>
  <c r="O24" i="5"/>
  <c r="O26" i="5" s="1"/>
  <c r="G14" i="1"/>
  <c r="H29" i="8" s="1"/>
  <c r="S7" i="4"/>
  <c r="R8" i="4"/>
  <c r="R10" i="4" s="1"/>
  <c r="R12" i="4" s="1"/>
  <c r="H31" i="8" l="1"/>
  <c r="K7" i="6"/>
  <c r="K12" i="6" s="1"/>
  <c r="K17" i="6" s="1"/>
  <c r="K19" i="6" s="1"/>
  <c r="H7" i="8" s="1"/>
  <c r="H10" i="8" s="1"/>
  <c r="I18" i="4"/>
  <c r="P24" i="5"/>
  <c r="P26" i="5" s="1"/>
  <c r="H11" i="1"/>
  <c r="T7" i="4"/>
  <c r="S8" i="4"/>
  <c r="S10" i="4" s="1"/>
  <c r="S12" i="4" s="1"/>
  <c r="H8" i="8" l="1"/>
  <c r="K33" i="6"/>
  <c r="K34" i="6" s="1"/>
  <c r="J29" i="5" s="1"/>
  <c r="J30" i="5" s="1"/>
  <c r="J31" i="5" s="1"/>
  <c r="H24" i="8"/>
  <c r="J8" i="5"/>
  <c r="J18" i="5" s="1"/>
  <c r="Q24" i="5"/>
  <c r="Q26" i="5" s="1"/>
  <c r="K10" i="5"/>
  <c r="H13" i="1"/>
  <c r="U7" i="4"/>
  <c r="T8" i="4"/>
  <c r="T10" i="4" s="1"/>
  <c r="T12" i="4" s="1"/>
  <c r="J33" i="5" l="1"/>
  <c r="J34" i="5" s="1"/>
  <c r="L32" i="6"/>
  <c r="K12" i="5"/>
  <c r="K17" i="5" s="1"/>
  <c r="L28" i="6"/>
  <c r="L30" i="6" s="1"/>
  <c r="I30" i="8"/>
  <c r="I26" i="8"/>
  <c r="J13" i="4"/>
  <c r="J15" i="4" s="1"/>
  <c r="H27" i="8"/>
  <c r="H33" i="8" s="1"/>
  <c r="H34" i="8"/>
  <c r="R24" i="5"/>
  <c r="R26" i="5" s="1"/>
  <c r="H14" i="1"/>
  <c r="I29" i="8" s="1"/>
  <c r="V7" i="4"/>
  <c r="U8" i="4"/>
  <c r="U10" i="4" s="1"/>
  <c r="U12" i="4" s="1"/>
  <c r="U15" i="4" s="1"/>
  <c r="I31" i="8" l="1"/>
  <c r="J18" i="4"/>
  <c r="L7" i="6"/>
  <c r="L12" i="6" s="1"/>
  <c r="L17" i="6" s="1"/>
  <c r="L19" i="6" s="1"/>
  <c r="I7" i="8" s="1"/>
  <c r="I10" i="8" s="1"/>
  <c r="S24" i="5"/>
  <c r="S26" i="5" s="1"/>
  <c r="I11" i="1"/>
  <c r="U16" i="4"/>
  <c r="W18" i="6" s="1"/>
  <c r="W7" i="6"/>
  <c r="W7" i="4"/>
  <c r="V8" i="4"/>
  <c r="V10" i="4" s="1"/>
  <c r="V12" i="4" s="1"/>
  <c r="V15" i="4" s="1"/>
  <c r="X7" i="6" s="1"/>
  <c r="I8" i="8" l="1"/>
  <c r="L33" i="6"/>
  <c r="L34" i="6" s="1"/>
  <c r="K29" i="5" s="1"/>
  <c r="K30" i="5" s="1"/>
  <c r="K31" i="5" s="1"/>
  <c r="I24" i="8"/>
  <c r="K8" i="5"/>
  <c r="K18" i="5" s="1"/>
  <c r="X12" i="6"/>
  <c r="X17" i="6" s="1"/>
  <c r="W12" i="6"/>
  <c r="W17" i="6" s="1"/>
  <c r="M32" i="6"/>
  <c r="T24" i="5"/>
  <c r="T26" i="5" s="1"/>
  <c r="I13" i="1"/>
  <c r="L10" i="5"/>
  <c r="U18" i="4"/>
  <c r="V16" i="4"/>
  <c r="X18" i="6" s="1"/>
  <c r="X7" i="4"/>
  <c r="W8" i="4"/>
  <c r="W10" i="4" s="1"/>
  <c r="W12" i="4" s="1"/>
  <c r="W15" i="4" s="1"/>
  <c r="Y7" i="6" s="1"/>
  <c r="K33" i="5" l="1"/>
  <c r="K34" i="5" s="1"/>
  <c r="L12" i="5"/>
  <c r="L17" i="5" s="1"/>
  <c r="M28" i="6"/>
  <c r="M30" i="6" s="1"/>
  <c r="J30" i="8"/>
  <c r="J26" i="8"/>
  <c r="K13" i="4"/>
  <c r="K15" i="4" s="1"/>
  <c r="I27" i="8"/>
  <c r="I33" i="8" s="1"/>
  <c r="I34" i="8"/>
  <c r="X19" i="6"/>
  <c r="U7" i="8" s="1"/>
  <c r="U10" i="8" s="1"/>
  <c r="Y12" i="6"/>
  <c r="Y17" i="6" s="1"/>
  <c r="U24" i="5"/>
  <c r="U26" i="5" s="1"/>
  <c r="I14" i="1"/>
  <c r="J29" i="8" s="1"/>
  <c r="J31" i="8" s="1"/>
  <c r="V18" i="4"/>
  <c r="W16" i="4"/>
  <c r="Y18" i="6" s="1"/>
  <c r="Y7" i="4"/>
  <c r="X8" i="4"/>
  <c r="X10" i="4" s="1"/>
  <c r="X12" i="4" s="1"/>
  <c r="X15" i="4" s="1"/>
  <c r="Z7" i="6" s="1"/>
  <c r="M7" i="6" l="1"/>
  <c r="M12" i="6" s="1"/>
  <c r="M17" i="6" s="1"/>
  <c r="M19" i="6" s="1"/>
  <c r="J7" i="8" s="1"/>
  <c r="J10" i="8" s="1"/>
  <c r="K18" i="4"/>
  <c r="Y19" i="6"/>
  <c r="V7" i="8" s="1"/>
  <c r="V10" i="8" s="1"/>
  <c r="Z12" i="6"/>
  <c r="Z17" i="6" s="1"/>
  <c r="V24" i="5"/>
  <c r="V26" i="5" s="1"/>
  <c r="J11" i="1"/>
  <c r="W18" i="4"/>
  <c r="X16" i="4"/>
  <c r="Z18" i="6" s="1"/>
  <c r="Z7" i="4"/>
  <c r="Y8" i="4"/>
  <c r="Y10" i="4" s="1"/>
  <c r="Y12" i="4" s="1"/>
  <c r="Y15" i="4" s="1"/>
  <c r="M33" i="6" l="1"/>
  <c r="M34" i="6" s="1"/>
  <c r="L29" i="5" s="1"/>
  <c r="L30" i="5" s="1"/>
  <c r="L31" i="5" s="1"/>
  <c r="J8" i="8"/>
  <c r="L8" i="5"/>
  <c r="L18" i="5" s="1"/>
  <c r="J24" i="8"/>
  <c r="Z19" i="6"/>
  <c r="W7" i="8" s="1"/>
  <c r="W10" i="8" s="1"/>
  <c r="N32" i="6"/>
  <c r="X33" i="6"/>
  <c r="W24" i="5"/>
  <c r="W26" i="5" s="1"/>
  <c r="M10" i="5"/>
  <c r="J13" i="1"/>
  <c r="X18" i="4"/>
  <c r="Y16" i="4"/>
  <c r="AA18" i="6" s="1"/>
  <c r="AA7" i="6"/>
  <c r="Z8" i="4"/>
  <c r="Z10" i="4" s="1"/>
  <c r="Z12" i="4" s="1"/>
  <c r="Z15" i="4" s="1"/>
  <c r="AB7" i="6" s="1"/>
  <c r="AA7" i="4"/>
  <c r="L33" i="5" l="1"/>
  <c r="L34" i="5" s="1"/>
  <c r="J34" i="8"/>
  <c r="J27" i="8"/>
  <c r="K30" i="8"/>
  <c r="K26" i="8"/>
  <c r="L13" i="4"/>
  <c r="L15" i="4" s="1"/>
  <c r="M12" i="5"/>
  <c r="M17" i="5" s="1"/>
  <c r="N28" i="6"/>
  <c r="N30" i="6" s="1"/>
  <c r="AB12" i="6"/>
  <c r="AB17" i="6" s="1"/>
  <c r="AA12" i="6"/>
  <c r="AA17" i="6" s="1"/>
  <c r="AA19" i="6" s="1"/>
  <c r="X7" i="8" s="1"/>
  <c r="X10" i="8" s="1"/>
  <c r="Y33" i="6"/>
  <c r="X24" i="5"/>
  <c r="X26" i="5" s="1"/>
  <c r="J14" i="1"/>
  <c r="K29" i="8" s="1"/>
  <c r="Y18" i="4"/>
  <c r="AB7" i="4"/>
  <c r="AA8" i="4"/>
  <c r="AA10" i="4" s="1"/>
  <c r="AA12" i="4" s="1"/>
  <c r="AA15" i="4" s="1"/>
  <c r="AC7" i="6" s="1"/>
  <c r="Z16" i="4"/>
  <c r="AB18" i="6" s="1"/>
  <c r="J33" i="8" l="1"/>
  <c r="K31" i="8"/>
  <c r="L18" i="4"/>
  <c r="N7" i="6"/>
  <c r="N12" i="6" s="1"/>
  <c r="N17" i="6" s="1"/>
  <c r="N19" i="6" s="1"/>
  <c r="K7" i="8" s="1"/>
  <c r="K8" i="8" s="1"/>
  <c r="AB19" i="6"/>
  <c r="Y7" i="8" s="1"/>
  <c r="Y10" i="8" s="1"/>
  <c r="AC12" i="6"/>
  <c r="AC17" i="6" s="1"/>
  <c r="Z33" i="6"/>
  <c r="Y24" i="5"/>
  <c r="Y26" i="5" s="1"/>
  <c r="K11" i="1"/>
  <c r="Z18" i="4"/>
  <c r="AA16" i="4"/>
  <c r="AC18" i="6" s="1"/>
  <c r="AC7" i="4"/>
  <c r="AC8" i="4" s="1"/>
  <c r="AC10" i="4" s="1"/>
  <c r="AC12" i="4" s="1"/>
  <c r="AC15" i="4" s="1"/>
  <c r="AB8" i="4"/>
  <c r="AB10" i="4" s="1"/>
  <c r="AB12" i="4" s="1"/>
  <c r="AB15" i="4" s="1"/>
  <c r="AD7" i="6" s="1"/>
  <c r="K10" i="8" l="1"/>
  <c r="N33" i="6"/>
  <c r="N34" i="6" s="1"/>
  <c r="M29" i="5" s="1"/>
  <c r="M30" i="5" s="1"/>
  <c r="M31" i="5" s="1"/>
  <c r="K24" i="8"/>
  <c r="M8" i="5"/>
  <c r="M18" i="5" s="1"/>
  <c r="AC19" i="6"/>
  <c r="Z7" i="8" s="1"/>
  <c r="Z10" i="8" s="1"/>
  <c r="AD12" i="6"/>
  <c r="AD17" i="6" s="1"/>
  <c r="AA33" i="6"/>
  <c r="Z24" i="5"/>
  <c r="Z26" i="5" s="1"/>
  <c r="N10" i="5"/>
  <c r="K13" i="1"/>
  <c r="AC16" i="4"/>
  <c r="AE7" i="6"/>
  <c r="AA18" i="4"/>
  <c r="AB16" i="4"/>
  <c r="AD18" i="6" s="1"/>
  <c r="F30" i="5"/>
  <c r="F31" i="5" s="1"/>
  <c r="F33" i="5" s="1"/>
  <c r="F34" i="5" s="1"/>
  <c r="M33" i="5" l="1"/>
  <c r="M34" i="5" s="1"/>
  <c r="O32" i="6"/>
  <c r="L26" i="8"/>
  <c r="L30" i="8"/>
  <c r="M13" i="4"/>
  <c r="M15" i="4" s="1"/>
  <c r="N12" i="5"/>
  <c r="N17" i="5" s="1"/>
  <c r="O28" i="6"/>
  <c r="O30" i="6" s="1"/>
  <c r="K27" i="8"/>
  <c r="K34" i="8"/>
  <c r="AD19" i="6"/>
  <c r="AA7" i="8" s="1"/>
  <c r="AA10" i="8" s="1"/>
  <c r="AC18" i="4"/>
  <c r="AE18" i="6"/>
  <c r="AE12" i="6"/>
  <c r="AE17" i="6" s="1"/>
  <c r="AB33" i="6"/>
  <c r="AA24" i="5"/>
  <c r="AA26" i="5" s="1"/>
  <c r="K14" i="1"/>
  <c r="L29" i="8" s="1"/>
  <c r="L31" i="8" s="1"/>
  <c r="AB18" i="4"/>
  <c r="K33" i="8" l="1"/>
  <c r="O7" i="6"/>
  <c r="O12" i="6" s="1"/>
  <c r="O17" i="6" s="1"/>
  <c r="O19" i="6" s="1"/>
  <c r="L7" i="8" s="1"/>
  <c r="L10" i="8" s="1"/>
  <c r="M18" i="4"/>
  <c r="AE19" i="6"/>
  <c r="AB7" i="8" s="1"/>
  <c r="AC33" i="6"/>
  <c r="AB24" i="5"/>
  <c r="AB26" i="5" s="1"/>
  <c r="L11" i="1"/>
  <c r="O33" i="6" l="1"/>
  <c r="O34" i="6" s="1"/>
  <c r="N29" i="5" s="1"/>
  <c r="L24" i="8"/>
  <c r="N24" i="8" s="1"/>
  <c r="N34" i="8" s="1"/>
  <c r="N8" i="5"/>
  <c r="N18" i="5" s="1"/>
  <c r="L8" i="8"/>
  <c r="AB10" i="8"/>
  <c r="N30" i="5"/>
  <c r="N31" i="5" s="1"/>
  <c r="P32" i="6"/>
  <c r="AD33" i="6"/>
  <c r="AE33" i="6"/>
  <c r="AC24" i="5"/>
  <c r="AC26" i="5" s="1"/>
  <c r="L13" i="1"/>
  <c r="O10" i="5"/>
  <c r="N33" i="5" l="1"/>
  <c r="N34" i="5" s="1"/>
  <c r="M30" i="8"/>
  <c r="M26" i="8"/>
  <c r="N13" i="4"/>
  <c r="N15" i="4" s="1"/>
  <c r="O12" i="5"/>
  <c r="O17" i="5" s="1"/>
  <c r="P28" i="6"/>
  <c r="P30" i="6" s="1"/>
  <c r="L27" i="8"/>
  <c r="L34" i="8"/>
  <c r="AD24" i="5"/>
  <c r="AD26" i="5" s="1"/>
  <c r="L14" i="1"/>
  <c r="L33" i="8" l="1"/>
  <c r="N27" i="8"/>
  <c r="N33" i="8" s="1"/>
  <c r="M29" i="8"/>
  <c r="M31" i="8" s="1"/>
  <c r="M11" i="1"/>
  <c r="P7" i="6"/>
  <c r="P12" i="6" s="1"/>
  <c r="P17" i="6" s="1"/>
  <c r="P19" i="6" s="1"/>
  <c r="M7" i="8" s="1"/>
  <c r="M10" i="8" s="1"/>
  <c r="N18" i="4"/>
  <c r="M8" i="8" l="1"/>
  <c r="P33" i="6"/>
  <c r="P34" i="6" s="1"/>
  <c r="O29" i="5" s="1"/>
  <c r="O30" i="5" s="1"/>
  <c r="O31" i="5" s="1"/>
  <c r="M24" i="8"/>
  <c r="O8" i="5"/>
  <c r="O18" i="5" s="1"/>
  <c r="P10" i="5"/>
  <c r="O33" i="5" l="1"/>
  <c r="O34" i="5" s="1"/>
  <c r="Q32" i="6"/>
  <c r="M27" i="8"/>
  <c r="M33" i="8" s="1"/>
  <c r="M34" i="8"/>
  <c r="P12" i="5"/>
  <c r="P17" i="5" s="1"/>
  <c r="Q28" i="6"/>
  <c r="Q30" i="6" s="1"/>
  <c r="O13" i="4"/>
  <c r="O15" i="4" s="1"/>
  <c r="Q7" i="6" l="1"/>
  <c r="Q12" i="6" s="1"/>
  <c r="Q17" i="6" s="1"/>
  <c r="O16" i="4"/>
  <c r="Q18" i="6" s="1"/>
  <c r="Q19" i="6" l="1"/>
  <c r="N7" i="8" s="1"/>
  <c r="O18" i="4"/>
  <c r="Q10" i="5"/>
  <c r="Q33" i="6" l="1"/>
  <c r="Q34" i="6" s="1"/>
  <c r="P29" i="5" s="1"/>
  <c r="P30" i="5" s="1"/>
  <c r="P31" i="5" s="1"/>
  <c r="P13" i="4"/>
  <c r="P15" i="4" s="1"/>
  <c r="P8" i="5"/>
  <c r="P18" i="5" s="1"/>
  <c r="Q12" i="5"/>
  <c r="Q17" i="5" s="1"/>
  <c r="R28" i="6"/>
  <c r="R30" i="6" s="1"/>
  <c r="N10" i="8"/>
  <c r="N8" i="8"/>
  <c r="C13" i="8"/>
  <c r="R32" i="6" l="1"/>
  <c r="P33" i="5"/>
  <c r="P34" i="5" s="1"/>
  <c r="R7" i="6"/>
  <c r="R12" i="6" s="1"/>
  <c r="R17" i="6" s="1"/>
  <c r="P16" i="4"/>
  <c r="R18" i="6" s="1"/>
  <c r="R19" i="6" l="1"/>
  <c r="O7" i="8" s="1"/>
  <c r="O8" i="8" s="1"/>
  <c r="O10" i="8"/>
  <c r="P18" i="4"/>
  <c r="R33" i="6"/>
  <c r="R34" i="6" s="1"/>
  <c r="Q29" i="5" s="1"/>
  <c r="R10" i="5"/>
  <c r="Q13" i="4" l="1"/>
  <c r="Q15" i="4" s="1"/>
  <c r="R12" i="5"/>
  <c r="R17" i="5" s="1"/>
  <c r="S28" i="6"/>
  <c r="S30" i="6" s="1"/>
  <c r="Q8" i="5"/>
  <c r="Q18" i="5" s="1"/>
  <c r="Q30" i="5"/>
  <c r="Q31" i="5" s="1"/>
  <c r="S32" i="6"/>
  <c r="Q33" i="5" l="1"/>
  <c r="Q34" i="5" s="1"/>
  <c r="Q16" i="4"/>
  <c r="S7" i="6"/>
  <c r="S12" i="6" s="1"/>
  <c r="S17" i="6" s="1"/>
  <c r="S18" i="6" l="1"/>
  <c r="S19" i="6" s="1"/>
  <c r="Q18" i="4"/>
  <c r="S10" i="5"/>
  <c r="P7" i="8" l="1"/>
  <c r="S33" i="6"/>
  <c r="S34" i="6" s="1"/>
  <c r="R29" i="5" s="1"/>
  <c r="R30" i="5" s="1"/>
  <c r="R31" i="5" s="1"/>
  <c r="R13" i="4"/>
  <c r="R15" i="4" s="1"/>
  <c r="R8" i="5"/>
  <c r="R18" i="5" s="1"/>
  <c r="S12" i="5"/>
  <c r="S17" i="5" s="1"/>
  <c r="T28" i="6"/>
  <c r="T30" i="6" s="1"/>
  <c r="T32" i="6"/>
  <c r="R33" i="5" l="1"/>
  <c r="R34" i="5" s="1"/>
  <c r="T7" i="6"/>
  <c r="T12" i="6" s="1"/>
  <c r="T17" i="6" s="1"/>
  <c r="R16" i="4"/>
  <c r="P10" i="8"/>
  <c r="P8" i="8"/>
  <c r="T18" i="6" l="1"/>
  <c r="R18" i="4"/>
  <c r="T19" i="6"/>
  <c r="Q7" i="8" s="1"/>
  <c r="T33" i="6"/>
  <c r="T34" i="6" s="1"/>
  <c r="S29" i="5" s="1"/>
  <c r="T10" i="5"/>
  <c r="Q10" i="8" l="1"/>
  <c r="Q8" i="8"/>
  <c r="S8" i="5"/>
  <c r="S18" i="5" s="1"/>
  <c r="S13" i="4"/>
  <c r="S15" i="4" s="1"/>
  <c r="T12" i="5"/>
  <c r="T17" i="5" s="1"/>
  <c r="U28" i="6"/>
  <c r="U30" i="6" s="1"/>
  <c r="S30" i="5"/>
  <c r="S31" i="5" s="1"/>
  <c r="U32" i="6"/>
  <c r="S33" i="5" l="1"/>
  <c r="S34" i="5" s="1"/>
  <c r="S16" i="4"/>
  <c r="U18" i="6" s="1"/>
  <c r="U7" i="6"/>
  <c r="U12" i="6" s="1"/>
  <c r="U17" i="6" s="1"/>
  <c r="T15" i="4"/>
  <c r="U10" i="5"/>
  <c r="S18" i="4" l="1"/>
  <c r="T8" i="5"/>
  <c r="T18" i="5" s="1"/>
  <c r="U19" i="6"/>
  <c r="R7" i="8" s="1"/>
  <c r="U12" i="5"/>
  <c r="U17" i="5" s="1"/>
  <c r="V28" i="6"/>
  <c r="V30" i="6" s="1"/>
  <c r="W28" i="6"/>
  <c r="W30" i="6" s="1"/>
  <c r="U33" i="6"/>
  <c r="U34" i="6" s="1"/>
  <c r="T29" i="5" s="1"/>
  <c r="V7" i="6"/>
  <c r="T16" i="4"/>
  <c r="R10" i="8" l="1"/>
  <c r="R8" i="8"/>
  <c r="W19" i="6"/>
  <c r="T7" i="8" s="1"/>
  <c r="V18" i="6"/>
  <c r="V12" i="6"/>
  <c r="V17" i="6" s="1"/>
  <c r="V19" i="6" s="1"/>
  <c r="S7" i="8" s="1"/>
  <c r="T30" i="5"/>
  <c r="T31" i="5" s="1"/>
  <c r="T33" i="5" s="1"/>
  <c r="T34" i="5" s="1"/>
  <c r="V32" i="6"/>
  <c r="T18" i="4"/>
  <c r="C17" i="8" l="1"/>
  <c r="C20" i="8"/>
  <c r="S10" i="8"/>
  <c r="S8" i="8"/>
  <c r="T8" i="8" s="1"/>
  <c r="U8" i="8" s="1"/>
  <c r="V8" i="8" s="1"/>
  <c r="W8" i="8" s="1"/>
  <c r="X8" i="8" s="1"/>
  <c r="Y8" i="8" s="1"/>
  <c r="Z8" i="8" s="1"/>
  <c r="AA8" i="8" s="1"/>
  <c r="AB8" i="8" s="1"/>
  <c r="T10" i="8"/>
  <c r="U8" i="5"/>
  <c r="U18" i="5" s="1"/>
  <c r="W8" i="5"/>
  <c r="W18" i="5" s="1"/>
  <c r="X8" i="5"/>
  <c r="X18" i="5" s="1"/>
  <c r="V8" i="5"/>
  <c r="V18" i="5" s="1"/>
  <c r="Y8" i="5"/>
  <c r="Y18" i="5" s="1"/>
  <c r="AA8" i="5"/>
  <c r="AA18" i="5" s="1"/>
  <c r="Z8" i="5"/>
  <c r="Z18" i="5" s="1"/>
  <c r="AD8" i="5"/>
  <c r="AD18" i="5" s="1"/>
  <c r="AB8" i="5"/>
  <c r="AB18" i="5" s="1"/>
  <c r="AC8" i="5"/>
  <c r="AC18" i="5" s="1"/>
  <c r="W33" i="6" l="1"/>
  <c r="V33" i="6"/>
  <c r="V34" i="6" s="1"/>
  <c r="U29" i="5" s="1"/>
  <c r="U30" i="5" l="1"/>
  <c r="U31" i="5" s="1"/>
  <c r="U33" i="5" s="1"/>
  <c r="U34" i="5" s="1"/>
  <c r="W32" i="6"/>
  <c r="W34" i="6" s="1"/>
  <c r="X32" i="6" l="1"/>
  <c r="X34" i="6" s="1"/>
  <c r="W29" i="5" s="1"/>
  <c r="W30" i="5" s="1"/>
  <c r="W31" i="5" s="1"/>
  <c r="W33" i="5" s="1"/>
  <c r="W34" i="5" s="1"/>
  <c r="V29" i="5"/>
  <c r="V30" i="5" s="1"/>
  <c r="V31" i="5" s="1"/>
  <c r="V33" i="5" s="1"/>
  <c r="V34" i="5" s="1"/>
  <c r="Y32" i="6" l="1"/>
  <c r="Y34" i="6" s="1"/>
  <c r="X29" i="5" s="1"/>
  <c r="Z32" i="6"/>
  <c r="Z34" i="6" s="1"/>
  <c r="Y29" i="5" s="1"/>
  <c r="X30" i="5"/>
  <c r="X31" i="5" s="1"/>
  <c r="X33" i="5" s="1"/>
  <c r="X34" i="5" s="1"/>
  <c r="AA32" i="6" l="1"/>
  <c r="AA34" i="6" s="1"/>
  <c r="Z29" i="5" s="1"/>
  <c r="Y30" i="5"/>
  <c r="Y31" i="5" s="1"/>
  <c r="Y33" i="5" s="1"/>
  <c r="Y34" i="5" s="1"/>
  <c r="AB32" i="6" l="1"/>
  <c r="AB34" i="6" s="1"/>
  <c r="AA29" i="5" s="1"/>
  <c r="Z30" i="5"/>
  <c r="Z31" i="5" s="1"/>
  <c r="Z33" i="5" s="1"/>
  <c r="Z34" i="5" s="1"/>
  <c r="AC32" i="6" l="1"/>
  <c r="AC34" i="6" s="1"/>
  <c r="AB29" i="5" s="1"/>
  <c r="AA30" i="5"/>
  <c r="AA31" i="5" s="1"/>
  <c r="AA33" i="5" s="1"/>
  <c r="AA34" i="5" s="1"/>
  <c r="AD32" i="6" l="1"/>
  <c r="AD34" i="6" s="1"/>
  <c r="AC29" i="5" s="1"/>
  <c r="AB30" i="5"/>
  <c r="AB31" i="5" s="1"/>
  <c r="AB33" i="5" s="1"/>
  <c r="AB34" i="5" s="1"/>
  <c r="AE32" i="6" l="1"/>
  <c r="AE34" i="6" s="1"/>
  <c r="AC30" i="5"/>
  <c r="AC31" i="5" s="1"/>
  <c r="AC33" i="5" s="1"/>
  <c r="AC34" i="5" s="1"/>
  <c r="AD29" i="5" l="1"/>
  <c r="AD30" i="5" s="1"/>
  <c r="AD31" i="5" s="1"/>
  <c r="AD33" i="5" s="1"/>
  <c r="AD34" i="5" s="1"/>
</calcChain>
</file>

<file path=xl/sharedStrings.xml><?xml version="1.0" encoding="utf-8"?>
<sst xmlns="http://schemas.openxmlformats.org/spreadsheetml/2006/main" count="228" uniqueCount="181">
  <si>
    <t>Loan amount</t>
  </si>
  <si>
    <t>Interest</t>
  </si>
  <si>
    <t>Loan from banks - Amortisation/Repayment Schedule</t>
  </si>
  <si>
    <t>1 MW Solar Power Plant Model</t>
  </si>
  <si>
    <t>Location</t>
  </si>
  <si>
    <t>Number of Sun days</t>
  </si>
  <si>
    <t>Generation depreciation factor (up to 10 years)</t>
  </si>
  <si>
    <t>Generation depreciation factor (above 10 years)</t>
  </si>
  <si>
    <t>Cost of Land per acre</t>
  </si>
  <si>
    <t>Tax Rate</t>
  </si>
  <si>
    <t>Construction period (in days)</t>
  </si>
  <si>
    <t>Bank Interest Rate on Loan</t>
  </si>
  <si>
    <t>Land per MW Plant (in acres)</t>
  </si>
  <si>
    <t>Equity Contribution</t>
  </si>
  <si>
    <t>Term Loan</t>
  </si>
  <si>
    <t>General Assumptions</t>
  </si>
  <si>
    <t>Finance Assumptions</t>
  </si>
  <si>
    <t>Loan Moratorium Period</t>
  </si>
  <si>
    <t>Operations Assumptions</t>
  </si>
  <si>
    <t>OpEx</t>
  </si>
  <si>
    <t>(Assuming Operating expenses to be constantly increasing by 5% each year till the project period)</t>
  </si>
  <si>
    <t>Increase in OpEx per year</t>
  </si>
  <si>
    <t>Other Assumptions</t>
  </si>
  <si>
    <t>No subsidy is considered form Govt.</t>
  </si>
  <si>
    <t>Project Size (in MW)</t>
  </si>
  <si>
    <t>Insurance</t>
  </si>
  <si>
    <t>in lakhs</t>
  </si>
  <si>
    <t>PV Modules - Supply, Installation and Commisioning</t>
  </si>
  <si>
    <t>Civil Structures</t>
  </si>
  <si>
    <t>Land</t>
  </si>
  <si>
    <t>Inverters - Supply, Installation and Commisioning</t>
  </si>
  <si>
    <t>Transformers - Supply, Installation and Commisioning</t>
  </si>
  <si>
    <t>Wires and cables and associated Civil work</t>
  </si>
  <si>
    <t>EPC Cost</t>
  </si>
  <si>
    <t>Legal and Paperworks</t>
  </si>
  <si>
    <t>Miscellaneous</t>
  </si>
  <si>
    <t>Total Cost</t>
  </si>
  <si>
    <t>Particulars</t>
  </si>
  <si>
    <t>%-age of Total</t>
  </si>
  <si>
    <t>SCADA Systems, Other displays and protective equipments</t>
  </si>
  <si>
    <t>Balance Sheet - Projected for next 25 years of project life</t>
  </si>
  <si>
    <t>Equity and Liabilities</t>
  </si>
  <si>
    <t>Share Capital</t>
  </si>
  <si>
    <t>Long-Term Borrowings</t>
  </si>
  <si>
    <t>Other Non-current Liabilities</t>
  </si>
  <si>
    <t>Short-Term Borrowings</t>
  </si>
  <si>
    <t>Total Non-Current Liabilities</t>
  </si>
  <si>
    <t>Total Current Liabilities</t>
  </si>
  <si>
    <t>Total Liabilities</t>
  </si>
  <si>
    <t>Assets</t>
  </si>
  <si>
    <t xml:space="preserve">Depreciation as per IT Act – WDV </t>
  </si>
  <si>
    <t>Discount Rate</t>
  </si>
  <si>
    <t>Profit and Loss Statement - Projected for next 25 years of project life</t>
  </si>
  <si>
    <t>Revenue</t>
  </si>
  <si>
    <t>Total Operating expense</t>
  </si>
  <si>
    <t>Gross profit</t>
  </si>
  <si>
    <t>Years</t>
  </si>
  <si>
    <t>Total Non-Operating expense</t>
  </si>
  <si>
    <t>Salaries/Wages paid</t>
  </si>
  <si>
    <t>Operating Profit</t>
  </si>
  <si>
    <t>Interest paid on loan</t>
  </si>
  <si>
    <t>EBITDA</t>
  </si>
  <si>
    <t>Depreciation</t>
  </si>
  <si>
    <t>Profit Before Tax (PBT)</t>
  </si>
  <si>
    <t>Tax Holidays (in years)</t>
  </si>
  <si>
    <t>(Considering average of 6 hour sunlight per day per year in India)</t>
  </si>
  <si>
    <t>Per day Output (Units-kWh)</t>
  </si>
  <si>
    <t>Total Annual Output (generation in MWh)</t>
  </si>
  <si>
    <t>Generation (MWh/year)</t>
  </si>
  <si>
    <t>Power Tariff per kWh</t>
  </si>
  <si>
    <t>Profit After Tax (PAT)</t>
  </si>
  <si>
    <t>(As per Govt., year of tax rebate after start of operations)</t>
  </si>
  <si>
    <t>Depreciation on PV Modules</t>
  </si>
  <si>
    <t>Depreciation on fixed assets (WDV Method used)</t>
  </si>
  <si>
    <t>Initial Cost</t>
  </si>
  <si>
    <t>Salavage Value</t>
  </si>
  <si>
    <t>Project Period</t>
  </si>
  <si>
    <t>Project Period of Operations (in years)</t>
  </si>
  <si>
    <t>Project Construction End Date</t>
  </si>
  <si>
    <t>Project Construction Start Date</t>
  </si>
  <si>
    <t>Depreciation on Inverters</t>
  </si>
  <si>
    <t>*All costs in Lakhs</t>
  </si>
  <si>
    <t>Total Depreciation</t>
  </si>
  <si>
    <t>Non-Current Liabilities</t>
  </si>
  <si>
    <t>Shareholders Fund</t>
  </si>
  <si>
    <t>Reserves and Surplus</t>
  </si>
  <si>
    <t>Current Liabilities</t>
  </si>
  <si>
    <t>Trades Payable</t>
  </si>
  <si>
    <t>Plant and equipments</t>
  </si>
  <si>
    <t>Non-Current Assets</t>
  </si>
  <si>
    <t>Total Non-Current Assets</t>
  </si>
  <si>
    <t>Current Assets</t>
  </si>
  <si>
    <t>Trades Receivable</t>
  </si>
  <si>
    <t>Cash and Cash equivalent</t>
  </si>
  <si>
    <t>Total Current Assets</t>
  </si>
  <si>
    <t>Total Assets</t>
  </si>
  <si>
    <t>Balance Sheet Status</t>
  </si>
  <si>
    <t>Tenure (Years)</t>
  </si>
  <si>
    <t>EMI</t>
  </si>
  <si>
    <t>Principal Outstanding</t>
  </si>
  <si>
    <t>Year</t>
  </si>
  <si>
    <t>Loan amount principal after moratorium period</t>
  </si>
  <si>
    <t>Loan Tenure</t>
  </si>
  <si>
    <t>(after moratorium period interest)</t>
  </si>
  <si>
    <t>Total Equity and Liabilities</t>
  </si>
  <si>
    <t>Cash Flow from Operating Activity</t>
  </si>
  <si>
    <t>Cash Flow from Investing Activity</t>
  </si>
  <si>
    <t>Cash Flow from Financing Activity</t>
  </si>
  <si>
    <t>Opening Cash Balance</t>
  </si>
  <si>
    <t>+</t>
  </si>
  <si>
    <t>-</t>
  </si>
  <si>
    <t>Purchase of fixed assets</t>
  </si>
  <si>
    <t>Sale of fixed assets</t>
  </si>
  <si>
    <t>Depreciation and Amortisation</t>
  </si>
  <si>
    <t>Adjustment for:</t>
  </si>
  <si>
    <t>Loss on sale of fixed assets</t>
  </si>
  <si>
    <t>Net Profit before Tax (PBT)</t>
  </si>
  <si>
    <t>Operating Profit before working capital changes</t>
  </si>
  <si>
    <t>Profit on sale of fixed assets</t>
  </si>
  <si>
    <t>Increase in Current Assets</t>
  </si>
  <si>
    <t>Decrease in Current Assets</t>
  </si>
  <si>
    <t>Increase in Current Liabilities</t>
  </si>
  <si>
    <t>Decrease in Current Liabilities</t>
  </si>
  <si>
    <t>Cash generated from Operating Activity</t>
  </si>
  <si>
    <t xml:space="preserve"> </t>
  </si>
  <si>
    <t>Tax Paid</t>
  </si>
  <si>
    <t>Net Cash from/used in Operating Activity</t>
  </si>
  <si>
    <t>Net Cash from/used in Investing Activity</t>
  </si>
  <si>
    <t>Less: Accumulated Depreciation</t>
  </si>
  <si>
    <t>Net Cash from/used in Financing Activity</t>
  </si>
  <si>
    <t>(No extra charge assumption)</t>
  </si>
  <si>
    <t>Cash Flow Statement - Projected for next 25 years of project life</t>
  </si>
  <si>
    <t>Other Investments</t>
  </si>
  <si>
    <t>(Assumed to be for 10 years)</t>
  </si>
  <si>
    <t>Ficticious Assets</t>
  </si>
  <si>
    <t>1 year</t>
  </si>
  <si>
    <t>Net Increase or decrease in Cash and Cash equivalents</t>
  </si>
  <si>
    <t>Cash and Cash Equivalents</t>
  </si>
  <si>
    <t>Depreciation on Civil Structures, SCADA system, wires and cables and other protective items</t>
  </si>
  <si>
    <t>Increase in Long-term borrowings</t>
  </si>
  <si>
    <t>Increase in Share Capital</t>
  </si>
  <si>
    <t>Capital Budgeting Analysis of the project</t>
  </si>
  <si>
    <t>NPV</t>
  </si>
  <si>
    <t>Net Present Value (NPV)</t>
  </si>
  <si>
    <t>Initial Investment</t>
  </si>
  <si>
    <t>Cash Flows</t>
  </si>
  <si>
    <t>Payback Period</t>
  </si>
  <si>
    <t>Cummulative cash flow</t>
  </si>
  <si>
    <t>years</t>
  </si>
  <si>
    <t>PVF @ 10% Discount rate</t>
  </si>
  <si>
    <t>Year#</t>
  </si>
  <si>
    <t>Rate</t>
  </si>
  <si>
    <t>5000-7000</t>
  </si>
  <si>
    <t>(5000*365 to 6500*365 before losses)</t>
  </si>
  <si>
    <t>1800 to 2500</t>
  </si>
  <si>
    <t>Internal rate of return (IRR)</t>
  </si>
  <si>
    <t>IRR</t>
  </si>
  <si>
    <t>Debt Service Coverage Ratio (DSCR)</t>
  </si>
  <si>
    <t>Net Profit (PAT)</t>
  </si>
  <si>
    <t>Add: Depreciation</t>
  </si>
  <si>
    <t>Add: Interest on Loan</t>
  </si>
  <si>
    <t>Total Source</t>
  </si>
  <si>
    <t>Principal Payable</t>
  </si>
  <si>
    <t>Interest Payable</t>
  </si>
  <si>
    <t>Total Obligations</t>
  </si>
  <si>
    <t>Gross DSCR</t>
  </si>
  <si>
    <t>Net DSCR</t>
  </si>
  <si>
    <t>Total</t>
  </si>
  <si>
    <t>Titilagarh, Odisha</t>
  </si>
  <si>
    <t>Salvage Value of Civil Structures and wires and cables (%-age of initial cost)</t>
  </si>
  <si>
    <t>Salvage Value of Inverters and transformers (%-age of initial cost)</t>
  </si>
  <si>
    <t>Salvage Value of PV Modules (%-age of initial cost)</t>
  </si>
  <si>
    <t>Project Assumptions</t>
  </si>
  <si>
    <t>Debt - Loan Amortisation Sch</t>
  </si>
  <si>
    <t>Cost - Expenses</t>
  </si>
  <si>
    <t>P&amp;L Statement</t>
  </si>
  <si>
    <t>Balance Sheet</t>
  </si>
  <si>
    <t>Cash Flow Statement</t>
  </si>
  <si>
    <t>NPV, IRR, DSCR, PB</t>
  </si>
  <si>
    <t>Contents</t>
  </si>
  <si>
    <t>Back to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</si>
</sst>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₹&quot;\ #,##0.00;[Red]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₹&quot;\ #,##0"/>
    <numFmt numFmtId="165" formatCode="_ &quot;₹&quot;\ * #,##0_ ;_ &quot;₹&quot;\ * \-#,##0_ ;_ &quot;₹&quot;\ * &quot;-&quot;??_ ;_ @_ "/>
    <numFmt numFmtId="166" formatCode="&quot;₹&quot;\ #,##0.00"/>
    <numFmt numFmtId="167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8" fillId="4" borderId="7" applyNumberFormat="0" applyAlignment="0" applyProtection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64" fontId="4" fillId="0" borderId="1" xfId="1" applyNumberFormat="1" applyFont="1" applyBorder="1"/>
    <xf numFmtId="0" fontId="0" fillId="0" borderId="1" xfId="0" applyBorder="1"/>
    <xf numFmtId="164" fontId="0" fillId="0" borderId="1" xfId="1" applyNumberFormat="1" applyFont="1" applyBorder="1"/>
    <xf numFmtId="164" fontId="1" fillId="0" borderId="1" xfId="1" applyNumberFormat="1" applyFont="1" applyBorder="1"/>
    <xf numFmtId="9" fontId="0" fillId="0" borderId="1" xfId="2" applyFont="1" applyBorder="1"/>
    <xf numFmtId="9" fontId="1" fillId="0" borderId="1" xfId="2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1" fontId="5" fillId="0" borderId="0" xfId="0" applyNumberFormat="1" applyFont="1"/>
    <xf numFmtId="2" fontId="5" fillId="0" borderId="0" xfId="0" applyNumberFormat="1" applyFont="1"/>
    <xf numFmtId="0" fontId="7" fillId="0" borderId="2" xfId="0" applyFont="1" applyBorder="1"/>
    <xf numFmtId="9" fontId="5" fillId="0" borderId="2" xfId="0" applyNumberFormat="1" applyFont="1" applyBorder="1"/>
    <xf numFmtId="0" fontId="5" fillId="0" borderId="2" xfId="0" applyFont="1" applyBorder="1"/>
    <xf numFmtId="165" fontId="5" fillId="0" borderId="0" xfId="0" applyNumberFormat="1" applyFont="1"/>
    <xf numFmtId="8" fontId="7" fillId="0" borderId="0" xfId="0" applyNumberFormat="1" applyFont="1"/>
    <xf numFmtId="0" fontId="7" fillId="2" borderId="0" xfId="0" applyFont="1" applyFill="1"/>
    <xf numFmtId="0" fontId="5" fillId="2" borderId="0" xfId="0" applyFont="1" applyFill="1"/>
    <xf numFmtId="8" fontId="7" fillId="2" borderId="0" xfId="0" applyNumberFormat="1" applyFont="1" applyFill="1"/>
    <xf numFmtId="2" fontId="5" fillId="0" borderId="2" xfId="0" applyNumberFormat="1" applyFont="1" applyBorder="1"/>
    <xf numFmtId="0" fontId="5" fillId="0" borderId="0" xfId="0" applyFont="1" applyBorder="1"/>
    <xf numFmtId="0" fontId="7" fillId="0" borderId="3" xfId="0" applyFont="1" applyBorder="1"/>
    <xf numFmtId="0" fontId="5" fillId="0" borderId="3" xfId="0" applyFont="1" applyBorder="1"/>
    <xf numFmtId="0" fontId="5" fillId="0" borderId="5" xfId="0" applyFont="1" applyBorder="1"/>
    <xf numFmtId="0" fontId="7" fillId="0" borderId="5" xfId="0" applyFont="1" applyBorder="1"/>
    <xf numFmtId="0" fontId="5" fillId="0" borderId="4" xfId="0" applyFont="1" applyBorder="1"/>
    <xf numFmtId="8" fontId="0" fillId="0" borderId="0" xfId="0" applyNumberFormat="1"/>
    <xf numFmtId="44" fontId="0" fillId="0" borderId="0" xfId="3" applyFont="1"/>
    <xf numFmtId="9" fontId="0" fillId="0" borderId="0" xfId="2" applyFont="1"/>
    <xf numFmtId="44" fontId="0" fillId="0" borderId="1" xfId="0" applyNumberFormat="1" applyBorder="1"/>
    <xf numFmtId="0" fontId="1" fillId="0" borderId="1" xfId="0" applyFont="1" applyBorder="1" applyAlignment="1">
      <alignment wrapText="1"/>
    </xf>
    <xf numFmtId="2" fontId="7" fillId="0" borderId="0" xfId="0" applyNumberFormat="1" applyFont="1" applyBorder="1"/>
    <xf numFmtId="2" fontId="5" fillId="0" borderId="0" xfId="0" applyNumberFormat="1" applyFont="1" applyBorder="1"/>
    <xf numFmtId="2" fontId="5" fillId="0" borderId="5" xfId="0" applyNumberFormat="1" applyFont="1" applyBorder="1"/>
    <xf numFmtId="2" fontId="5" fillId="0" borderId="3" xfId="0" applyNumberFormat="1" applyFont="1" applyBorder="1"/>
    <xf numFmtId="2" fontId="5" fillId="0" borderId="4" xfId="0" applyNumberFormat="1" applyFont="1" applyBorder="1"/>
    <xf numFmtId="2" fontId="5" fillId="2" borderId="0" xfId="0" applyNumberFormat="1" applyFont="1" applyFill="1"/>
    <xf numFmtId="1" fontId="7" fillId="0" borderId="2" xfId="0" applyNumberFormat="1" applyFont="1" applyBorder="1"/>
    <xf numFmtId="0" fontId="7" fillId="0" borderId="6" xfId="0" applyFont="1" applyBorder="1"/>
    <xf numFmtId="0" fontId="5" fillId="0" borderId="6" xfId="0" applyFont="1" applyBorder="1"/>
    <xf numFmtId="2" fontId="7" fillId="0" borderId="6" xfId="0" applyNumberFormat="1" applyFont="1" applyBorder="1"/>
    <xf numFmtId="0" fontId="5" fillId="0" borderId="0" xfId="0" applyFont="1" applyFill="1" applyBorder="1"/>
    <xf numFmtId="0" fontId="7" fillId="3" borderId="0" xfId="0" applyFont="1" applyFill="1"/>
    <xf numFmtId="0" fontId="5" fillId="3" borderId="0" xfId="0" applyFont="1" applyFill="1"/>
    <xf numFmtId="0" fontId="5" fillId="0" borderId="3" xfId="0" applyFont="1" applyFill="1" applyBorder="1"/>
    <xf numFmtId="2" fontId="5" fillId="3" borderId="0" xfId="0" applyNumberFormat="1" applyFont="1" applyFill="1"/>
    <xf numFmtId="2" fontId="7" fillId="0" borderId="0" xfId="0" applyNumberFormat="1" applyFont="1"/>
    <xf numFmtId="2" fontId="7" fillId="2" borderId="0" xfId="0" applyNumberFormat="1" applyFont="1" applyFill="1"/>
    <xf numFmtId="9" fontId="5" fillId="0" borderId="0" xfId="0" applyNumberFormat="1" applyFont="1"/>
    <xf numFmtId="164" fontId="5" fillId="0" borderId="0" xfId="0" applyNumberFormat="1" applyFont="1"/>
    <xf numFmtId="0" fontId="5" fillId="0" borderId="0" xfId="0" applyNumberFormat="1" applyFont="1"/>
    <xf numFmtId="0" fontId="5" fillId="0" borderId="1" xfId="0" applyFont="1" applyBorder="1"/>
    <xf numFmtId="10" fontId="5" fillId="0" borderId="1" xfId="0" applyNumberFormat="1" applyFont="1" applyBorder="1"/>
    <xf numFmtId="9" fontId="5" fillId="0" borderId="1" xfId="0" applyNumberFormat="1" applyFont="1" applyBorder="1"/>
    <xf numFmtId="17" fontId="5" fillId="0" borderId="1" xfId="0" applyNumberFormat="1" applyFont="1" applyBorder="1"/>
    <xf numFmtId="164" fontId="5" fillId="0" borderId="1" xfId="0" applyNumberFormat="1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0" fontId="5" fillId="0" borderId="1" xfId="0" applyNumberFormat="1" applyFont="1" applyBorder="1"/>
    <xf numFmtId="2" fontId="7" fillId="2" borderId="0" xfId="0" applyNumberFormat="1" applyFont="1" applyFill="1" applyAlignment="1"/>
    <xf numFmtId="14" fontId="5" fillId="0" borderId="0" xfId="0" applyNumberFormat="1" applyFont="1"/>
    <xf numFmtId="167" fontId="5" fillId="0" borderId="0" xfId="0" applyNumberFormat="1" applyFont="1"/>
    <xf numFmtId="10" fontId="7" fillId="0" borderId="0" xfId="0" applyNumberFormat="1" applyFont="1"/>
    <xf numFmtId="1" fontId="7" fillId="0" borderId="2" xfId="0" applyNumberFormat="1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0" fontId="9" fillId="0" borderId="1" xfId="5" applyBorder="1"/>
    <xf numFmtId="0" fontId="1" fillId="2" borderId="0" xfId="0" applyFont="1" applyFill="1" applyAlignment="1">
      <alignment horizontal="center"/>
    </xf>
    <xf numFmtId="0" fontId="8" fillId="4" borderId="8" xfId="4" applyBorder="1" applyAlignment="1">
      <alignment horizontal="center"/>
    </xf>
    <xf numFmtId="0" fontId="8" fillId="4" borderId="0" xfId="4" applyBorder="1" applyAlignment="1">
      <alignment horizontal="center"/>
    </xf>
  </cellXfs>
  <cellStyles count="6">
    <cellStyle name="Check Cell" xfId="4" builtinId="23"/>
    <cellStyle name="Comma" xfId="1" builtinId="3"/>
    <cellStyle name="Currency" xfId="3" builtinId="4"/>
    <cellStyle name="Hyperlink" xfId="5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205C-3675-46E1-88BF-A334C4639D40}">
  <dimension ref="A1:C10"/>
  <sheetViews>
    <sheetView tabSelected="1" workbookViewId="0">
      <selection activeCell="A2" sqref="A2"/>
    </sheetView>
  </sheetViews>
  <sheetFormatPr defaultRowHeight="15" x14ac:dyDescent="0.25"/>
  <cols>
    <col min="1" max="1" width="2.5703125" customWidth="1"/>
    <col min="2" max="2" width="27" bestFit="1" customWidth="1"/>
  </cols>
  <sheetData>
    <row r="1" spans="1:3" x14ac:dyDescent="0.25">
      <c r="A1" s="71" t="s">
        <v>3</v>
      </c>
      <c r="B1" s="71"/>
      <c r="C1" s="71"/>
    </row>
    <row r="2" spans="1:3" x14ac:dyDescent="0.25">
      <c r="B2" s="3" t="s">
        <v>179</v>
      </c>
    </row>
    <row r="3" spans="1:3" x14ac:dyDescent="0.25">
      <c r="B3" s="70" t="s">
        <v>172</v>
      </c>
    </row>
    <row r="4" spans="1:3" x14ac:dyDescent="0.25">
      <c r="B4" s="70" t="s">
        <v>173</v>
      </c>
    </row>
    <row r="5" spans="1:3" x14ac:dyDescent="0.25">
      <c r="B5" s="70" t="s">
        <v>174</v>
      </c>
    </row>
    <row r="6" spans="1:3" x14ac:dyDescent="0.25">
      <c r="B6" s="70" t="s">
        <v>62</v>
      </c>
    </row>
    <row r="7" spans="1:3" x14ac:dyDescent="0.25">
      <c r="B7" s="70" t="s">
        <v>175</v>
      </c>
    </row>
    <row r="8" spans="1:3" x14ac:dyDescent="0.25">
      <c r="B8" s="70" t="s">
        <v>176</v>
      </c>
    </row>
    <row r="9" spans="1:3" x14ac:dyDescent="0.25">
      <c r="B9" s="70" t="s">
        <v>177</v>
      </c>
    </row>
    <row r="10" spans="1:3" x14ac:dyDescent="0.25">
      <c r="B10" s="70" t="s">
        <v>178</v>
      </c>
    </row>
  </sheetData>
  <mergeCells count="1">
    <mergeCell ref="A1:C1"/>
  </mergeCells>
  <hyperlinks>
    <hyperlink ref="B3" location="'Project Assumptions'!A1" display="Project Assumptions" xr:uid="{0244DEB8-4E8A-40D7-86C4-FB9F01EC6A9B}"/>
    <hyperlink ref="B4" location="'Debt - Loan Amortisation Sch'!A1" display="Debt - Loan Amortisation Sch" xr:uid="{BEC07C26-1EB0-437C-8885-6EE18032AEE0}"/>
    <hyperlink ref="B5" location="'Cost - Expenses'!A1" display="Cost - Expenses" xr:uid="{E39653BA-92EC-469C-ACBF-29B60BA7DE3E}"/>
    <hyperlink ref="B6" location="Depreciation!A1" display="Depreciation" xr:uid="{2EDF0B06-F508-4754-A9E3-7725274425FE}"/>
    <hyperlink ref="B7" location="'P&amp;L Statement'!A1" display="P&amp;L Statement" xr:uid="{B0D3DA08-9220-4BD7-A824-547C1110264B}"/>
    <hyperlink ref="B8" location="'Balance Sheet'!A1" display="Balance Sheet" xr:uid="{BD544126-D5BB-4C06-920E-FA20A8250400}"/>
    <hyperlink ref="B9" location="'Cash Flow Statement'!A1" display="Cash Flow Statement" xr:uid="{7DB0BB13-4FFF-4C20-8BC3-487C892D5C69}"/>
    <hyperlink ref="B10" location="'NPV, IRR, DSCR, PB'!A1" display="NPV, IRR, DSCR, PB" xr:uid="{06FC155B-05F1-454F-9F48-37D11564095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38C2-B5BA-4A39-992A-252AE0F09FCA}">
  <dimension ref="A1:G38"/>
  <sheetViews>
    <sheetView workbookViewId="0">
      <selection activeCell="H12" sqref="H12"/>
    </sheetView>
  </sheetViews>
  <sheetFormatPr defaultRowHeight="12" x14ac:dyDescent="0.2"/>
  <cols>
    <col min="1" max="2" width="2.85546875" style="10" customWidth="1"/>
    <col min="3" max="3" width="69.28515625" style="10" bestFit="1" customWidth="1"/>
    <col min="4" max="4" width="15.140625" style="10" bestFit="1" customWidth="1"/>
    <col min="5" max="16384" width="9.140625" style="10"/>
  </cols>
  <sheetData>
    <row r="1" spans="1:7" ht="15" x14ac:dyDescent="0.25">
      <c r="A1" s="12" t="s">
        <v>3</v>
      </c>
      <c r="E1" s="72" t="s">
        <v>180</v>
      </c>
      <c r="F1" s="73"/>
      <c r="G1" s="73"/>
    </row>
    <row r="3" spans="1:7" x14ac:dyDescent="0.2">
      <c r="B3" s="12" t="s">
        <v>15</v>
      </c>
    </row>
    <row r="4" spans="1:7" x14ac:dyDescent="0.2">
      <c r="C4" s="55" t="s">
        <v>4</v>
      </c>
      <c r="D4" s="55" t="s">
        <v>168</v>
      </c>
    </row>
    <row r="5" spans="1:7" x14ac:dyDescent="0.2">
      <c r="C5" s="55" t="s">
        <v>24</v>
      </c>
      <c r="D5" s="55">
        <v>1</v>
      </c>
    </row>
    <row r="6" spans="1:7" x14ac:dyDescent="0.2">
      <c r="C6" s="55" t="s">
        <v>5</v>
      </c>
      <c r="D6" s="55">
        <v>365</v>
      </c>
    </row>
    <row r="7" spans="1:7" x14ac:dyDescent="0.2">
      <c r="C7" s="55" t="s">
        <v>66</v>
      </c>
      <c r="D7" s="55" t="s">
        <v>152</v>
      </c>
      <c r="E7" s="11" t="s">
        <v>65</v>
      </c>
    </row>
    <row r="8" spans="1:7" x14ac:dyDescent="0.2">
      <c r="C8" s="55" t="s">
        <v>67</v>
      </c>
      <c r="D8" s="55" t="s">
        <v>154</v>
      </c>
      <c r="E8" s="11" t="s">
        <v>153</v>
      </c>
    </row>
    <row r="9" spans="1:7" x14ac:dyDescent="0.2">
      <c r="C9" s="55" t="s">
        <v>6</v>
      </c>
      <c r="D9" s="56">
        <v>4.0000000000000001E-3</v>
      </c>
      <c r="F9" s="10">
        <f>6500*365</f>
        <v>2372500</v>
      </c>
    </row>
    <row r="10" spans="1:7" x14ac:dyDescent="0.2">
      <c r="C10" s="55" t="s">
        <v>7</v>
      </c>
      <c r="D10" s="56">
        <v>7.4999999999999997E-3</v>
      </c>
    </row>
    <row r="11" spans="1:7" x14ac:dyDescent="0.2">
      <c r="C11" s="55" t="s">
        <v>50</v>
      </c>
      <c r="D11" s="57">
        <v>0.15</v>
      </c>
    </row>
    <row r="12" spans="1:7" x14ac:dyDescent="0.2">
      <c r="C12" s="55" t="s">
        <v>171</v>
      </c>
      <c r="D12" s="57">
        <v>0.6</v>
      </c>
    </row>
    <row r="13" spans="1:7" x14ac:dyDescent="0.2">
      <c r="C13" s="55" t="s">
        <v>170</v>
      </c>
      <c r="D13" s="57">
        <v>0.2</v>
      </c>
    </row>
    <row r="14" spans="1:7" x14ac:dyDescent="0.2">
      <c r="C14" s="55" t="s">
        <v>169</v>
      </c>
      <c r="D14" s="57">
        <v>0.02</v>
      </c>
    </row>
    <row r="15" spans="1:7" x14ac:dyDescent="0.2">
      <c r="C15" s="55" t="s">
        <v>10</v>
      </c>
      <c r="D15" s="55">
        <v>180</v>
      </c>
    </row>
    <row r="16" spans="1:7" x14ac:dyDescent="0.2">
      <c r="C16" s="55" t="s">
        <v>79</v>
      </c>
      <c r="D16" s="58">
        <v>44013</v>
      </c>
    </row>
    <row r="17" spans="2:5" x14ac:dyDescent="0.2">
      <c r="C17" s="55" t="s">
        <v>78</v>
      </c>
      <c r="D17" s="58">
        <f>D15+D16</f>
        <v>44193</v>
      </c>
    </row>
    <row r="18" spans="2:5" x14ac:dyDescent="0.2">
      <c r="C18" s="55" t="s">
        <v>12</v>
      </c>
      <c r="D18" s="55">
        <v>5</v>
      </c>
    </row>
    <row r="19" spans="2:5" x14ac:dyDescent="0.2">
      <c r="C19" s="55" t="s">
        <v>8</v>
      </c>
      <c r="D19" s="59">
        <v>500000</v>
      </c>
    </row>
    <row r="20" spans="2:5" x14ac:dyDescent="0.2">
      <c r="C20" s="55" t="s">
        <v>9</v>
      </c>
      <c r="D20" s="57">
        <v>0.3</v>
      </c>
    </row>
    <row r="21" spans="2:5" x14ac:dyDescent="0.2">
      <c r="C21" s="55" t="s">
        <v>64</v>
      </c>
      <c r="D21" s="60">
        <v>10</v>
      </c>
      <c r="E21" s="11" t="s">
        <v>71</v>
      </c>
    </row>
    <row r="22" spans="2:5" x14ac:dyDescent="0.2">
      <c r="C22" s="55" t="s">
        <v>69</v>
      </c>
      <c r="D22" s="61">
        <v>7</v>
      </c>
    </row>
    <row r="23" spans="2:5" x14ac:dyDescent="0.2">
      <c r="C23" s="55" t="s">
        <v>77</v>
      </c>
      <c r="D23" s="62">
        <v>25</v>
      </c>
    </row>
    <row r="24" spans="2:5" x14ac:dyDescent="0.2">
      <c r="D24" s="53"/>
    </row>
    <row r="25" spans="2:5" x14ac:dyDescent="0.2">
      <c r="B25" s="12" t="s">
        <v>16</v>
      </c>
    </row>
    <row r="26" spans="2:5" x14ac:dyDescent="0.2">
      <c r="C26" s="10" t="s">
        <v>13</v>
      </c>
      <c r="D26" s="52">
        <v>0.2</v>
      </c>
    </row>
    <row r="27" spans="2:5" x14ac:dyDescent="0.2">
      <c r="C27" s="10" t="s">
        <v>14</v>
      </c>
      <c r="D27" s="52">
        <v>0.8</v>
      </c>
    </row>
    <row r="28" spans="2:5" x14ac:dyDescent="0.2">
      <c r="C28" s="10" t="s">
        <v>11</v>
      </c>
      <c r="D28" s="52">
        <v>0.12</v>
      </c>
    </row>
    <row r="29" spans="2:5" x14ac:dyDescent="0.2">
      <c r="C29" s="10" t="s">
        <v>17</v>
      </c>
      <c r="D29" s="52" t="s">
        <v>135</v>
      </c>
      <c r="E29" s="11" t="s">
        <v>130</v>
      </c>
    </row>
    <row r="30" spans="2:5" x14ac:dyDescent="0.2">
      <c r="C30" s="10" t="s">
        <v>51</v>
      </c>
      <c r="D30" s="52">
        <v>7.0000000000000007E-2</v>
      </c>
      <c r="E30" s="11"/>
    </row>
    <row r="31" spans="2:5" x14ac:dyDescent="0.2">
      <c r="C31" s="10" t="s">
        <v>102</v>
      </c>
      <c r="D31" s="54">
        <v>10</v>
      </c>
    </row>
    <row r="32" spans="2:5" x14ac:dyDescent="0.2">
      <c r="B32" s="12" t="s">
        <v>18</v>
      </c>
    </row>
    <row r="33" spans="2:5" x14ac:dyDescent="0.2">
      <c r="C33" s="10" t="s">
        <v>19</v>
      </c>
      <c r="D33" s="18">
        <v>1500000</v>
      </c>
      <c r="E33" s="11" t="s">
        <v>20</v>
      </c>
    </row>
    <row r="34" spans="2:5" x14ac:dyDescent="0.2">
      <c r="C34" s="10" t="s">
        <v>21</v>
      </c>
      <c r="D34" s="52">
        <v>0.03</v>
      </c>
    </row>
    <row r="37" spans="2:5" x14ac:dyDescent="0.2">
      <c r="B37" s="12" t="s">
        <v>22</v>
      </c>
    </row>
    <row r="38" spans="2:5" x14ac:dyDescent="0.2">
      <c r="C38" s="11" t="s">
        <v>23</v>
      </c>
    </row>
  </sheetData>
  <mergeCells count="1">
    <mergeCell ref="E1:G1"/>
  </mergeCells>
  <hyperlinks>
    <hyperlink ref="E1" location="Content!A1" display="Back to Content" xr:uid="{9E6109BB-B1B4-4967-968E-0040B7A5DDA9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C3EB-7E73-4369-9D64-E28BFD016D33}">
  <dimension ref="A1:R14"/>
  <sheetViews>
    <sheetView workbookViewId="0">
      <selection activeCell="C18" sqref="C18:J18"/>
    </sheetView>
  </sheetViews>
  <sheetFormatPr defaultRowHeight="15" x14ac:dyDescent="0.25"/>
  <cols>
    <col min="1" max="1" width="2.85546875" customWidth="1"/>
    <col min="2" max="2" width="20.28515625" bestFit="1" customWidth="1"/>
    <col min="3" max="11" width="9" bestFit="1" customWidth="1"/>
  </cols>
  <sheetData>
    <row r="1" spans="1:18" x14ac:dyDescent="0.25">
      <c r="A1" s="1" t="s">
        <v>2</v>
      </c>
      <c r="G1" s="72" t="s">
        <v>180</v>
      </c>
      <c r="H1" s="73"/>
      <c r="I1" s="73"/>
    </row>
    <row r="2" spans="1:18" x14ac:dyDescent="0.25">
      <c r="A2" s="11" t="s">
        <v>81</v>
      </c>
    </row>
    <row r="4" spans="1:18" x14ac:dyDescent="0.25">
      <c r="B4" t="s">
        <v>0</v>
      </c>
      <c r="C4" s="31">
        <f>'Project Assumptions'!$D$27*'Cost - Expenses'!$B$13</f>
        <v>604</v>
      </c>
    </row>
    <row r="5" spans="1:18" x14ac:dyDescent="0.25">
      <c r="B5" t="s">
        <v>101</v>
      </c>
      <c r="C5" s="31">
        <f>'Project Assumptions'!$D$27*'Cost - Expenses'!$B$13</f>
        <v>604</v>
      </c>
      <c r="D5" s="2" t="s">
        <v>103</v>
      </c>
    </row>
    <row r="6" spans="1:18" x14ac:dyDescent="0.25">
      <c r="B6" t="s">
        <v>1</v>
      </c>
      <c r="C6" s="32">
        <f>'Project Assumptions'!D28</f>
        <v>0.12</v>
      </c>
    </row>
    <row r="7" spans="1:18" x14ac:dyDescent="0.25">
      <c r="B7" t="s">
        <v>97</v>
      </c>
      <c r="C7">
        <f>'Project Assumptions'!D31</f>
        <v>10</v>
      </c>
    </row>
    <row r="8" spans="1:18" x14ac:dyDescent="0.25">
      <c r="B8" t="s">
        <v>98</v>
      </c>
      <c r="C8" s="31">
        <f>PMT(C6,C7,-C5,0,0)</f>
        <v>106.89843515254583</v>
      </c>
    </row>
    <row r="9" spans="1:18" x14ac:dyDescent="0.25">
      <c r="C9" s="30"/>
    </row>
    <row r="10" spans="1:18" x14ac:dyDescent="0.25">
      <c r="B10" s="3" t="s">
        <v>100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  <c r="N10" s="5">
        <v>12</v>
      </c>
      <c r="O10" s="5">
        <v>13</v>
      </c>
      <c r="P10" s="5">
        <v>14</v>
      </c>
      <c r="Q10" s="5">
        <v>15</v>
      </c>
      <c r="R10" s="5">
        <v>16</v>
      </c>
    </row>
    <row r="11" spans="1:18" x14ac:dyDescent="0.25">
      <c r="B11" s="34" t="s">
        <v>99</v>
      </c>
      <c r="C11" s="33">
        <f>$C$5</f>
        <v>604</v>
      </c>
      <c r="D11" s="33">
        <f t="shared" ref="D11:J11" si="0">C11-C14</f>
        <v>569.58156484745416</v>
      </c>
      <c r="E11" s="33">
        <f t="shared" si="0"/>
        <v>531.03291747660285</v>
      </c>
      <c r="F11" s="33">
        <f t="shared" si="0"/>
        <v>487.85843242124935</v>
      </c>
      <c r="G11" s="33">
        <f t="shared" si="0"/>
        <v>439.50300915925345</v>
      </c>
      <c r="H11" s="33">
        <f t="shared" si="0"/>
        <v>385.34493510581802</v>
      </c>
      <c r="I11" s="33">
        <f t="shared" si="0"/>
        <v>324.68789216597037</v>
      </c>
      <c r="J11" s="33">
        <f t="shared" si="0"/>
        <v>256.75200407334097</v>
      </c>
      <c r="K11" s="33">
        <f t="shared" ref="K11:M11" si="1">J11-J14</f>
        <v>180.66380940959607</v>
      </c>
      <c r="L11" s="33">
        <f t="shared" si="1"/>
        <v>95.445031386201777</v>
      </c>
      <c r="M11" s="33">
        <f t="shared" si="1"/>
        <v>1.5631940186722204E-13</v>
      </c>
      <c r="N11" s="33"/>
      <c r="O11" s="33"/>
      <c r="P11" s="33"/>
      <c r="Q11" s="33"/>
      <c r="R11" s="33"/>
    </row>
    <row r="12" spans="1:18" x14ac:dyDescent="0.25">
      <c r="B12" s="34" t="s">
        <v>98</v>
      </c>
      <c r="C12" s="33">
        <f t="shared" ref="C12:J12" si="2">$C$8</f>
        <v>106.89843515254583</v>
      </c>
      <c r="D12" s="33">
        <f t="shared" si="2"/>
        <v>106.89843515254583</v>
      </c>
      <c r="E12" s="33">
        <f t="shared" si="2"/>
        <v>106.89843515254583</v>
      </c>
      <c r="F12" s="33">
        <f t="shared" si="2"/>
        <v>106.89843515254583</v>
      </c>
      <c r="G12" s="33">
        <f t="shared" si="2"/>
        <v>106.89843515254583</v>
      </c>
      <c r="H12" s="33">
        <f t="shared" si="2"/>
        <v>106.89843515254583</v>
      </c>
      <c r="I12" s="33">
        <f t="shared" si="2"/>
        <v>106.89843515254583</v>
      </c>
      <c r="J12" s="33">
        <f t="shared" si="2"/>
        <v>106.89843515254583</v>
      </c>
      <c r="K12" s="33">
        <f t="shared" ref="K12:L12" si="3">$C$8</f>
        <v>106.89843515254583</v>
      </c>
      <c r="L12" s="33">
        <f t="shared" si="3"/>
        <v>106.89843515254583</v>
      </c>
      <c r="M12" s="33"/>
      <c r="N12" s="33"/>
      <c r="O12" s="33"/>
      <c r="P12" s="33"/>
      <c r="Q12" s="33"/>
      <c r="R12" s="33"/>
    </row>
    <row r="13" spans="1:18" x14ac:dyDescent="0.25">
      <c r="B13" s="34" t="s">
        <v>163</v>
      </c>
      <c r="C13" s="33">
        <f t="shared" ref="C13:J13" si="4">C11*$C$6</f>
        <v>72.48</v>
      </c>
      <c r="D13" s="33">
        <f t="shared" si="4"/>
        <v>68.349787781694502</v>
      </c>
      <c r="E13" s="33">
        <f t="shared" si="4"/>
        <v>63.723950097192336</v>
      </c>
      <c r="F13" s="33">
        <f t="shared" si="4"/>
        <v>58.54301189054992</v>
      </c>
      <c r="G13" s="33">
        <f t="shared" si="4"/>
        <v>52.740361099110409</v>
      </c>
      <c r="H13" s="33">
        <f t="shared" si="4"/>
        <v>46.241392212698159</v>
      </c>
      <c r="I13" s="33">
        <f t="shared" si="4"/>
        <v>38.962547059916446</v>
      </c>
      <c r="J13" s="33">
        <f t="shared" si="4"/>
        <v>30.810240488800915</v>
      </c>
      <c r="K13" s="33">
        <f t="shared" ref="K13:L13" si="5">K11*$C$6</f>
        <v>21.679657129151529</v>
      </c>
      <c r="L13" s="33">
        <f t="shared" si="5"/>
        <v>11.453403766344213</v>
      </c>
      <c r="M13" s="33"/>
      <c r="N13" s="33"/>
      <c r="O13" s="33"/>
      <c r="P13" s="33"/>
      <c r="Q13" s="33"/>
      <c r="R13" s="33"/>
    </row>
    <row r="14" spans="1:18" x14ac:dyDescent="0.25">
      <c r="B14" s="34" t="s">
        <v>162</v>
      </c>
      <c r="C14" s="33">
        <f t="shared" ref="C14:J14" si="6">C12-C13</f>
        <v>34.418435152545825</v>
      </c>
      <c r="D14" s="33">
        <f t="shared" si="6"/>
        <v>38.548647370851327</v>
      </c>
      <c r="E14" s="33">
        <f t="shared" si="6"/>
        <v>43.174485055353493</v>
      </c>
      <c r="F14" s="33">
        <f t="shared" si="6"/>
        <v>48.355423261995909</v>
      </c>
      <c r="G14" s="33">
        <f t="shared" si="6"/>
        <v>54.158074053435421</v>
      </c>
      <c r="H14" s="33">
        <f t="shared" si="6"/>
        <v>60.65704293984767</v>
      </c>
      <c r="I14" s="33">
        <f t="shared" si="6"/>
        <v>67.935888092629384</v>
      </c>
      <c r="J14" s="33">
        <f t="shared" si="6"/>
        <v>76.088194663744915</v>
      </c>
      <c r="K14" s="33">
        <f t="shared" ref="K14:L14" si="7">K12-K13</f>
        <v>85.218778023394293</v>
      </c>
      <c r="L14" s="33">
        <f t="shared" si="7"/>
        <v>95.44503138620162</v>
      </c>
      <c r="M14" s="33"/>
      <c r="N14" s="33"/>
      <c r="O14" s="33"/>
      <c r="P14" s="33"/>
      <c r="Q14" s="33"/>
      <c r="R14" s="33"/>
    </row>
  </sheetData>
  <mergeCells count="1">
    <mergeCell ref="G1:I1"/>
  </mergeCells>
  <hyperlinks>
    <hyperlink ref="G1" location="Content!A1" display="Back to Content" xr:uid="{1934F126-4727-46A6-A7D1-1C53CE3972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8021-5D92-46DE-8EFF-87F86062AE4B}">
  <dimension ref="A1:G13"/>
  <sheetViews>
    <sheetView workbookViewId="0">
      <selection activeCell="E1" sqref="E1:G1"/>
    </sheetView>
  </sheetViews>
  <sheetFormatPr defaultRowHeight="15" x14ac:dyDescent="0.25"/>
  <cols>
    <col min="1" max="1" width="55.5703125" bestFit="1" customWidth="1"/>
    <col min="3" max="3" width="13.7109375" bestFit="1" customWidth="1"/>
  </cols>
  <sheetData>
    <row r="1" spans="1:7" x14ac:dyDescent="0.25">
      <c r="A1" s="3" t="s">
        <v>37</v>
      </c>
      <c r="B1" s="4" t="s">
        <v>26</v>
      </c>
      <c r="C1" s="3" t="s">
        <v>38</v>
      </c>
      <c r="E1" s="72" t="s">
        <v>180</v>
      </c>
      <c r="F1" s="73"/>
      <c r="G1" s="73"/>
    </row>
    <row r="2" spans="1:7" x14ac:dyDescent="0.25">
      <c r="A2" s="5" t="s">
        <v>27</v>
      </c>
      <c r="B2" s="6">
        <v>400</v>
      </c>
      <c r="C2" s="8">
        <f>B2/$B$13</f>
        <v>0.5298013245033113</v>
      </c>
    </row>
    <row r="3" spans="1:7" x14ac:dyDescent="0.25">
      <c r="A3" s="5" t="s">
        <v>28</v>
      </c>
      <c r="B3" s="6">
        <v>80</v>
      </c>
      <c r="C3" s="8">
        <f t="shared" ref="C3:C13" si="0">B3/$B$13</f>
        <v>0.10596026490066225</v>
      </c>
    </row>
    <row r="4" spans="1:7" x14ac:dyDescent="0.25">
      <c r="A4" s="5" t="s">
        <v>30</v>
      </c>
      <c r="B4" s="6">
        <v>100</v>
      </c>
      <c r="C4" s="8">
        <f t="shared" si="0"/>
        <v>0.13245033112582782</v>
      </c>
    </row>
    <row r="5" spans="1:7" x14ac:dyDescent="0.25">
      <c r="A5" s="5" t="s">
        <v>32</v>
      </c>
      <c r="B5" s="6">
        <v>40</v>
      </c>
      <c r="C5" s="8">
        <f t="shared" si="0"/>
        <v>5.2980132450331126E-2</v>
      </c>
    </row>
    <row r="6" spans="1:7" x14ac:dyDescent="0.25">
      <c r="A6" s="5" t="s">
        <v>31</v>
      </c>
      <c r="B6" s="6">
        <v>25</v>
      </c>
      <c r="C6" s="8">
        <f t="shared" si="0"/>
        <v>3.3112582781456956E-2</v>
      </c>
    </row>
    <row r="7" spans="1:7" x14ac:dyDescent="0.25">
      <c r="A7" s="5" t="s">
        <v>39</v>
      </c>
      <c r="B7" s="6">
        <v>30</v>
      </c>
      <c r="C7" s="8">
        <f t="shared" si="0"/>
        <v>3.9735099337748346E-2</v>
      </c>
    </row>
    <row r="8" spans="1:7" x14ac:dyDescent="0.25">
      <c r="A8" s="5" t="s">
        <v>25</v>
      </c>
      <c r="B8" s="6">
        <v>10</v>
      </c>
      <c r="C8" s="8">
        <f t="shared" si="0"/>
        <v>1.3245033112582781E-2</v>
      </c>
      <c r="D8" s="2" t="s">
        <v>133</v>
      </c>
    </row>
    <row r="9" spans="1:7" x14ac:dyDescent="0.25">
      <c r="A9" s="5" t="s">
        <v>33</v>
      </c>
      <c r="B9" s="6">
        <v>20</v>
      </c>
      <c r="C9" s="8">
        <f t="shared" si="0"/>
        <v>2.6490066225165563E-2</v>
      </c>
    </row>
    <row r="10" spans="1:7" x14ac:dyDescent="0.25">
      <c r="A10" s="5" t="s">
        <v>34</v>
      </c>
      <c r="B10" s="6">
        <v>15</v>
      </c>
      <c r="C10" s="8">
        <f t="shared" si="0"/>
        <v>1.9867549668874173E-2</v>
      </c>
    </row>
    <row r="11" spans="1:7" x14ac:dyDescent="0.25">
      <c r="A11" s="5" t="s">
        <v>35</v>
      </c>
      <c r="B11" s="6">
        <v>10</v>
      </c>
      <c r="C11" s="8">
        <f t="shared" si="0"/>
        <v>1.3245033112582781E-2</v>
      </c>
    </row>
    <row r="12" spans="1:7" x14ac:dyDescent="0.25">
      <c r="A12" s="5" t="s">
        <v>29</v>
      </c>
      <c r="B12" s="6">
        <v>25</v>
      </c>
      <c r="C12" s="8">
        <f t="shared" si="0"/>
        <v>3.3112582781456956E-2</v>
      </c>
    </row>
    <row r="13" spans="1:7" x14ac:dyDescent="0.25">
      <c r="A13" s="3" t="s">
        <v>36</v>
      </c>
      <c r="B13" s="7">
        <f>SUM(B2:B12)</f>
        <v>755</v>
      </c>
      <c r="C13" s="9">
        <f t="shared" si="0"/>
        <v>1</v>
      </c>
    </row>
  </sheetData>
  <mergeCells count="1">
    <mergeCell ref="E1:G1"/>
  </mergeCells>
  <hyperlinks>
    <hyperlink ref="E1" location="Content!A1" display="Back to Content" xr:uid="{12B7CDC0-806B-43CE-A47C-A3B7F77380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E1DB-73BD-4559-8A25-9BD0BAB202AD}">
  <dimension ref="A1:AC23"/>
  <sheetViews>
    <sheetView workbookViewId="0">
      <selection activeCell="G1" sqref="G1:I1"/>
    </sheetView>
  </sheetViews>
  <sheetFormatPr defaultRowHeight="12" x14ac:dyDescent="0.2"/>
  <cols>
    <col min="1" max="1" width="3.7109375" style="10" customWidth="1"/>
    <col min="2" max="2" width="3.140625" style="10" customWidth="1"/>
    <col min="3" max="3" width="14.42578125" style="10" bestFit="1" customWidth="1"/>
    <col min="4" max="4" width="9.140625" style="10"/>
    <col min="5" max="19" width="6.140625" style="10" bestFit="1" customWidth="1"/>
    <col min="20" max="29" width="5.28515625" style="10" bestFit="1" customWidth="1"/>
    <col min="30" max="16384" width="9.140625" style="10"/>
  </cols>
  <sheetData>
    <row r="1" spans="1:29" ht="15" x14ac:dyDescent="0.25">
      <c r="A1" s="12" t="s">
        <v>73</v>
      </c>
      <c r="G1" s="72" t="s">
        <v>180</v>
      </c>
      <c r="H1" s="73"/>
      <c r="I1" s="73"/>
    </row>
    <row r="2" spans="1:29" x14ac:dyDescent="0.2">
      <c r="A2" s="11" t="s">
        <v>81</v>
      </c>
    </row>
    <row r="3" spans="1:29" x14ac:dyDescent="0.2">
      <c r="E3" s="68" t="s">
        <v>56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</row>
    <row r="4" spans="1:29" x14ac:dyDescent="0.2">
      <c r="B4" s="12" t="s">
        <v>37</v>
      </c>
      <c r="C4" s="12"/>
      <c r="E4" s="15">
        <v>2021</v>
      </c>
      <c r="F4" s="15">
        <v>2022</v>
      </c>
      <c r="G4" s="15">
        <v>2023</v>
      </c>
      <c r="H4" s="15">
        <v>2024</v>
      </c>
      <c r="I4" s="15">
        <v>2025</v>
      </c>
      <c r="J4" s="15">
        <v>2026</v>
      </c>
      <c r="K4" s="15">
        <v>2027</v>
      </c>
      <c r="L4" s="15">
        <v>2028</v>
      </c>
      <c r="M4" s="15">
        <v>2029</v>
      </c>
      <c r="N4" s="15">
        <v>2030</v>
      </c>
      <c r="O4" s="15">
        <v>2031</v>
      </c>
      <c r="P4" s="15">
        <v>2032</v>
      </c>
      <c r="Q4" s="15">
        <v>2033</v>
      </c>
      <c r="R4" s="15">
        <v>2034</v>
      </c>
      <c r="S4" s="15">
        <v>2035</v>
      </c>
      <c r="T4" s="15">
        <v>2036</v>
      </c>
      <c r="U4" s="15">
        <v>2037</v>
      </c>
      <c r="V4" s="15">
        <v>2038</v>
      </c>
      <c r="W4" s="15">
        <v>2039</v>
      </c>
      <c r="X4" s="15">
        <v>2040</v>
      </c>
      <c r="Y4" s="15">
        <v>2041</v>
      </c>
      <c r="Z4" s="15">
        <v>2042</v>
      </c>
      <c r="AA4" s="15">
        <v>2043</v>
      </c>
      <c r="AB4" s="15">
        <v>2044</v>
      </c>
      <c r="AC4" s="15">
        <v>2045</v>
      </c>
    </row>
    <row r="5" spans="1:29" s="17" customFormat="1" x14ac:dyDescent="0.2">
      <c r="A5" s="10"/>
      <c r="B5" s="15" t="s">
        <v>72</v>
      </c>
      <c r="C5" s="16"/>
    </row>
    <row r="6" spans="1:29" x14ac:dyDescent="0.2">
      <c r="C6" s="10" t="s">
        <v>74</v>
      </c>
      <c r="D6" s="18">
        <f>'Cost - Expenses'!$B$2</f>
        <v>400</v>
      </c>
    </row>
    <row r="7" spans="1:29" x14ac:dyDescent="0.2">
      <c r="C7" s="10" t="s">
        <v>75</v>
      </c>
      <c r="D7" s="18">
        <f>$D$6*'Project Assumptions'!D12</f>
        <v>240</v>
      </c>
    </row>
    <row r="8" spans="1:29" x14ac:dyDescent="0.2">
      <c r="C8" s="10" t="s">
        <v>76</v>
      </c>
      <c r="D8" s="10">
        <f>'Project Assumptions'!$D$23</f>
        <v>25</v>
      </c>
    </row>
    <row r="9" spans="1:29" x14ac:dyDescent="0.2">
      <c r="C9" s="12" t="s">
        <v>62</v>
      </c>
      <c r="D9" s="19"/>
      <c r="E9" s="19">
        <f>DB($D$6,$D$7,$D$8,COLUMN(A1))</f>
        <v>8</v>
      </c>
      <c r="F9" s="19">
        <f t="shared" ref="F9:AC9" si="0">DB($D$6,$D$7,$D$8,COLUMN(B1))</f>
        <v>7.84</v>
      </c>
      <c r="G9" s="19">
        <f t="shared" si="0"/>
        <v>7.6832000000000003</v>
      </c>
      <c r="H9" s="19">
        <f t="shared" si="0"/>
        <v>7.5295360000000002</v>
      </c>
      <c r="I9" s="19">
        <f t="shared" si="0"/>
        <v>7.3789452800000008</v>
      </c>
      <c r="J9" s="19">
        <f t="shared" si="0"/>
        <v>7.2313663744000012</v>
      </c>
      <c r="K9" s="19">
        <f t="shared" si="0"/>
        <v>7.0867390469120011</v>
      </c>
      <c r="L9" s="19">
        <f t="shared" si="0"/>
        <v>6.9450042659737612</v>
      </c>
      <c r="M9" s="19">
        <f t="shared" si="0"/>
        <v>6.8061041806542857</v>
      </c>
      <c r="N9" s="19">
        <f t="shared" si="0"/>
        <v>6.6699820970412</v>
      </c>
      <c r="O9" s="19">
        <f t="shared" si="0"/>
        <v>6.5365824551003753</v>
      </c>
      <c r="P9" s="19">
        <f t="shared" si="0"/>
        <v>6.4058508059983685</v>
      </c>
      <c r="Q9" s="19">
        <f t="shared" si="0"/>
        <v>6.2777337898784014</v>
      </c>
      <c r="R9" s="19">
        <f t="shared" si="0"/>
        <v>6.1521791140808331</v>
      </c>
      <c r="S9" s="19">
        <f t="shared" si="0"/>
        <v>6.0291355317992172</v>
      </c>
      <c r="T9" s="19">
        <f t="shared" si="0"/>
        <v>5.9085528211632328</v>
      </c>
      <c r="U9" s="19">
        <f t="shared" si="0"/>
        <v>5.7903817647399674</v>
      </c>
      <c r="V9" s="19">
        <f t="shared" si="0"/>
        <v>5.6745741294451681</v>
      </c>
      <c r="W9" s="19">
        <f t="shared" si="0"/>
        <v>5.5610826468562653</v>
      </c>
      <c r="X9" s="19">
        <f t="shared" si="0"/>
        <v>5.44986099391914</v>
      </c>
      <c r="Y9" s="19">
        <f t="shared" si="0"/>
        <v>5.3408637740407574</v>
      </c>
      <c r="Z9" s="19">
        <f t="shared" si="0"/>
        <v>5.234046498559942</v>
      </c>
      <c r="AA9" s="19">
        <f t="shared" si="0"/>
        <v>5.1293655685887432</v>
      </c>
      <c r="AB9" s="19">
        <f t="shared" si="0"/>
        <v>5.0267782572169679</v>
      </c>
      <c r="AC9" s="19">
        <f t="shared" si="0"/>
        <v>4.9262426920726288</v>
      </c>
    </row>
    <row r="11" spans="1:29" s="17" customFormat="1" x14ac:dyDescent="0.2">
      <c r="A11" s="10"/>
      <c r="B11" s="15" t="s">
        <v>80</v>
      </c>
    </row>
    <row r="12" spans="1:29" x14ac:dyDescent="0.2">
      <c r="C12" s="10" t="s">
        <v>74</v>
      </c>
      <c r="D12" s="18">
        <f>'Cost - Expenses'!$B$4+'Cost - Expenses'!$B$6</f>
        <v>125</v>
      </c>
    </row>
    <row r="13" spans="1:29" x14ac:dyDescent="0.2">
      <c r="C13" s="10" t="s">
        <v>75</v>
      </c>
      <c r="D13" s="18">
        <f>$D$12*'Project Assumptions'!$D$13</f>
        <v>25</v>
      </c>
    </row>
    <row r="14" spans="1:29" x14ac:dyDescent="0.2">
      <c r="C14" s="10" t="s">
        <v>76</v>
      </c>
      <c r="D14" s="10">
        <f>'Project Assumptions'!$D$23</f>
        <v>25</v>
      </c>
    </row>
    <row r="15" spans="1:29" x14ac:dyDescent="0.2">
      <c r="C15" s="12" t="s">
        <v>62</v>
      </c>
      <c r="D15" s="19"/>
      <c r="E15" s="19">
        <f>DB($D$12,$D$13,$D$14,COLUMN(A1))</f>
        <v>7.75</v>
      </c>
      <c r="F15" s="19">
        <f t="shared" ref="F15:AC15" si="1">DB($D$12,$D$13,$D$14,COLUMN(B1))</f>
        <v>7.2694999999999999</v>
      </c>
      <c r="G15" s="19">
        <f t="shared" si="1"/>
        <v>6.818791</v>
      </c>
      <c r="H15" s="19">
        <f t="shared" si="1"/>
        <v>6.3960259580000001</v>
      </c>
      <c r="I15" s="19">
        <f t="shared" si="1"/>
        <v>5.9994723486040007</v>
      </c>
      <c r="J15" s="19">
        <f t="shared" si="1"/>
        <v>5.6275050629905525</v>
      </c>
      <c r="K15" s="19">
        <f t="shared" si="1"/>
        <v>5.2785997490851377</v>
      </c>
      <c r="L15" s="19">
        <f t="shared" si="1"/>
        <v>4.9513265646418603</v>
      </c>
      <c r="M15" s="19">
        <f t="shared" si="1"/>
        <v>4.6443443176340642</v>
      </c>
      <c r="N15" s="19">
        <f t="shared" si="1"/>
        <v>4.3563949699407525</v>
      </c>
      <c r="O15" s="19">
        <f t="shared" si="1"/>
        <v>4.0862984818044259</v>
      </c>
      <c r="P15" s="19">
        <f t="shared" si="1"/>
        <v>3.8329479759325515</v>
      </c>
      <c r="Q15" s="19">
        <f t="shared" si="1"/>
        <v>3.5953052014247335</v>
      </c>
      <c r="R15" s="19">
        <f t="shared" si="1"/>
        <v>3.3723962789363999</v>
      </c>
      <c r="S15" s="19">
        <f t="shared" si="1"/>
        <v>3.1633077096423432</v>
      </c>
      <c r="T15" s="19">
        <f t="shared" si="1"/>
        <v>2.9671826316445178</v>
      </c>
      <c r="U15" s="19">
        <f t="shared" si="1"/>
        <v>2.7832173084825573</v>
      </c>
      <c r="V15" s="19">
        <f t="shared" si="1"/>
        <v>2.6106578353566392</v>
      </c>
      <c r="W15" s="19">
        <f t="shared" si="1"/>
        <v>2.4487970495645275</v>
      </c>
      <c r="X15" s="19">
        <f t="shared" si="1"/>
        <v>2.2969716324915268</v>
      </c>
      <c r="Y15" s="19">
        <f t="shared" si="1"/>
        <v>2.154559391277052</v>
      </c>
      <c r="Z15" s="19">
        <f t="shared" si="1"/>
        <v>2.0209767090178747</v>
      </c>
      <c r="AA15" s="19">
        <f t="shared" si="1"/>
        <v>1.8956761530587667</v>
      </c>
      <c r="AB15" s="19">
        <f t="shared" si="1"/>
        <v>1.7781442315691232</v>
      </c>
      <c r="AC15" s="19">
        <f t="shared" si="1"/>
        <v>1.6678992892118376</v>
      </c>
    </row>
    <row r="17" spans="1:29" s="17" customFormat="1" x14ac:dyDescent="0.2">
      <c r="A17" s="10"/>
      <c r="B17" s="15" t="s">
        <v>138</v>
      </c>
    </row>
    <row r="18" spans="1:29" x14ac:dyDescent="0.2">
      <c r="C18" s="10" t="s">
        <v>74</v>
      </c>
      <c r="D18" s="10">
        <f>'Cost - Expenses'!$B$3+'Cost - Expenses'!$D$5+'Cost - Expenses'!$B$7</f>
        <v>110</v>
      </c>
    </row>
    <row r="19" spans="1:29" x14ac:dyDescent="0.2">
      <c r="C19" s="10" t="s">
        <v>75</v>
      </c>
      <c r="D19" s="10">
        <f>$D$18*'Project Assumptions'!$D$14</f>
        <v>2.2000000000000002</v>
      </c>
    </row>
    <row r="20" spans="1:29" x14ac:dyDescent="0.2">
      <c r="C20" s="10" t="s">
        <v>76</v>
      </c>
      <c r="D20" s="10">
        <f>'Project Assumptions'!$D$23</f>
        <v>25</v>
      </c>
    </row>
    <row r="21" spans="1:29" x14ac:dyDescent="0.2">
      <c r="C21" s="12" t="s">
        <v>62</v>
      </c>
      <c r="E21" s="19">
        <f>DB($D$18,$D$19,$D$20,COLUMN(A1))</f>
        <v>15.95</v>
      </c>
      <c r="F21" s="19">
        <f t="shared" ref="F21:AC21" si="2">DB($D$18,$D$19,$D$20,COLUMN(B1))</f>
        <v>13.637249999999998</v>
      </c>
      <c r="G21" s="19">
        <f t="shared" si="2"/>
        <v>11.65984875</v>
      </c>
      <c r="H21" s="19">
        <f t="shared" si="2"/>
        <v>9.9691706812500005</v>
      </c>
      <c r="I21" s="19">
        <f t="shared" si="2"/>
        <v>8.5236409324687514</v>
      </c>
      <c r="J21" s="19">
        <f t="shared" si="2"/>
        <v>7.2877129972607815</v>
      </c>
      <c r="K21" s="19">
        <f t="shared" si="2"/>
        <v>6.2309946126579687</v>
      </c>
      <c r="L21" s="19">
        <f t="shared" si="2"/>
        <v>5.3275003938225636</v>
      </c>
      <c r="M21" s="19">
        <f t="shared" si="2"/>
        <v>4.5550128367182916</v>
      </c>
      <c r="N21" s="19">
        <f t="shared" si="2"/>
        <v>3.8945359753941395</v>
      </c>
      <c r="O21" s="19">
        <f t="shared" si="2"/>
        <v>3.3298282589619896</v>
      </c>
      <c r="P21" s="19">
        <f t="shared" si="2"/>
        <v>2.8470031614125011</v>
      </c>
      <c r="Q21" s="19">
        <f t="shared" si="2"/>
        <v>2.4341877030076882</v>
      </c>
      <c r="R21" s="19">
        <f t="shared" si="2"/>
        <v>2.0812304860715738</v>
      </c>
      <c r="S21" s="19">
        <f t="shared" si="2"/>
        <v>1.7794520655911956</v>
      </c>
      <c r="T21" s="19">
        <f t="shared" si="2"/>
        <v>1.5214315160804721</v>
      </c>
      <c r="U21" s="19">
        <f t="shared" si="2"/>
        <v>1.3008239462488038</v>
      </c>
      <c r="V21" s="19">
        <f t="shared" si="2"/>
        <v>1.112204474042727</v>
      </c>
      <c r="W21" s="19">
        <f t="shared" si="2"/>
        <v>0.95093482530653173</v>
      </c>
      <c r="X21" s="19">
        <f t="shared" si="2"/>
        <v>0.81304927563708462</v>
      </c>
      <c r="Y21" s="19">
        <f t="shared" si="2"/>
        <v>0.69515713066970741</v>
      </c>
      <c r="Z21" s="19">
        <f t="shared" si="2"/>
        <v>0.59435934672259993</v>
      </c>
      <c r="AA21" s="19">
        <f t="shared" si="2"/>
        <v>0.50817724144782295</v>
      </c>
      <c r="AB21" s="19">
        <f t="shared" si="2"/>
        <v>0.43449154143788865</v>
      </c>
      <c r="AC21" s="19">
        <f t="shared" si="2"/>
        <v>0.37149026792939477</v>
      </c>
    </row>
    <row r="23" spans="1:29" x14ac:dyDescent="0.2">
      <c r="B23" s="20" t="s">
        <v>82</v>
      </c>
      <c r="C23" s="21"/>
      <c r="D23" s="21"/>
      <c r="E23" s="22">
        <f>E9+E15+E21</f>
        <v>31.7</v>
      </c>
      <c r="F23" s="22">
        <f t="shared" ref="F23:AC23" si="3">F9+F15+F21</f>
        <v>28.746749999999999</v>
      </c>
      <c r="G23" s="22">
        <f t="shared" si="3"/>
        <v>26.161839749999999</v>
      </c>
      <c r="H23" s="22">
        <f t="shared" si="3"/>
        <v>23.894732639250002</v>
      </c>
      <c r="I23" s="22">
        <f t="shared" si="3"/>
        <v>21.902058561072753</v>
      </c>
      <c r="J23" s="22">
        <f t="shared" si="3"/>
        <v>20.146584434651338</v>
      </c>
      <c r="K23" s="22">
        <f t="shared" si="3"/>
        <v>18.596333408655109</v>
      </c>
      <c r="L23" s="22">
        <f t="shared" si="3"/>
        <v>17.223831224438186</v>
      </c>
      <c r="M23" s="22">
        <f t="shared" si="3"/>
        <v>16.00546133500664</v>
      </c>
      <c r="N23" s="22">
        <f t="shared" si="3"/>
        <v>14.920913042376093</v>
      </c>
      <c r="O23" s="22">
        <f t="shared" si="3"/>
        <v>13.952709195866792</v>
      </c>
      <c r="P23" s="22">
        <f t="shared" si="3"/>
        <v>13.085801943343423</v>
      </c>
      <c r="Q23" s="22">
        <f t="shared" si="3"/>
        <v>12.307226694310824</v>
      </c>
      <c r="R23" s="22">
        <f t="shared" si="3"/>
        <v>11.605805879088807</v>
      </c>
      <c r="S23" s="22">
        <f t="shared" si="3"/>
        <v>10.971895307032757</v>
      </c>
      <c r="T23" s="22">
        <f t="shared" si="3"/>
        <v>10.397166968888223</v>
      </c>
      <c r="U23" s="22">
        <f t="shared" si="3"/>
        <v>9.8744230194713278</v>
      </c>
      <c r="V23" s="22">
        <f t="shared" si="3"/>
        <v>9.3974364388445348</v>
      </c>
      <c r="W23" s="22">
        <f t="shared" si="3"/>
        <v>8.9608145217273254</v>
      </c>
      <c r="X23" s="22">
        <f t="shared" si="3"/>
        <v>8.559881902047751</v>
      </c>
      <c r="Y23" s="22">
        <f t="shared" si="3"/>
        <v>8.1905802959875178</v>
      </c>
      <c r="Z23" s="22">
        <f t="shared" si="3"/>
        <v>7.8493825543004165</v>
      </c>
      <c r="AA23" s="22">
        <f t="shared" si="3"/>
        <v>7.533218963095333</v>
      </c>
      <c r="AB23" s="22">
        <f t="shared" si="3"/>
        <v>7.2394140302239798</v>
      </c>
      <c r="AC23" s="22">
        <f t="shared" si="3"/>
        <v>6.9656322492138614</v>
      </c>
    </row>
  </sheetData>
  <mergeCells count="2">
    <mergeCell ref="E3:AC3"/>
    <mergeCell ref="G1:I1"/>
  </mergeCells>
  <hyperlinks>
    <hyperlink ref="G1" location="Content!A1" display="Back to Content" xr:uid="{7C976E77-EDB5-4365-B122-E608E18943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2601-9F78-47EA-9F94-6567C381338F}">
  <dimension ref="A1:AC18"/>
  <sheetViews>
    <sheetView workbookViewId="0">
      <selection activeCell="I1" sqref="I1:K1"/>
    </sheetView>
  </sheetViews>
  <sheetFormatPr defaultRowHeight="12" x14ac:dyDescent="0.2"/>
  <cols>
    <col min="1" max="2" width="3.28515625" style="10" customWidth="1"/>
    <col min="3" max="3" width="22.7109375" style="10" customWidth="1"/>
    <col min="4" max="4" width="1.42578125" style="10" customWidth="1"/>
    <col min="5" max="29" width="5.7109375" style="10" bestFit="1" customWidth="1"/>
    <col min="30" max="16384" width="9.140625" style="10"/>
  </cols>
  <sheetData>
    <row r="1" spans="1:29" ht="15" x14ac:dyDescent="0.25">
      <c r="A1" s="12" t="s">
        <v>52</v>
      </c>
      <c r="I1" s="72" t="s">
        <v>180</v>
      </c>
      <c r="J1" s="73"/>
      <c r="K1" s="73"/>
    </row>
    <row r="2" spans="1:29" x14ac:dyDescent="0.2">
      <c r="A2" s="11" t="s">
        <v>81</v>
      </c>
    </row>
    <row r="3" spans="1:29" x14ac:dyDescent="0.2">
      <c r="E3" s="68" t="s">
        <v>56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</row>
    <row r="4" spans="1:29" x14ac:dyDescent="0.2">
      <c r="B4" s="15" t="s">
        <v>37</v>
      </c>
      <c r="C4" s="17"/>
      <c r="D4" s="17"/>
      <c r="E4" s="15">
        <v>2021</v>
      </c>
      <c r="F4" s="15">
        <v>2022</v>
      </c>
      <c r="G4" s="15">
        <v>2023</v>
      </c>
      <c r="H4" s="15">
        <v>2024</v>
      </c>
      <c r="I4" s="15">
        <v>2025</v>
      </c>
      <c r="J4" s="15">
        <v>2026</v>
      </c>
      <c r="K4" s="15">
        <v>2027</v>
      </c>
      <c r="L4" s="15">
        <v>2028</v>
      </c>
      <c r="M4" s="15">
        <v>2029</v>
      </c>
      <c r="N4" s="15">
        <v>2030</v>
      </c>
      <c r="O4" s="15">
        <v>2031</v>
      </c>
      <c r="P4" s="15">
        <v>2032</v>
      </c>
      <c r="Q4" s="15">
        <v>2033</v>
      </c>
      <c r="R4" s="15">
        <v>2034</v>
      </c>
      <c r="S4" s="15">
        <v>2035</v>
      </c>
      <c r="T4" s="15">
        <v>2036</v>
      </c>
      <c r="U4" s="15">
        <v>2037</v>
      </c>
      <c r="V4" s="15">
        <v>2038</v>
      </c>
      <c r="W4" s="15">
        <v>2039</v>
      </c>
      <c r="X4" s="15">
        <v>2040</v>
      </c>
      <c r="Y4" s="15">
        <v>2041</v>
      </c>
      <c r="Z4" s="15">
        <v>2042</v>
      </c>
      <c r="AA4" s="15">
        <v>2043</v>
      </c>
      <c r="AB4" s="15">
        <v>2044</v>
      </c>
      <c r="AC4" s="15">
        <v>2045</v>
      </c>
    </row>
    <row r="5" spans="1:29" x14ac:dyDescent="0.2">
      <c r="B5" s="12" t="s">
        <v>68</v>
      </c>
      <c r="E5" s="13">
        <v>2400</v>
      </c>
      <c r="F5" s="13">
        <f>E5*(1-'Project Assumptions'!$D$9)</f>
        <v>2390.4</v>
      </c>
      <c r="G5" s="13">
        <f>F5*(1-'Project Assumptions'!$D$9)</f>
        <v>2380.8384000000001</v>
      </c>
      <c r="H5" s="13">
        <f>G5*(1-'Project Assumptions'!$D$9)</f>
        <v>2371.3150464</v>
      </c>
      <c r="I5" s="13">
        <f>H5*(1-'Project Assumptions'!$D$9)</f>
        <v>2361.8297862144</v>
      </c>
      <c r="J5" s="13">
        <f>I5*(1-'Project Assumptions'!$D$9)</f>
        <v>2352.3824670695421</v>
      </c>
      <c r="K5" s="13">
        <f>J5*(1-'Project Assumptions'!$D$9)</f>
        <v>2342.9729372012639</v>
      </c>
      <c r="L5" s="13">
        <f>K5*(1-'Project Assumptions'!$D$9)</f>
        <v>2333.6010454524589</v>
      </c>
      <c r="M5" s="13">
        <f>L5*(1-'Project Assumptions'!$D$9)</f>
        <v>2324.266641270649</v>
      </c>
      <c r="N5" s="13">
        <f>M5*(1-'Project Assumptions'!$D$9)</f>
        <v>2314.9695747055662</v>
      </c>
      <c r="O5" s="13">
        <f>N5*(1-'Project Assumptions'!$D$10)</f>
        <v>2297.6073028952746</v>
      </c>
      <c r="P5" s="13">
        <f>O5*(1-'Project Assumptions'!$D$10)</f>
        <v>2280.3752481235601</v>
      </c>
      <c r="Q5" s="13">
        <f>P5*(1-'Project Assumptions'!$D$10)</f>
        <v>2263.2724337626337</v>
      </c>
      <c r="R5" s="13">
        <f>Q5*(1-'Project Assumptions'!$D$10)</f>
        <v>2246.2978905094142</v>
      </c>
      <c r="S5" s="13">
        <f>R5*(1-'Project Assumptions'!$D$10)</f>
        <v>2229.4506563305936</v>
      </c>
      <c r="T5" s="13">
        <f>S5*(1-'Project Assumptions'!$D$10)</f>
        <v>2212.729776408114</v>
      </c>
      <c r="U5" s="13">
        <f>T5*(1-'Project Assumptions'!$D$10)</f>
        <v>2196.1343030850535</v>
      </c>
      <c r="V5" s="13">
        <f>U5*(1-'Project Assumptions'!$D$10)</f>
        <v>2179.6632958119158</v>
      </c>
      <c r="W5" s="13">
        <f>V5*(1-'Project Assumptions'!$D$10)</f>
        <v>2163.3158210933266</v>
      </c>
      <c r="X5" s="13">
        <f>W5*(1-'Project Assumptions'!$D$10)</f>
        <v>2147.0909524351268</v>
      </c>
      <c r="Y5" s="13">
        <f>X5*(1-'Project Assumptions'!$D$10)</f>
        <v>2130.9877702918634</v>
      </c>
      <c r="Z5" s="13">
        <f>Y5*(1-'Project Assumptions'!$D$10)</f>
        <v>2115.0053620146746</v>
      </c>
      <c r="AA5" s="13">
        <f>Z5*(1-'Project Assumptions'!$D$10)</f>
        <v>2099.1428217995644</v>
      </c>
      <c r="AB5" s="13">
        <f>AA5*(1-'Project Assumptions'!$D$10)</f>
        <v>2083.3992506360678</v>
      </c>
      <c r="AC5" s="13">
        <f>AB5*(1-'Project Assumptions'!$D$10)</f>
        <v>2067.7737562562975</v>
      </c>
    </row>
    <row r="6" spans="1:29" x14ac:dyDescent="0.2">
      <c r="B6" s="12" t="s">
        <v>53</v>
      </c>
      <c r="E6" s="14">
        <f>(E5*1000*'Project Assumptions'!$D$22)/10^5</f>
        <v>168</v>
      </c>
      <c r="F6" s="14">
        <f>(F5*1000*'Project Assumptions'!$D$22)/10^5</f>
        <v>167.328</v>
      </c>
      <c r="G6" s="14">
        <f>(G5*1000*'Project Assumptions'!$D$22)/10^5</f>
        <v>166.65868799999998</v>
      </c>
      <c r="H6" s="14">
        <f>(H5*1000*'Project Assumptions'!$D$22)/10^5</f>
        <v>165.99205324799999</v>
      </c>
      <c r="I6" s="14">
        <f>(I5*1000*'Project Assumptions'!$D$22)/10^5</f>
        <v>165.328085035008</v>
      </c>
      <c r="J6" s="14">
        <f>(J5*1000*'Project Assumptions'!$D$22)/10^5</f>
        <v>164.66677269486794</v>
      </c>
      <c r="K6" s="14">
        <f>(K5*1000*'Project Assumptions'!$D$22)/10^5</f>
        <v>164.00810560408848</v>
      </c>
      <c r="L6" s="14">
        <f>(L5*1000*'Project Assumptions'!$D$22)/10^5</f>
        <v>163.35207318167213</v>
      </c>
      <c r="M6" s="14">
        <f>(M5*1000*'Project Assumptions'!$D$22)/10^5</f>
        <v>162.69866488894544</v>
      </c>
      <c r="N6" s="14">
        <f>(N5*1000*'Project Assumptions'!$D$22)/10^5</f>
        <v>162.04787022938962</v>
      </c>
      <c r="O6" s="14">
        <f>(O5*1000*'Project Assumptions'!$D$22)/10^5</f>
        <v>160.83251120266922</v>
      </c>
      <c r="P6" s="14">
        <f>(P5*1000*'Project Assumptions'!$D$22)/10^5</f>
        <v>159.6262673686492</v>
      </c>
      <c r="Q6" s="14">
        <f>(Q5*1000*'Project Assumptions'!$D$22)/10^5</f>
        <v>158.42907036338434</v>
      </c>
      <c r="R6" s="14">
        <f>(R5*1000*'Project Assumptions'!$D$22)/10^5</f>
        <v>157.24085233565899</v>
      </c>
      <c r="S6" s="14">
        <f>(S5*1000*'Project Assumptions'!$D$22)/10^5</f>
        <v>156.06154594314154</v>
      </c>
      <c r="T6" s="14">
        <f>(T5*1000*'Project Assumptions'!$D$22)/10^5</f>
        <v>154.89108434856797</v>
      </c>
      <c r="U6" s="14">
        <f>(U5*1000*'Project Assumptions'!$D$22)/10^5</f>
        <v>153.72940121595374</v>
      </c>
      <c r="V6" s="14">
        <f>(V5*1000*'Project Assumptions'!$D$22)/10^5</f>
        <v>152.57643070683412</v>
      </c>
      <c r="W6" s="14">
        <f>(W5*1000*'Project Assumptions'!$D$22)/10^5</f>
        <v>151.43210747653285</v>
      </c>
      <c r="X6" s="14">
        <f>(X5*1000*'Project Assumptions'!$D$22)/10^5</f>
        <v>150.29636667045889</v>
      </c>
      <c r="Y6" s="14">
        <f>(Y5*1000*'Project Assumptions'!$D$22)/10^5</f>
        <v>149.16914392043046</v>
      </c>
      <c r="Z6" s="14">
        <f>(Z5*1000*'Project Assumptions'!$D$22)/10^5</f>
        <v>148.05037534102723</v>
      </c>
      <c r="AA6" s="14">
        <f>(AA5*1000*'Project Assumptions'!$D$22)/10^5</f>
        <v>146.93999752596952</v>
      </c>
      <c r="AB6" s="14">
        <f>(AB5*1000*'Project Assumptions'!$D$22)/10^5</f>
        <v>145.83794754452475</v>
      </c>
      <c r="AC6" s="14">
        <f>(AC5*1000*'Project Assumptions'!$D$22)/10^5</f>
        <v>144.74416293794081</v>
      </c>
    </row>
    <row r="7" spans="1:29" x14ac:dyDescent="0.2">
      <c r="C7" s="10" t="s">
        <v>54</v>
      </c>
      <c r="E7" s="14">
        <f>('Project Assumptions'!$D$33)/10^5</f>
        <v>15</v>
      </c>
      <c r="F7" s="14">
        <f>E7*(1+'Project Assumptions'!$D$34)</f>
        <v>15.450000000000001</v>
      </c>
      <c r="G7" s="14">
        <f>F7*(1+'Project Assumptions'!$D$34)</f>
        <v>15.913500000000001</v>
      </c>
      <c r="H7" s="14">
        <f>G7*(1+'Project Assumptions'!$D$34)</f>
        <v>16.390905</v>
      </c>
      <c r="I7" s="14">
        <f>H7*(1+'Project Assumptions'!$D$34)</f>
        <v>16.882632149999999</v>
      </c>
      <c r="J7" s="14">
        <f>I7*(1+'Project Assumptions'!$D$34)</f>
        <v>17.3891111145</v>
      </c>
      <c r="K7" s="14">
        <f>J7*(1+'Project Assumptions'!$D$34)</f>
        <v>17.910784447935001</v>
      </c>
      <c r="L7" s="14">
        <f>K7*(1+'Project Assumptions'!$D$34)</f>
        <v>18.448107981373052</v>
      </c>
      <c r="M7" s="14">
        <f>L7*(1+'Project Assumptions'!$D$34)</f>
        <v>19.001551220814246</v>
      </c>
      <c r="N7" s="14">
        <f>M7*(1+'Project Assumptions'!$D$34)</f>
        <v>19.571597757438674</v>
      </c>
      <c r="O7" s="14">
        <f>N7*(1+'Project Assumptions'!$D$34)</f>
        <v>20.158745690161833</v>
      </c>
      <c r="P7" s="14">
        <f>O7*(1+'Project Assumptions'!$D$34)</f>
        <v>20.763508060866688</v>
      </c>
      <c r="Q7" s="14">
        <f>P7*(1+'Project Assumptions'!$D$34)</f>
        <v>21.386413302692688</v>
      </c>
      <c r="R7" s="14">
        <f>Q7*(1+'Project Assumptions'!$D$34)</f>
        <v>22.02800570177347</v>
      </c>
      <c r="S7" s="14">
        <f>R7*(1+'Project Assumptions'!$D$34)</f>
        <v>22.688845872826676</v>
      </c>
      <c r="T7" s="14">
        <f>S7*(1+'Project Assumptions'!$D$34)</f>
        <v>23.369511249011477</v>
      </c>
      <c r="U7" s="14">
        <f>T7*(1+'Project Assumptions'!$D$34)</f>
        <v>24.070596586481823</v>
      </c>
      <c r="V7" s="14">
        <f>U7*(1+'Project Assumptions'!$D$34)</f>
        <v>24.792714484076278</v>
      </c>
      <c r="W7" s="14">
        <f>V7*(1+'Project Assumptions'!$D$34)</f>
        <v>25.536495918598568</v>
      </c>
      <c r="X7" s="14">
        <f>W7*(1+'Project Assumptions'!$D$34)</f>
        <v>26.302590796156526</v>
      </c>
      <c r="Y7" s="14">
        <f>X7*(1+'Project Assumptions'!$D$34)</f>
        <v>27.091668520041221</v>
      </c>
      <c r="Z7" s="14">
        <f>Y7*(1+'Project Assumptions'!$D$34)</f>
        <v>27.90441857564246</v>
      </c>
      <c r="AA7" s="14">
        <f>Z7*(1+'Project Assumptions'!$D$34)</f>
        <v>28.741551132911734</v>
      </c>
      <c r="AB7" s="14">
        <f>AA7*(1+'Project Assumptions'!$D$34)</f>
        <v>29.603797666899087</v>
      </c>
      <c r="AC7" s="14">
        <f>AB7*(1+'Project Assumptions'!$D$34)</f>
        <v>30.491911596906061</v>
      </c>
    </row>
    <row r="8" spans="1:29" x14ac:dyDescent="0.2">
      <c r="B8" s="12" t="s">
        <v>55</v>
      </c>
      <c r="E8" s="14">
        <f t="shared" ref="E8:AC8" si="0">E6-E7</f>
        <v>153</v>
      </c>
      <c r="F8" s="14">
        <f t="shared" si="0"/>
        <v>151.87800000000001</v>
      </c>
      <c r="G8" s="14">
        <f t="shared" si="0"/>
        <v>150.74518799999998</v>
      </c>
      <c r="H8" s="14">
        <f t="shared" si="0"/>
        <v>149.60114824799999</v>
      </c>
      <c r="I8" s="14">
        <f t="shared" si="0"/>
        <v>148.445452885008</v>
      </c>
      <c r="J8" s="14">
        <f t="shared" si="0"/>
        <v>147.27766158036795</v>
      </c>
      <c r="K8" s="14">
        <f t="shared" si="0"/>
        <v>146.0973211561535</v>
      </c>
      <c r="L8" s="14">
        <f t="shared" si="0"/>
        <v>144.90396520029907</v>
      </c>
      <c r="M8" s="14">
        <f t="shared" si="0"/>
        <v>143.69711366813121</v>
      </c>
      <c r="N8" s="14">
        <f t="shared" si="0"/>
        <v>142.47627247195095</v>
      </c>
      <c r="O8" s="14">
        <f t="shared" si="0"/>
        <v>140.6737655125074</v>
      </c>
      <c r="P8" s="14">
        <f t="shared" si="0"/>
        <v>138.86275930778251</v>
      </c>
      <c r="Q8" s="14">
        <f t="shared" si="0"/>
        <v>137.04265706069165</v>
      </c>
      <c r="R8" s="14">
        <f t="shared" si="0"/>
        <v>135.2128466338855</v>
      </c>
      <c r="S8" s="14">
        <f t="shared" si="0"/>
        <v>133.37270007031486</v>
      </c>
      <c r="T8" s="14">
        <f t="shared" si="0"/>
        <v>131.52157309955649</v>
      </c>
      <c r="U8" s="14">
        <f t="shared" si="0"/>
        <v>129.65880462947192</v>
      </c>
      <c r="V8" s="14">
        <f t="shared" si="0"/>
        <v>127.78371622275785</v>
      </c>
      <c r="W8" s="14">
        <f t="shared" si="0"/>
        <v>125.89561155793427</v>
      </c>
      <c r="X8" s="14">
        <f t="shared" si="0"/>
        <v>123.99377587430237</v>
      </c>
      <c r="Y8" s="14">
        <f t="shared" si="0"/>
        <v>122.07747540038923</v>
      </c>
      <c r="Z8" s="14">
        <f t="shared" si="0"/>
        <v>120.14595676538477</v>
      </c>
      <c r="AA8" s="14">
        <f t="shared" si="0"/>
        <v>118.19844639305778</v>
      </c>
      <c r="AB8" s="14">
        <f t="shared" si="0"/>
        <v>116.23414987762567</v>
      </c>
      <c r="AC8" s="14">
        <f t="shared" si="0"/>
        <v>114.25225134103475</v>
      </c>
    </row>
    <row r="9" spans="1:29" x14ac:dyDescent="0.2">
      <c r="C9" s="10" t="s">
        <v>58</v>
      </c>
      <c r="E9" s="14">
        <v>15</v>
      </c>
      <c r="F9" s="14">
        <v>15</v>
      </c>
      <c r="G9" s="14">
        <v>15</v>
      </c>
      <c r="H9" s="14">
        <v>15</v>
      </c>
      <c r="I9" s="14">
        <v>15</v>
      </c>
      <c r="J9" s="14">
        <v>15</v>
      </c>
      <c r="K9" s="14">
        <v>15</v>
      </c>
      <c r="L9" s="14">
        <v>15</v>
      </c>
      <c r="M9" s="14">
        <v>15</v>
      </c>
      <c r="N9" s="14">
        <v>15</v>
      </c>
      <c r="O9" s="14">
        <v>15</v>
      </c>
      <c r="P9" s="14">
        <v>15</v>
      </c>
      <c r="Q9" s="14">
        <v>15</v>
      </c>
      <c r="R9" s="14">
        <v>15</v>
      </c>
      <c r="S9" s="14">
        <v>15</v>
      </c>
      <c r="T9" s="14">
        <v>15</v>
      </c>
      <c r="U9" s="14">
        <v>15</v>
      </c>
      <c r="V9" s="14">
        <v>15</v>
      </c>
      <c r="W9" s="14">
        <v>15</v>
      </c>
      <c r="X9" s="14">
        <v>15</v>
      </c>
      <c r="Y9" s="14">
        <v>15</v>
      </c>
      <c r="Z9" s="14">
        <v>15</v>
      </c>
      <c r="AA9" s="14">
        <v>15</v>
      </c>
      <c r="AB9" s="14">
        <v>15</v>
      </c>
      <c r="AC9" s="14">
        <v>15</v>
      </c>
    </row>
    <row r="10" spans="1:29" x14ac:dyDescent="0.2">
      <c r="B10" s="12" t="s">
        <v>59</v>
      </c>
      <c r="E10" s="14">
        <f>E8-E9</f>
        <v>138</v>
      </c>
      <c r="F10" s="14">
        <f t="shared" ref="F10:AC10" si="1">F8-F9</f>
        <v>136.87800000000001</v>
      </c>
      <c r="G10" s="14">
        <f t="shared" si="1"/>
        <v>135.74518799999998</v>
      </c>
      <c r="H10" s="14">
        <f t="shared" si="1"/>
        <v>134.60114824799999</v>
      </c>
      <c r="I10" s="14">
        <f t="shared" si="1"/>
        <v>133.445452885008</v>
      </c>
      <c r="J10" s="14">
        <f t="shared" si="1"/>
        <v>132.27766158036795</v>
      </c>
      <c r="K10" s="14">
        <f t="shared" si="1"/>
        <v>131.0973211561535</v>
      </c>
      <c r="L10" s="14">
        <f t="shared" si="1"/>
        <v>129.90396520029907</v>
      </c>
      <c r="M10" s="14">
        <f t="shared" si="1"/>
        <v>128.69711366813121</v>
      </c>
      <c r="N10" s="14">
        <f t="shared" si="1"/>
        <v>127.47627247195095</v>
      </c>
      <c r="O10" s="14">
        <f t="shared" si="1"/>
        <v>125.6737655125074</v>
      </c>
      <c r="P10" s="14">
        <f t="shared" si="1"/>
        <v>123.86275930778251</v>
      </c>
      <c r="Q10" s="14">
        <f t="shared" si="1"/>
        <v>122.04265706069165</v>
      </c>
      <c r="R10" s="14">
        <f t="shared" si="1"/>
        <v>120.2128466338855</v>
      </c>
      <c r="S10" s="14">
        <f t="shared" si="1"/>
        <v>118.37270007031486</v>
      </c>
      <c r="T10" s="14">
        <f t="shared" si="1"/>
        <v>116.52157309955649</v>
      </c>
      <c r="U10" s="14">
        <f t="shared" si="1"/>
        <v>114.65880462947192</v>
      </c>
      <c r="V10" s="14">
        <f t="shared" si="1"/>
        <v>112.78371622275785</v>
      </c>
      <c r="W10" s="14">
        <f t="shared" si="1"/>
        <v>110.89561155793427</v>
      </c>
      <c r="X10" s="14">
        <f t="shared" si="1"/>
        <v>108.99377587430237</v>
      </c>
      <c r="Y10" s="14">
        <f t="shared" si="1"/>
        <v>107.07747540038923</v>
      </c>
      <c r="Z10" s="14">
        <f t="shared" si="1"/>
        <v>105.14595676538477</v>
      </c>
      <c r="AA10" s="14">
        <f t="shared" si="1"/>
        <v>103.19844639305778</v>
      </c>
      <c r="AB10" s="14">
        <f t="shared" si="1"/>
        <v>101.23414987762567</v>
      </c>
      <c r="AC10" s="14">
        <f t="shared" si="1"/>
        <v>99.25225134103475</v>
      </c>
    </row>
    <row r="11" spans="1:29" x14ac:dyDescent="0.2">
      <c r="C11" s="10" t="s">
        <v>57</v>
      </c>
      <c r="E11" s="14">
        <f>('Cost - Expenses'!$B$8+'Cost - Expenses'!$B$9+'Cost - Expenses'!$B$10+'Cost - Expenses'!$B$11)/25</f>
        <v>2.2000000000000002</v>
      </c>
      <c r="F11" s="14">
        <f>('Cost - Expenses'!$B$8+'Cost - Expenses'!$B$9+'Cost - Expenses'!$B$10+'Cost - Expenses'!$B$11)/25</f>
        <v>2.2000000000000002</v>
      </c>
      <c r="G11" s="14">
        <f>('Cost - Expenses'!$B$8+'Cost - Expenses'!$B$9+'Cost - Expenses'!$B$10+'Cost - Expenses'!$B$11)/25</f>
        <v>2.2000000000000002</v>
      </c>
      <c r="H11" s="14">
        <f>('Cost - Expenses'!$B$8+'Cost - Expenses'!$B$9+'Cost - Expenses'!$B$10+'Cost - Expenses'!$B$11)/25</f>
        <v>2.2000000000000002</v>
      </c>
      <c r="I11" s="14">
        <f>('Cost - Expenses'!$B$8+'Cost - Expenses'!$B$9+'Cost - Expenses'!$B$10+'Cost - Expenses'!$B$11)/25</f>
        <v>2.2000000000000002</v>
      </c>
      <c r="J11" s="14">
        <f>('Cost - Expenses'!$B$8+'Cost - Expenses'!$B$9+'Cost - Expenses'!$B$10+'Cost - Expenses'!$B$11)/25</f>
        <v>2.2000000000000002</v>
      </c>
      <c r="K11" s="14">
        <f>('Cost - Expenses'!$B$8+'Cost - Expenses'!$B$9+'Cost - Expenses'!$B$10+'Cost - Expenses'!$B$11)/25</f>
        <v>2.2000000000000002</v>
      </c>
      <c r="L11" s="14">
        <f>('Cost - Expenses'!$B$8+'Cost - Expenses'!$B$9+'Cost - Expenses'!$B$10+'Cost - Expenses'!$B$11)/25</f>
        <v>2.2000000000000002</v>
      </c>
      <c r="M11" s="14">
        <f>('Cost - Expenses'!$B$8+'Cost - Expenses'!$B$9+'Cost - Expenses'!$B$10+'Cost - Expenses'!$B$11)/25</f>
        <v>2.2000000000000002</v>
      </c>
      <c r="N11" s="14">
        <f>('Cost - Expenses'!$B$8+'Cost - Expenses'!$B$9+'Cost - Expenses'!$B$10+'Cost - Expenses'!$B$11)/25</f>
        <v>2.2000000000000002</v>
      </c>
      <c r="O11" s="14">
        <f>('Cost - Expenses'!$B$8+'Cost - Expenses'!$B$9+'Cost - Expenses'!$B$10+'Cost - Expenses'!$B$11)/25</f>
        <v>2.2000000000000002</v>
      </c>
      <c r="P11" s="14">
        <f>('Cost - Expenses'!$B$8+'Cost - Expenses'!$B$9+'Cost - Expenses'!$B$10+'Cost - Expenses'!$B$11)/25</f>
        <v>2.2000000000000002</v>
      </c>
      <c r="Q11" s="14">
        <f>('Cost - Expenses'!$B$8+'Cost - Expenses'!$B$9+'Cost - Expenses'!$B$10+'Cost - Expenses'!$B$11)/25</f>
        <v>2.2000000000000002</v>
      </c>
      <c r="R11" s="14">
        <f>('Cost - Expenses'!$B$8+'Cost - Expenses'!$B$9+'Cost - Expenses'!$B$10+'Cost - Expenses'!$B$11)/25</f>
        <v>2.2000000000000002</v>
      </c>
      <c r="S11" s="14">
        <f>('Cost - Expenses'!$B$8+'Cost - Expenses'!$B$9+'Cost - Expenses'!$B$10+'Cost - Expenses'!$B$11)/25</f>
        <v>2.2000000000000002</v>
      </c>
      <c r="T11" s="14">
        <f>('Cost - Expenses'!$B$8+'Cost - Expenses'!$B$9+'Cost - Expenses'!$B$10+'Cost - Expenses'!$B$11)/25</f>
        <v>2.2000000000000002</v>
      </c>
      <c r="U11" s="14">
        <f>('Cost - Expenses'!$B$8+'Cost - Expenses'!$B$9+'Cost - Expenses'!$B$10+'Cost - Expenses'!$B$11)/25</f>
        <v>2.2000000000000002</v>
      </c>
      <c r="V11" s="14">
        <f>('Cost - Expenses'!$B$8+'Cost - Expenses'!$B$9+'Cost - Expenses'!$B$10+'Cost - Expenses'!$B$11)/25</f>
        <v>2.2000000000000002</v>
      </c>
      <c r="W11" s="14">
        <f>('Cost - Expenses'!$B$8+'Cost - Expenses'!$B$9+'Cost - Expenses'!$B$10+'Cost - Expenses'!$B$11)/25</f>
        <v>2.2000000000000002</v>
      </c>
      <c r="X11" s="14">
        <f>('Cost - Expenses'!$B$8+'Cost - Expenses'!$B$9+'Cost - Expenses'!$B$10+'Cost - Expenses'!$B$11)/25</f>
        <v>2.2000000000000002</v>
      </c>
      <c r="Y11" s="14">
        <f>('Cost - Expenses'!$B$8+'Cost - Expenses'!$B$9+'Cost - Expenses'!$B$10+'Cost - Expenses'!$B$11)/25</f>
        <v>2.2000000000000002</v>
      </c>
      <c r="Z11" s="14">
        <f>('Cost - Expenses'!$B$8+'Cost - Expenses'!$B$9+'Cost - Expenses'!$B$10+'Cost - Expenses'!$B$11)/25</f>
        <v>2.2000000000000002</v>
      </c>
      <c r="AA11" s="14">
        <f>('Cost - Expenses'!$B$8+'Cost - Expenses'!$B$9+'Cost - Expenses'!$B$10+'Cost - Expenses'!$B$11)/25</f>
        <v>2.2000000000000002</v>
      </c>
      <c r="AB11" s="14">
        <f>('Cost - Expenses'!$B$8+'Cost - Expenses'!$B$9+'Cost - Expenses'!$B$10+'Cost - Expenses'!$B$11)/25</f>
        <v>2.2000000000000002</v>
      </c>
      <c r="AC11" s="14">
        <f>('Cost - Expenses'!$B$8+'Cost - Expenses'!$B$9+'Cost - Expenses'!$B$10+'Cost - Expenses'!$B$11)/25</f>
        <v>2.2000000000000002</v>
      </c>
    </row>
    <row r="12" spans="1:29" x14ac:dyDescent="0.2">
      <c r="B12" s="12" t="s">
        <v>61</v>
      </c>
      <c r="E12" s="14">
        <f>E10-E11</f>
        <v>135.80000000000001</v>
      </c>
      <c r="F12" s="14">
        <f t="shared" ref="F12:AC12" si="2">F10-F11</f>
        <v>134.67800000000003</v>
      </c>
      <c r="G12" s="14">
        <f t="shared" si="2"/>
        <v>133.545188</v>
      </c>
      <c r="H12" s="14">
        <f t="shared" si="2"/>
        <v>132.401148248</v>
      </c>
      <c r="I12" s="14">
        <f t="shared" si="2"/>
        <v>131.24545288500801</v>
      </c>
      <c r="J12" s="14">
        <f t="shared" si="2"/>
        <v>130.07766158036796</v>
      </c>
      <c r="K12" s="14">
        <f t="shared" si="2"/>
        <v>128.89732115615351</v>
      </c>
      <c r="L12" s="14">
        <f t="shared" si="2"/>
        <v>127.70396520029907</v>
      </c>
      <c r="M12" s="14">
        <f t="shared" si="2"/>
        <v>126.49711366813121</v>
      </c>
      <c r="N12" s="14">
        <f t="shared" si="2"/>
        <v>125.27627247195095</v>
      </c>
      <c r="O12" s="14">
        <f t="shared" si="2"/>
        <v>123.4737655125074</v>
      </c>
      <c r="P12" s="14">
        <f t="shared" si="2"/>
        <v>121.66275930778251</v>
      </c>
      <c r="Q12" s="14">
        <f t="shared" si="2"/>
        <v>119.84265706069165</v>
      </c>
      <c r="R12" s="14">
        <f t="shared" si="2"/>
        <v>118.0128466338855</v>
      </c>
      <c r="S12" s="14">
        <f t="shared" si="2"/>
        <v>116.17270007031486</v>
      </c>
      <c r="T12" s="14">
        <f t="shared" si="2"/>
        <v>114.32157309955649</v>
      </c>
      <c r="U12" s="14">
        <f t="shared" si="2"/>
        <v>112.45880462947191</v>
      </c>
      <c r="V12" s="14">
        <f t="shared" si="2"/>
        <v>110.58371622275784</v>
      </c>
      <c r="W12" s="14">
        <f t="shared" si="2"/>
        <v>108.69561155793427</v>
      </c>
      <c r="X12" s="14">
        <f t="shared" si="2"/>
        <v>106.79377587430237</v>
      </c>
      <c r="Y12" s="14">
        <f t="shared" si="2"/>
        <v>104.87747540038923</v>
      </c>
      <c r="Z12" s="14">
        <f t="shared" si="2"/>
        <v>102.94595676538476</v>
      </c>
      <c r="AA12" s="14">
        <f t="shared" si="2"/>
        <v>100.99844639305778</v>
      </c>
      <c r="AB12" s="14">
        <f t="shared" si="2"/>
        <v>99.034149877625666</v>
      </c>
      <c r="AC12" s="14">
        <f t="shared" si="2"/>
        <v>97.052251341034747</v>
      </c>
    </row>
    <row r="13" spans="1:29" x14ac:dyDescent="0.2">
      <c r="C13" s="10" t="s">
        <v>60</v>
      </c>
      <c r="E13" s="14">
        <f>'Debt - Loan Amortisation Sch'!C13</f>
        <v>72.48</v>
      </c>
      <c r="F13" s="14">
        <f>'Debt - Loan Amortisation Sch'!D13</f>
        <v>68.349787781694502</v>
      </c>
      <c r="G13" s="14">
        <f>'Debt - Loan Amortisation Sch'!E13</f>
        <v>63.723950097192336</v>
      </c>
      <c r="H13" s="14">
        <f>'Debt - Loan Amortisation Sch'!F13</f>
        <v>58.54301189054992</v>
      </c>
      <c r="I13" s="14">
        <f>'Debt - Loan Amortisation Sch'!G13</f>
        <v>52.740361099110409</v>
      </c>
      <c r="J13" s="14">
        <f>'Debt - Loan Amortisation Sch'!H13</f>
        <v>46.241392212698159</v>
      </c>
      <c r="K13" s="14">
        <f>'Debt - Loan Amortisation Sch'!I13</f>
        <v>38.962547059916446</v>
      </c>
      <c r="L13" s="14">
        <f>'Debt - Loan Amortisation Sch'!J13</f>
        <v>30.810240488800915</v>
      </c>
      <c r="M13" s="14">
        <f>'Debt - Loan Amortisation Sch'!K13</f>
        <v>21.679657129151529</v>
      </c>
      <c r="N13" s="14">
        <f>'Debt - Loan Amortisation Sch'!L13</f>
        <v>11.453403766344213</v>
      </c>
      <c r="O13" s="14">
        <f>'Debt - Loan Amortisation Sch'!M13</f>
        <v>0</v>
      </c>
      <c r="P13" s="14">
        <f>'Debt - Loan Amortisation Sch'!N13</f>
        <v>0</v>
      </c>
      <c r="Q13" s="14">
        <f>'Debt - Loan Amortisation Sch'!O13</f>
        <v>0</v>
      </c>
      <c r="R13" s="14">
        <f>'Debt - Loan Amortisation Sch'!P13</f>
        <v>0</v>
      </c>
      <c r="S13" s="14">
        <f>'Debt - Loan Amortisation Sch'!Q13</f>
        <v>0</v>
      </c>
      <c r="T13" s="14">
        <f>'Debt - Loan Amortisation Sch'!R13</f>
        <v>0</v>
      </c>
      <c r="U13" s="14">
        <f>'Debt - Loan Amortisation Sch'!S13</f>
        <v>0</v>
      </c>
      <c r="V13" s="14">
        <f>'Debt - Loan Amortisation Sch'!T13</f>
        <v>0</v>
      </c>
      <c r="W13" s="14">
        <f>'Debt - Loan Amortisation Sch'!U13</f>
        <v>0</v>
      </c>
      <c r="X13" s="14">
        <f>'Debt - Loan Amortisation Sch'!V13</f>
        <v>0</v>
      </c>
      <c r="Y13" s="14">
        <f>'Debt - Loan Amortisation Sch'!W13</f>
        <v>0</v>
      </c>
      <c r="Z13" s="14">
        <f>'Debt - Loan Amortisation Sch'!X13</f>
        <v>0</v>
      </c>
      <c r="AA13" s="14">
        <f>'Debt - Loan Amortisation Sch'!Y13</f>
        <v>0</v>
      </c>
      <c r="AB13" s="14">
        <f>'Debt - Loan Amortisation Sch'!Z13</f>
        <v>0</v>
      </c>
      <c r="AC13" s="14">
        <f>'Debt - Loan Amortisation Sch'!AA13</f>
        <v>0</v>
      </c>
    </row>
    <row r="14" spans="1:29" x14ac:dyDescent="0.2">
      <c r="C14" s="10" t="s">
        <v>62</v>
      </c>
      <c r="E14" s="14">
        <f>Depreciation!E23</f>
        <v>31.7</v>
      </c>
      <c r="F14" s="14">
        <f>Depreciation!F23</f>
        <v>28.746749999999999</v>
      </c>
      <c r="G14" s="14">
        <f>Depreciation!G23</f>
        <v>26.161839749999999</v>
      </c>
      <c r="H14" s="14">
        <f>Depreciation!H23</f>
        <v>23.894732639250002</v>
      </c>
      <c r="I14" s="14">
        <f>Depreciation!I23</f>
        <v>21.902058561072753</v>
      </c>
      <c r="J14" s="14">
        <f>Depreciation!J23</f>
        <v>20.146584434651338</v>
      </c>
      <c r="K14" s="14">
        <f>Depreciation!K23</f>
        <v>18.596333408655109</v>
      </c>
      <c r="L14" s="14">
        <f>Depreciation!L23</f>
        <v>17.223831224438186</v>
      </c>
      <c r="M14" s="14">
        <f>Depreciation!M23</f>
        <v>16.00546133500664</v>
      </c>
      <c r="N14" s="14">
        <f>Depreciation!N23</f>
        <v>14.920913042376093</v>
      </c>
      <c r="O14" s="14">
        <f>Depreciation!O23</f>
        <v>13.952709195866792</v>
      </c>
      <c r="P14" s="14">
        <f>Depreciation!P23</f>
        <v>13.085801943343423</v>
      </c>
      <c r="Q14" s="14">
        <f>Depreciation!Q23</f>
        <v>12.307226694310824</v>
      </c>
      <c r="R14" s="14">
        <f>Depreciation!R23</f>
        <v>11.605805879088807</v>
      </c>
      <c r="S14" s="14">
        <f>Depreciation!S23</f>
        <v>10.971895307032757</v>
      </c>
      <c r="T14" s="14">
        <f>Depreciation!T23</f>
        <v>10.397166968888223</v>
      </c>
      <c r="U14" s="14">
        <f>Depreciation!U23</f>
        <v>9.8744230194713278</v>
      </c>
      <c r="V14" s="14">
        <f>Depreciation!V23</f>
        <v>9.3974364388445348</v>
      </c>
      <c r="W14" s="14">
        <f>Depreciation!W23</f>
        <v>8.9608145217273254</v>
      </c>
      <c r="X14" s="14">
        <f>Depreciation!X23</f>
        <v>8.559881902047751</v>
      </c>
      <c r="Y14" s="14">
        <f>Depreciation!Y23</f>
        <v>8.1905802959875178</v>
      </c>
      <c r="Z14" s="14">
        <f>Depreciation!Z23</f>
        <v>7.8493825543004165</v>
      </c>
      <c r="AA14" s="14">
        <f>Depreciation!AA23</f>
        <v>7.533218963095333</v>
      </c>
      <c r="AB14" s="14">
        <f>Depreciation!AB23</f>
        <v>7.2394140302239798</v>
      </c>
      <c r="AC14" s="14">
        <f>Depreciation!AC23</f>
        <v>6.9656322492138614</v>
      </c>
    </row>
    <row r="15" spans="1:29" x14ac:dyDescent="0.2">
      <c r="B15" s="12" t="s">
        <v>63</v>
      </c>
      <c r="E15" s="14">
        <f>E12-E13-E14</f>
        <v>31.620000000000008</v>
      </c>
      <c r="F15" s="14">
        <f t="shared" ref="F15:AC15" si="3">F12-F13-F14</f>
        <v>37.581462218305525</v>
      </c>
      <c r="G15" s="14">
        <f t="shared" si="3"/>
        <v>43.659398152807668</v>
      </c>
      <c r="H15" s="14">
        <f t="shared" si="3"/>
        <v>49.963403718200077</v>
      </c>
      <c r="I15" s="14">
        <f t="shared" si="3"/>
        <v>56.603033224824856</v>
      </c>
      <c r="J15" s="14">
        <f t="shared" si="3"/>
        <v>63.689684933018462</v>
      </c>
      <c r="K15" s="14">
        <f t="shared" si="3"/>
        <v>71.338440687581951</v>
      </c>
      <c r="L15" s="14">
        <f t="shared" si="3"/>
        <v>79.669893487059966</v>
      </c>
      <c r="M15" s="14">
        <f t="shared" si="3"/>
        <v>88.811995203973041</v>
      </c>
      <c r="N15" s="14">
        <f t="shared" si="3"/>
        <v>98.901955663230638</v>
      </c>
      <c r="O15" s="14">
        <f t="shared" si="3"/>
        <v>109.52105631664061</v>
      </c>
      <c r="P15" s="14">
        <f t="shared" si="3"/>
        <v>108.57695736443908</v>
      </c>
      <c r="Q15" s="14">
        <f t="shared" si="3"/>
        <v>107.53543036638082</v>
      </c>
      <c r="R15" s="14">
        <f t="shared" si="3"/>
        <v>106.4070407547967</v>
      </c>
      <c r="S15" s="14">
        <f t="shared" si="3"/>
        <v>105.20080476328211</v>
      </c>
      <c r="T15" s="14">
        <f t="shared" si="3"/>
        <v>103.92440613066826</v>
      </c>
      <c r="U15" s="14">
        <f t="shared" si="3"/>
        <v>102.58438161000059</v>
      </c>
      <c r="V15" s="14">
        <f t="shared" si="3"/>
        <v>101.18627978391331</v>
      </c>
      <c r="W15" s="14">
        <f t="shared" si="3"/>
        <v>99.734797036206942</v>
      </c>
      <c r="X15" s="14">
        <f t="shared" si="3"/>
        <v>98.23389397225462</v>
      </c>
      <c r="Y15" s="14">
        <f t="shared" si="3"/>
        <v>96.686895104401714</v>
      </c>
      <c r="Z15" s="14">
        <f t="shared" si="3"/>
        <v>95.096574211084345</v>
      </c>
      <c r="AA15" s="14">
        <f t="shared" si="3"/>
        <v>93.465227429962439</v>
      </c>
      <c r="AB15" s="14">
        <f t="shared" si="3"/>
        <v>91.794735847401682</v>
      </c>
      <c r="AC15" s="14">
        <f t="shared" si="3"/>
        <v>90.086619091820893</v>
      </c>
    </row>
    <row r="16" spans="1:29" x14ac:dyDescent="0.2">
      <c r="C16" s="10" t="str">
        <f>"Tax @ "&amp;'Project Assumptions'!$D$20*100</f>
        <v>Tax @ 30</v>
      </c>
      <c r="E16" s="14">
        <f>IF(E4-2021&gt;='Project Assumptions'!$D$21,E15*'Project Assumptions'!$D$20,0)</f>
        <v>0</v>
      </c>
      <c r="F16" s="14">
        <f>IF(F4-2021&gt;='Project Assumptions'!$D$21,F15*'Project Assumptions'!$D$20,0)</f>
        <v>0</v>
      </c>
      <c r="G16" s="14">
        <f>IF(G4-2021&gt;='Project Assumptions'!$D$21,G15*'Project Assumptions'!$D$20,0)</f>
        <v>0</v>
      </c>
      <c r="H16" s="14">
        <f>IF(H4-2021&gt;='Project Assumptions'!$D$21,H15*'Project Assumptions'!$D$20,0)</f>
        <v>0</v>
      </c>
      <c r="I16" s="14">
        <f>IF(I4-2021&gt;='Project Assumptions'!$D$21,I15*'Project Assumptions'!$D$20,0)</f>
        <v>0</v>
      </c>
      <c r="J16" s="14">
        <f>IF(J4-2021&gt;='Project Assumptions'!$D$21,J15*'Project Assumptions'!$D$20,0)</f>
        <v>0</v>
      </c>
      <c r="K16" s="14">
        <f>IF(K4-2021&gt;='Project Assumptions'!$D$21,K15*'Project Assumptions'!$D$20,0)</f>
        <v>0</v>
      </c>
      <c r="L16" s="14">
        <f>IF(L4-2021&gt;='Project Assumptions'!$D$21,L15*'Project Assumptions'!$D$20,0)</f>
        <v>0</v>
      </c>
      <c r="M16" s="14">
        <f>IF(M4-2021&gt;='Project Assumptions'!$D$21,M15*'Project Assumptions'!$D$20,0)</f>
        <v>0</v>
      </c>
      <c r="N16" s="14">
        <f>IF(N4-2021&gt;='Project Assumptions'!$D$21,N15*'Project Assumptions'!$D$20,0)</f>
        <v>0</v>
      </c>
      <c r="O16" s="14">
        <f>IF(O4-2021&gt;='Project Assumptions'!$D$21,O15*'Project Assumptions'!$D$20,0)</f>
        <v>32.856316894992183</v>
      </c>
      <c r="P16" s="14">
        <f>IF(P4-2021&gt;='Project Assumptions'!$D$21,P15*'Project Assumptions'!$D$20,0)</f>
        <v>32.573087209331725</v>
      </c>
      <c r="Q16" s="14">
        <f>IF(Q4-2021&gt;='Project Assumptions'!$D$21,Q15*'Project Assumptions'!$D$20,0)</f>
        <v>32.260629109914248</v>
      </c>
      <c r="R16" s="14">
        <f>IF(R4-2021&gt;='Project Assumptions'!$D$21,R15*'Project Assumptions'!$D$20,0)</f>
        <v>31.922112226439008</v>
      </c>
      <c r="S16" s="14">
        <f>IF(S4-2021&gt;='Project Assumptions'!$D$21,S15*'Project Assumptions'!$D$20,0)</f>
        <v>31.560241428984632</v>
      </c>
      <c r="T16" s="14">
        <f>IF(T4-2021&gt;='Project Assumptions'!$D$21,T15*'Project Assumptions'!$D$20,0)</f>
        <v>31.177321839200477</v>
      </c>
      <c r="U16" s="14">
        <f>IF(U4-2021&gt;='Project Assumptions'!$D$21,U15*'Project Assumptions'!$D$20,0)</f>
        <v>30.775314483000177</v>
      </c>
      <c r="V16" s="14">
        <f>IF(V4-2021&gt;='Project Assumptions'!$D$21,V15*'Project Assumptions'!$D$20,0)</f>
        <v>30.355883935173992</v>
      </c>
      <c r="W16" s="14">
        <f>IF(W4-2021&gt;='Project Assumptions'!$D$21,W15*'Project Assumptions'!$D$20,0)</f>
        <v>29.92043911086208</v>
      </c>
      <c r="X16" s="14">
        <f>IF(X4-2021&gt;='Project Assumptions'!$D$21,X15*'Project Assumptions'!$D$20,0)</f>
        <v>29.470168191676386</v>
      </c>
      <c r="Y16" s="14">
        <f>IF(Y4-2021&gt;='Project Assumptions'!$D$21,Y15*'Project Assumptions'!$D$20,0)</f>
        <v>29.006068531320512</v>
      </c>
      <c r="Z16" s="14">
        <f>IF(Z4-2021&gt;='Project Assumptions'!$D$21,Z15*'Project Assumptions'!$D$20,0)</f>
        <v>28.528972263325304</v>
      </c>
      <c r="AA16" s="14">
        <f>IF(AA4-2021&gt;='Project Assumptions'!$D$21,AA15*'Project Assumptions'!$D$20,0)</f>
        <v>28.039568228988731</v>
      </c>
      <c r="AB16" s="14">
        <f>IF(AB4-2021&gt;='Project Assumptions'!$D$21,AB15*'Project Assumptions'!$D$20,0)</f>
        <v>27.538420754220503</v>
      </c>
      <c r="AC16" s="14">
        <f>IF(AC4-2021&gt;='Project Assumptions'!$D$21,AC15*'Project Assumptions'!$D$20,0)</f>
        <v>27.025985727546267</v>
      </c>
    </row>
    <row r="17" spans="2:29" ht="3" customHeight="1" x14ac:dyDescent="0.2">
      <c r="B17" s="17"/>
      <c r="C17" s="17"/>
      <c r="D17" s="17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2:29" x14ac:dyDescent="0.2">
      <c r="B18" s="12" t="s">
        <v>70</v>
      </c>
      <c r="E18" s="14">
        <f>E15-E16</f>
        <v>31.620000000000008</v>
      </c>
      <c r="F18" s="14">
        <f t="shared" ref="F18:AC18" si="4">F15-F16</f>
        <v>37.581462218305525</v>
      </c>
      <c r="G18" s="14">
        <f t="shared" si="4"/>
        <v>43.659398152807668</v>
      </c>
      <c r="H18" s="14">
        <f t="shared" si="4"/>
        <v>49.963403718200077</v>
      </c>
      <c r="I18" s="14">
        <f t="shared" si="4"/>
        <v>56.603033224824856</v>
      </c>
      <c r="J18" s="14">
        <f t="shared" si="4"/>
        <v>63.689684933018462</v>
      </c>
      <c r="K18" s="14">
        <f t="shared" si="4"/>
        <v>71.338440687581951</v>
      </c>
      <c r="L18" s="14">
        <f t="shared" si="4"/>
        <v>79.669893487059966</v>
      </c>
      <c r="M18" s="14">
        <f t="shared" si="4"/>
        <v>88.811995203973041</v>
      </c>
      <c r="N18" s="14">
        <f t="shared" si="4"/>
        <v>98.901955663230638</v>
      </c>
      <c r="O18" s="14">
        <f t="shared" si="4"/>
        <v>76.66473942164842</v>
      </c>
      <c r="P18" s="14">
        <f t="shared" si="4"/>
        <v>76.003870155107364</v>
      </c>
      <c r="Q18" s="14">
        <f t="shared" si="4"/>
        <v>75.274801256466574</v>
      </c>
      <c r="R18" s="14">
        <f t="shared" si="4"/>
        <v>74.484928528357685</v>
      </c>
      <c r="S18" s="14">
        <f t="shared" si="4"/>
        <v>73.640563334297468</v>
      </c>
      <c r="T18" s="14">
        <f t="shared" si="4"/>
        <v>72.747084291467786</v>
      </c>
      <c r="U18" s="14">
        <f t="shared" si="4"/>
        <v>71.809067127000418</v>
      </c>
      <c r="V18" s="14">
        <f t="shared" si="4"/>
        <v>70.830395848739315</v>
      </c>
      <c r="W18" s="14">
        <f t="shared" si="4"/>
        <v>69.814357925344865</v>
      </c>
      <c r="X18" s="14">
        <f t="shared" si="4"/>
        <v>68.763725780578227</v>
      </c>
      <c r="Y18" s="14">
        <f t="shared" si="4"/>
        <v>67.680826573081205</v>
      </c>
      <c r="Z18" s="14">
        <f t="shared" si="4"/>
        <v>66.567601947759044</v>
      </c>
      <c r="AA18" s="14">
        <f t="shared" si="4"/>
        <v>65.425659200973712</v>
      </c>
      <c r="AB18" s="14">
        <f t="shared" si="4"/>
        <v>64.256315093181172</v>
      </c>
      <c r="AC18" s="14">
        <f t="shared" si="4"/>
        <v>63.060633364274622</v>
      </c>
    </row>
  </sheetData>
  <mergeCells count="2">
    <mergeCell ref="E3:AC3"/>
    <mergeCell ref="I1:K1"/>
  </mergeCells>
  <hyperlinks>
    <hyperlink ref="I1" location="Content!A1" display="Back to Content" xr:uid="{41E40AF1-65F3-43C7-99C3-03AE2CC81BDC}"/>
  </hyperlinks>
  <pageMargins left="0.7" right="0.7" top="0.75" bottom="0.75" header="0.3" footer="0.3"/>
  <pageSetup orientation="portrait" r:id="rId1"/>
  <ignoredErrors>
    <ignoredError sqref="E11:AC1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554F-B79F-4898-9810-35D20FB0D24E}">
  <dimension ref="A1:AD34"/>
  <sheetViews>
    <sheetView topLeftCell="C1" workbookViewId="0">
      <selection activeCell="G1" sqref="G1:I1"/>
    </sheetView>
  </sheetViews>
  <sheetFormatPr defaultRowHeight="12" x14ac:dyDescent="0.2"/>
  <cols>
    <col min="1" max="2" width="3.28515625" style="10" customWidth="1"/>
    <col min="3" max="3" width="3.42578125" style="10" customWidth="1"/>
    <col min="4" max="4" width="27" style="10" bestFit="1" customWidth="1"/>
    <col min="5" max="5" width="3.28515625" style="10" customWidth="1"/>
    <col min="6" max="16" width="5.7109375" style="14" bestFit="1" customWidth="1"/>
    <col min="17" max="30" width="6.5703125" style="14" bestFit="1" customWidth="1"/>
    <col min="31" max="16384" width="9.140625" style="10"/>
  </cols>
  <sheetData>
    <row r="1" spans="1:30" ht="15" x14ac:dyDescent="0.25">
      <c r="A1" s="12" t="s">
        <v>40</v>
      </c>
      <c r="G1" s="72" t="s">
        <v>180</v>
      </c>
      <c r="H1" s="73"/>
      <c r="I1" s="73"/>
    </row>
    <row r="2" spans="1:30" x14ac:dyDescent="0.2">
      <c r="A2" s="11" t="s">
        <v>81</v>
      </c>
    </row>
    <row r="4" spans="1:30" x14ac:dyDescent="0.2">
      <c r="A4" s="12" t="s">
        <v>37</v>
      </c>
      <c r="F4" s="69" t="s">
        <v>56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</row>
    <row r="5" spans="1:30" x14ac:dyDescent="0.2">
      <c r="B5" s="12" t="s">
        <v>41</v>
      </c>
      <c r="F5" s="41">
        <v>2021</v>
      </c>
      <c r="G5" s="41">
        <v>2022</v>
      </c>
      <c r="H5" s="41">
        <v>2023</v>
      </c>
      <c r="I5" s="41">
        <v>2024</v>
      </c>
      <c r="J5" s="41">
        <v>2025</v>
      </c>
      <c r="K5" s="41">
        <v>2026</v>
      </c>
      <c r="L5" s="41">
        <v>2027</v>
      </c>
      <c r="M5" s="41">
        <v>2028</v>
      </c>
      <c r="N5" s="41">
        <v>2029</v>
      </c>
      <c r="O5" s="41">
        <v>2030</v>
      </c>
      <c r="P5" s="41">
        <v>2031</v>
      </c>
      <c r="Q5" s="41">
        <v>2032</v>
      </c>
      <c r="R5" s="41">
        <v>2033</v>
      </c>
      <c r="S5" s="41">
        <v>2034</v>
      </c>
      <c r="T5" s="41">
        <v>2035</v>
      </c>
      <c r="U5" s="41">
        <v>2036</v>
      </c>
      <c r="V5" s="41">
        <v>2037</v>
      </c>
      <c r="W5" s="41">
        <v>2038</v>
      </c>
      <c r="X5" s="41">
        <v>2039</v>
      </c>
      <c r="Y5" s="41">
        <v>2040</v>
      </c>
      <c r="Z5" s="41">
        <v>2041</v>
      </c>
      <c r="AA5" s="41">
        <v>2042</v>
      </c>
      <c r="AB5" s="41">
        <v>2043</v>
      </c>
      <c r="AC5" s="41">
        <v>2044</v>
      </c>
      <c r="AD5" s="41">
        <v>2045</v>
      </c>
    </row>
    <row r="6" spans="1:30" x14ac:dyDescent="0.2">
      <c r="B6" s="12"/>
      <c r="C6" s="12" t="s">
        <v>84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</row>
    <row r="7" spans="1:30" x14ac:dyDescent="0.2">
      <c r="D7" s="10" t="s">
        <v>42</v>
      </c>
      <c r="F7" s="14">
        <f>'Project Assumptions'!$D$26*'Cost - Expenses'!$B$13</f>
        <v>151</v>
      </c>
      <c r="G7" s="14">
        <f>'Project Assumptions'!$D$26*'Cost - Expenses'!$B$13</f>
        <v>151</v>
      </c>
      <c r="H7" s="14">
        <f>'Project Assumptions'!$D$26*'Cost - Expenses'!$B$13</f>
        <v>151</v>
      </c>
      <c r="I7" s="14">
        <f>'Project Assumptions'!$D$26*'Cost - Expenses'!$B$13</f>
        <v>151</v>
      </c>
      <c r="J7" s="14">
        <f>'Project Assumptions'!$D$26*'Cost - Expenses'!$B$13</f>
        <v>151</v>
      </c>
      <c r="K7" s="14">
        <f>'Project Assumptions'!$D$26*'Cost - Expenses'!$B$13</f>
        <v>151</v>
      </c>
      <c r="L7" s="14">
        <f>'Project Assumptions'!$D$26*'Cost - Expenses'!$B$13</f>
        <v>151</v>
      </c>
      <c r="M7" s="14">
        <f>'Project Assumptions'!$D$26*'Cost - Expenses'!$B$13</f>
        <v>151</v>
      </c>
      <c r="N7" s="14">
        <f>'Project Assumptions'!$D$26*'Cost - Expenses'!$B$13</f>
        <v>151</v>
      </c>
      <c r="O7" s="14">
        <f>'Project Assumptions'!$D$26*'Cost - Expenses'!$B$13</f>
        <v>151</v>
      </c>
      <c r="P7" s="14">
        <f>'Project Assumptions'!$D$26*'Cost - Expenses'!$B$13</f>
        <v>151</v>
      </c>
      <c r="Q7" s="14">
        <f>'Project Assumptions'!$D$26*'Cost - Expenses'!$B$13</f>
        <v>151</v>
      </c>
      <c r="R7" s="14">
        <f>'Project Assumptions'!$D$26*'Cost - Expenses'!$B$13</f>
        <v>151</v>
      </c>
      <c r="S7" s="14">
        <f>'Project Assumptions'!$D$26*'Cost - Expenses'!$B$13</f>
        <v>151</v>
      </c>
      <c r="T7" s="14">
        <f>'Project Assumptions'!$D$26*'Cost - Expenses'!$B$13</f>
        <v>151</v>
      </c>
      <c r="U7" s="14">
        <f>'Project Assumptions'!$D$26*'Cost - Expenses'!$B$13</f>
        <v>151</v>
      </c>
      <c r="V7" s="14">
        <f>'Project Assumptions'!$D$26*'Cost - Expenses'!$B$13</f>
        <v>151</v>
      </c>
      <c r="W7" s="14">
        <f>'Project Assumptions'!$D$26*'Cost - Expenses'!$B$13</f>
        <v>151</v>
      </c>
      <c r="X7" s="14">
        <f>'Project Assumptions'!$D$26*'Cost - Expenses'!$B$13</f>
        <v>151</v>
      </c>
      <c r="Y7" s="14">
        <f>'Project Assumptions'!$D$26*'Cost - Expenses'!$B$13</f>
        <v>151</v>
      </c>
      <c r="Z7" s="14">
        <f>'Project Assumptions'!$D$26*'Cost - Expenses'!$B$13</f>
        <v>151</v>
      </c>
      <c r="AA7" s="14">
        <f>'Project Assumptions'!$D$26*'Cost - Expenses'!$B$13</f>
        <v>151</v>
      </c>
      <c r="AB7" s="14">
        <f>'Project Assumptions'!$D$26*'Cost - Expenses'!$B$13</f>
        <v>151</v>
      </c>
      <c r="AC7" s="14">
        <f>'Project Assumptions'!$D$26*'Cost - Expenses'!$B$13</f>
        <v>151</v>
      </c>
      <c r="AD7" s="14">
        <f>'Project Assumptions'!$D$26*'Cost - Expenses'!$B$13</f>
        <v>151</v>
      </c>
    </row>
    <row r="8" spans="1:30" x14ac:dyDescent="0.2">
      <c r="D8" s="10" t="s">
        <v>85</v>
      </c>
      <c r="F8" s="14">
        <f>'P&amp;L Statement'!E18</f>
        <v>31.620000000000008</v>
      </c>
      <c r="G8" s="14">
        <f>SUM('P&amp;L Statement'!$E$18:F18)</f>
        <v>69.201462218305537</v>
      </c>
      <c r="H8" s="14">
        <f>SUM('P&amp;L Statement'!$E$18:G18)</f>
        <v>112.8608603711132</v>
      </c>
      <c r="I8" s="14">
        <f>SUM('P&amp;L Statement'!$E$18:H18)</f>
        <v>162.82426408931329</v>
      </c>
      <c r="J8" s="14">
        <f>SUM('P&amp;L Statement'!$E$18:I18)</f>
        <v>219.42729731413814</v>
      </c>
      <c r="K8" s="14">
        <f>SUM('P&amp;L Statement'!$E$18:J18)</f>
        <v>283.11698224715661</v>
      </c>
      <c r="L8" s="14">
        <f>SUM('P&amp;L Statement'!$E$18:K18)</f>
        <v>354.45542293473858</v>
      </c>
      <c r="M8" s="14">
        <f>SUM('P&amp;L Statement'!$E$18:L18)</f>
        <v>434.12531642179852</v>
      </c>
      <c r="N8" s="14">
        <f>SUM('P&amp;L Statement'!$E$18:M18)</f>
        <v>522.9373116257716</v>
      </c>
      <c r="O8" s="14">
        <f>SUM('P&amp;L Statement'!$E$18:N18)</f>
        <v>621.83926728900224</v>
      </c>
      <c r="P8" s="14">
        <f>SUM('P&amp;L Statement'!$E$18:O18)</f>
        <v>698.50400671065063</v>
      </c>
      <c r="Q8" s="14">
        <f>SUM('P&amp;L Statement'!$E$18:P18)</f>
        <v>774.50787686575802</v>
      </c>
      <c r="R8" s="14">
        <f>SUM('P&amp;L Statement'!$E$18:Q18)</f>
        <v>849.78267812222464</v>
      </c>
      <c r="S8" s="14">
        <f>SUM('P&amp;L Statement'!$E$18:R18)</f>
        <v>924.26760665058237</v>
      </c>
      <c r="T8" s="14">
        <f>SUM('P&amp;L Statement'!$E$18:S18)</f>
        <v>997.90816998487981</v>
      </c>
      <c r="U8" s="14">
        <f>SUM('P&amp;L Statement'!$E$18:T18)</f>
        <v>1070.6552542763475</v>
      </c>
      <c r="V8" s="14">
        <f>SUM('P&amp;L Statement'!$E$18:U18)</f>
        <v>1142.4643214033479</v>
      </c>
      <c r="W8" s="14">
        <f>SUM('P&amp;L Statement'!$E$18:V18)</f>
        <v>1213.2947172520871</v>
      </c>
      <c r="X8" s="14">
        <f>SUM('P&amp;L Statement'!$E$18:W18)</f>
        <v>1283.109075177432</v>
      </c>
      <c r="Y8" s="14">
        <f>SUM('P&amp;L Statement'!$E$18:X18)</f>
        <v>1351.8728009580102</v>
      </c>
      <c r="Z8" s="14">
        <f>SUM('P&amp;L Statement'!$E$18:Y18)</f>
        <v>1419.5536275310915</v>
      </c>
      <c r="AA8" s="14">
        <f>SUM('P&amp;L Statement'!$E$18:Z18)</f>
        <v>1486.1212294788506</v>
      </c>
      <c r="AB8" s="14">
        <f>SUM('P&amp;L Statement'!$E$18:AA18)</f>
        <v>1551.5468886798244</v>
      </c>
      <c r="AC8" s="14">
        <f>SUM('P&amp;L Statement'!$E$18:AB18)</f>
        <v>1615.8032037730056</v>
      </c>
      <c r="AD8" s="14">
        <f>SUM('P&amp;L Statement'!$E$18:AC18)</f>
        <v>1678.8638371372804</v>
      </c>
    </row>
    <row r="9" spans="1:30" x14ac:dyDescent="0.2">
      <c r="C9" s="12" t="s">
        <v>83</v>
      </c>
    </row>
    <row r="10" spans="1:30" x14ac:dyDescent="0.2">
      <c r="D10" s="10" t="s">
        <v>43</v>
      </c>
      <c r="F10" s="14">
        <f>'Debt - Loan Amortisation Sch'!C11</f>
        <v>604</v>
      </c>
      <c r="G10" s="14">
        <f>'Debt - Loan Amortisation Sch'!D11</f>
        <v>569.58156484745416</v>
      </c>
      <c r="H10" s="14">
        <f>'Debt - Loan Amortisation Sch'!E11</f>
        <v>531.03291747660285</v>
      </c>
      <c r="I10" s="14">
        <f>'Debt - Loan Amortisation Sch'!F11</f>
        <v>487.85843242124935</v>
      </c>
      <c r="J10" s="14">
        <f>'Debt - Loan Amortisation Sch'!G11</f>
        <v>439.50300915925345</v>
      </c>
      <c r="K10" s="14">
        <f>'Debt - Loan Amortisation Sch'!H11</f>
        <v>385.34493510581802</v>
      </c>
      <c r="L10" s="14">
        <f>'Debt - Loan Amortisation Sch'!I11</f>
        <v>324.68789216597037</v>
      </c>
      <c r="M10" s="14">
        <f>'Debt - Loan Amortisation Sch'!J11</f>
        <v>256.75200407334097</v>
      </c>
      <c r="N10" s="14">
        <f>'Debt - Loan Amortisation Sch'!K11</f>
        <v>180.66380940959607</v>
      </c>
      <c r="O10" s="14">
        <f>'Debt - Loan Amortisation Sch'!L11</f>
        <v>95.445031386201777</v>
      </c>
      <c r="P10" s="14">
        <f>'Debt - Loan Amortisation Sch'!M11</f>
        <v>1.5631940186722204E-13</v>
      </c>
      <c r="Q10" s="14">
        <f>'Debt - Loan Amortisation Sch'!N11</f>
        <v>0</v>
      </c>
      <c r="R10" s="14">
        <f>'Debt - Loan Amortisation Sch'!O11</f>
        <v>0</v>
      </c>
      <c r="S10" s="14">
        <f>'Debt - Loan Amortisation Sch'!P11</f>
        <v>0</v>
      </c>
      <c r="T10" s="14">
        <f>'Debt - Loan Amortisation Sch'!Q11</f>
        <v>0</v>
      </c>
      <c r="U10" s="14">
        <f>'Debt - Loan Amortisation Sch'!R11</f>
        <v>0</v>
      </c>
      <c r="V10" s="14">
        <f>'Debt - Loan Amortisation Sch'!S11</f>
        <v>0</v>
      </c>
      <c r="W10" s="14">
        <f>'Debt - Loan Amortisation Sch'!T11</f>
        <v>0</v>
      </c>
      <c r="X10" s="14">
        <f>'Debt - Loan Amortisation Sch'!U11</f>
        <v>0</v>
      </c>
      <c r="Y10" s="14">
        <f>'Debt - Loan Amortisation Sch'!V11</f>
        <v>0</v>
      </c>
      <c r="Z10" s="14">
        <f>'Debt - Loan Amortisation Sch'!W11</f>
        <v>0</v>
      </c>
      <c r="AA10" s="14">
        <f>'Debt - Loan Amortisation Sch'!X11</f>
        <v>0</v>
      </c>
      <c r="AB10" s="14">
        <f>'Debt - Loan Amortisation Sch'!Y11</f>
        <v>0</v>
      </c>
      <c r="AC10" s="14">
        <f>'Debt - Loan Amortisation Sch'!Z11</f>
        <v>0</v>
      </c>
      <c r="AD10" s="14">
        <f>'Debt - Loan Amortisation Sch'!AA11</f>
        <v>0</v>
      </c>
    </row>
    <row r="11" spans="1:30" x14ac:dyDescent="0.2">
      <c r="C11" s="24"/>
      <c r="D11" s="24" t="s">
        <v>44</v>
      </c>
      <c r="E11" s="24"/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</row>
    <row r="12" spans="1:30" ht="12.75" thickBot="1" x14ac:dyDescent="0.25">
      <c r="C12" s="25" t="s">
        <v>46</v>
      </c>
      <c r="D12" s="26"/>
      <c r="E12" s="26"/>
      <c r="F12" s="37">
        <f>F10+F11</f>
        <v>604</v>
      </c>
      <c r="G12" s="37">
        <f t="shared" ref="G12" si="0">G10+G11</f>
        <v>569.58156484745416</v>
      </c>
      <c r="H12" s="37">
        <f t="shared" ref="H12" si="1">H10+H11</f>
        <v>531.03291747660285</v>
      </c>
      <c r="I12" s="37">
        <f t="shared" ref="I12" si="2">I10+I11</f>
        <v>487.85843242124935</v>
      </c>
      <c r="J12" s="37">
        <f t="shared" ref="J12" si="3">J10+J11</f>
        <v>439.50300915925345</v>
      </c>
      <c r="K12" s="37">
        <f t="shared" ref="K12" si="4">K10+K11</f>
        <v>385.34493510581802</v>
      </c>
      <c r="L12" s="37">
        <f t="shared" ref="L12" si="5">L10+L11</f>
        <v>324.68789216597037</v>
      </c>
      <c r="M12" s="37">
        <f t="shared" ref="M12" si="6">M10+M11</f>
        <v>256.75200407334097</v>
      </c>
      <c r="N12" s="37">
        <f t="shared" ref="N12" si="7">N10+N11</f>
        <v>180.66380940959607</v>
      </c>
      <c r="O12" s="37">
        <f t="shared" ref="O12" si="8">O10+O11</f>
        <v>95.445031386201777</v>
      </c>
      <c r="P12" s="37">
        <f t="shared" ref="P12" si="9">P10+P11</f>
        <v>1.5631940186722204E-13</v>
      </c>
      <c r="Q12" s="37">
        <f t="shared" ref="Q12" si="10">Q10+Q11</f>
        <v>0</v>
      </c>
      <c r="R12" s="37">
        <f t="shared" ref="R12" si="11">R10+R11</f>
        <v>0</v>
      </c>
      <c r="S12" s="37">
        <f t="shared" ref="S12" si="12">S10+S11</f>
        <v>0</v>
      </c>
      <c r="T12" s="37">
        <f t="shared" ref="T12" si="13">T10+T11</f>
        <v>0</v>
      </c>
      <c r="U12" s="37">
        <f t="shared" ref="U12" si="14">U10+U11</f>
        <v>0</v>
      </c>
      <c r="V12" s="37">
        <f t="shared" ref="V12" si="15">V10+V11</f>
        <v>0</v>
      </c>
      <c r="W12" s="37">
        <f t="shared" ref="W12" si="16">W10+W11</f>
        <v>0</v>
      </c>
      <c r="X12" s="37">
        <f t="shared" ref="X12" si="17">X10+X11</f>
        <v>0</v>
      </c>
      <c r="Y12" s="37">
        <f t="shared" ref="Y12" si="18">Y10+Y11</f>
        <v>0</v>
      </c>
      <c r="Z12" s="37">
        <f t="shared" ref="Z12" si="19">Z10+Z11</f>
        <v>0</v>
      </c>
      <c r="AA12" s="37">
        <f t="shared" ref="AA12" si="20">AA10+AA11</f>
        <v>0</v>
      </c>
      <c r="AB12" s="37">
        <f t="shared" ref="AB12" si="21">AB10+AB11</f>
        <v>0</v>
      </c>
      <c r="AC12" s="37">
        <f t="shared" ref="AC12" si="22">AC10+AC11</f>
        <v>0</v>
      </c>
      <c r="AD12" s="37">
        <f t="shared" ref="AD12" si="23">AD10+AD11</f>
        <v>0</v>
      </c>
    </row>
    <row r="13" spans="1:30" ht="12.75" thickTop="1" x14ac:dyDescent="0.2">
      <c r="C13" s="12" t="s">
        <v>86</v>
      </c>
      <c r="D13" s="24"/>
      <c r="E13" s="24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</row>
    <row r="14" spans="1:30" x14ac:dyDescent="0.2">
      <c r="D14" s="10" t="s">
        <v>45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</row>
    <row r="15" spans="1:30" x14ac:dyDescent="0.2">
      <c r="C15" s="24"/>
      <c r="D15" s="24" t="s">
        <v>87</v>
      </c>
      <c r="E15" s="24"/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</row>
    <row r="16" spans="1:30" ht="12.75" thickBot="1" x14ac:dyDescent="0.25">
      <c r="C16" s="28" t="s">
        <v>47</v>
      </c>
      <c r="D16" s="27"/>
      <c r="E16" s="27"/>
      <c r="F16" s="37">
        <f>F14+F15</f>
        <v>0</v>
      </c>
      <c r="G16" s="37">
        <f t="shared" ref="G16:AD16" si="24">G14+G15</f>
        <v>0</v>
      </c>
      <c r="H16" s="37">
        <f t="shared" si="24"/>
        <v>0</v>
      </c>
      <c r="I16" s="37">
        <f t="shared" si="24"/>
        <v>0</v>
      </c>
      <c r="J16" s="37">
        <f t="shared" si="24"/>
        <v>0</v>
      </c>
      <c r="K16" s="37">
        <f t="shared" si="24"/>
        <v>0</v>
      </c>
      <c r="L16" s="37">
        <f t="shared" si="24"/>
        <v>0</v>
      </c>
      <c r="M16" s="37">
        <f t="shared" si="24"/>
        <v>0</v>
      </c>
      <c r="N16" s="37">
        <f t="shared" si="24"/>
        <v>0</v>
      </c>
      <c r="O16" s="37">
        <f t="shared" si="24"/>
        <v>0</v>
      </c>
      <c r="P16" s="37">
        <f t="shared" si="24"/>
        <v>0</v>
      </c>
      <c r="Q16" s="37">
        <f t="shared" si="24"/>
        <v>0</v>
      </c>
      <c r="R16" s="37">
        <f t="shared" si="24"/>
        <v>0</v>
      </c>
      <c r="S16" s="37">
        <f t="shared" si="24"/>
        <v>0</v>
      </c>
      <c r="T16" s="37">
        <f t="shared" si="24"/>
        <v>0</v>
      </c>
      <c r="U16" s="37">
        <f t="shared" si="24"/>
        <v>0</v>
      </c>
      <c r="V16" s="37">
        <f t="shared" si="24"/>
        <v>0</v>
      </c>
      <c r="W16" s="37">
        <f t="shared" si="24"/>
        <v>0</v>
      </c>
      <c r="X16" s="37">
        <f t="shared" si="24"/>
        <v>0</v>
      </c>
      <c r="Y16" s="37">
        <f t="shared" si="24"/>
        <v>0</v>
      </c>
      <c r="Z16" s="37">
        <f t="shared" si="24"/>
        <v>0</v>
      </c>
      <c r="AA16" s="37">
        <f t="shared" si="24"/>
        <v>0</v>
      </c>
      <c r="AB16" s="37">
        <f t="shared" si="24"/>
        <v>0</v>
      </c>
      <c r="AC16" s="37">
        <f t="shared" si="24"/>
        <v>0</v>
      </c>
      <c r="AD16" s="37">
        <f t="shared" si="24"/>
        <v>0</v>
      </c>
    </row>
    <row r="17" spans="2:30" ht="12.75" thickTop="1" x14ac:dyDescent="0.2">
      <c r="C17" s="12" t="s">
        <v>48</v>
      </c>
      <c r="F17" s="14">
        <f>F16+F12</f>
        <v>604</v>
      </c>
      <c r="G17" s="14">
        <f t="shared" ref="G17:AD17" si="25">G16+G12</f>
        <v>569.58156484745416</v>
      </c>
      <c r="H17" s="14">
        <f t="shared" si="25"/>
        <v>531.03291747660285</v>
      </c>
      <c r="I17" s="14">
        <f t="shared" si="25"/>
        <v>487.85843242124935</v>
      </c>
      <c r="J17" s="14">
        <f t="shared" si="25"/>
        <v>439.50300915925345</v>
      </c>
      <c r="K17" s="14">
        <f t="shared" si="25"/>
        <v>385.34493510581802</v>
      </c>
      <c r="L17" s="14">
        <f t="shared" si="25"/>
        <v>324.68789216597037</v>
      </c>
      <c r="M17" s="14">
        <f t="shared" si="25"/>
        <v>256.75200407334097</v>
      </c>
      <c r="N17" s="14">
        <f t="shared" si="25"/>
        <v>180.66380940959607</v>
      </c>
      <c r="O17" s="14">
        <f t="shared" si="25"/>
        <v>95.445031386201777</v>
      </c>
      <c r="P17" s="14">
        <f t="shared" si="25"/>
        <v>1.5631940186722204E-13</v>
      </c>
      <c r="Q17" s="14">
        <f t="shared" si="25"/>
        <v>0</v>
      </c>
      <c r="R17" s="14">
        <f t="shared" si="25"/>
        <v>0</v>
      </c>
      <c r="S17" s="14">
        <f t="shared" si="25"/>
        <v>0</v>
      </c>
      <c r="T17" s="14">
        <f t="shared" si="25"/>
        <v>0</v>
      </c>
      <c r="U17" s="14">
        <f t="shared" si="25"/>
        <v>0</v>
      </c>
      <c r="V17" s="14">
        <f t="shared" si="25"/>
        <v>0</v>
      </c>
      <c r="W17" s="14">
        <f t="shared" si="25"/>
        <v>0</v>
      </c>
      <c r="X17" s="14">
        <f t="shared" si="25"/>
        <v>0</v>
      </c>
      <c r="Y17" s="14">
        <f t="shared" si="25"/>
        <v>0</v>
      </c>
      <c r="Z17" s="14">
        <f t="shared" si="25"/>
        <v>0</v>
      </c>
      <c r="AA17" s="14">
        <f t="shared" si="25"/>
        <v>0</v>
      </c>
      <c r="AB17" s="14">
        <f t="shared" si="25"/>
        <v>0</v>
      </c>
      <c r="AC17" s="14">
        <f t="shared" si="25"/>
        <v>0</v>
      </c>
      <c r="AD17" s="14">
        <f t="shared" si="25"/>
        <v>0</v>
      </c>
    </row>
    <row r="18" spans="2:30" x14ac:dyDescent="0.2">
      <c r="C18" s="42" t="s">
        <v>104</v>
      </c>
      <c r="D18" s="43"/>
      <c r="E18" s="43"/>
      <c r="F18" s="44">
        <f>F17+F7+F8</f>
        <v>786.62</v>
      </c>
      <c r="G18" s="44">
        <f t="shared" ref="G18:AD18" si="26">G17+G7+G8</f>
        <v>789.78302706575971</v>
      </c>
      <c r="H18" s="44">
        <f t="shared" si="26"/>
        <v>794.89377784771602</v>
      </c>
      <c r="I18" s="44">
        <f t="shared" si="26"/>
        <v>801.68269651056255</v>
      </c>
      <c r="J18" s="44">
        <f t="shared" si="26"/>
        <v>809.93030647339162</v>
      </c>
      <c r="K18" s="44">
        <f t="shared" si="26"/>
        <v>819.46191735297452</v>
      </c>
      <c r="L18" s="44">
        <f t="shared" si="26"/>
        <v>830.14331510070895</v>
      </c>
      <c r="M18" s="44">
        <f t="shared" si="26"/>
        <v>841.87732049513943</v>
      </c>
      <c r="N18" s="44">
        <f t="shared" si="26"/>
        <v>854.60112103536767</v>
      </c>
      <c r="O18" s="44">
        <f t="shared" si="26"/>
        <v>868.28429867520401</v>
      </c>
      <c r="P18" s="44">
        <f t="shared" si="26"/>
        <v>849.50400671065086</v>
      </c>
      <c r="Q18" s="44">
        <f t="shared" si="26"/>
        <v>925.50787686575802</v>
      </c>
      <c r="R18" s="44">
        <f t="shared" si="26"/>
        <v>1000.7826781222246</v>
      </c>
      <c r="S18" s="44">
        <f t="shared" si="26"/>
        <v>1075.2676066505824</v>
      </c>
      <c r="T18" s="44">
        <f t="shared" si="26"/>
        <v>1148.9081699848798</v>
      </c>
      <c r="U18" s="44">
        <f t="shared" si="26"/>
        <v>1221.6552542763475</v>
      </c>
      <c r="V18" s="44">
        <f t="shared" si="26"/>
        <v>1293.4643214033479</v>
      </c>
      <c r="W18" s="44">
        <f t="shared" si="26"/>
        <v>1364.2947172520871</v>
      </c>
      <c r="X18" s="44">
        <f t="shared" si="26"/>
        <v>1434.109075177432</v>
      </c>
      <c r="Y18" s="44">
        <f t="shared" si="26"/>
        <v>1502.8728009580102</v>
      </c>
      <c r="Z18" s="44">
        <f t="shared" si="26"/>
        <v>1570.5536275310915</v>
      </c>
      <c r="AA18" s="44">
        <f t="shared" si="26"/>
        <v>1637.1212294788506</v>
      </c>
      <c r="AB18" s="44">
        <f t="shared" si="26"/>
        <v>1702.5468886798244</v>
      </c>
      <c r="AC18" s="44">
        <f t="shared" si="26"/>
        <v>1766.8032037730056</v>
      </c>
      <c r="AD18" s="44">
        <f t="shared" si="26"/>
        <v>1829.8638371372804</v>
      </c>
    </row>
    <row r="19" spans="2:30" ht="7.5" customHeight="1" x14ac:dyDescent="0.2"/>
    <row r="20" spans="2:30" x14ac:dyDescent="0.2">
      <c r="B20" s="12" t="s">
        <v>49</v>
      </c>
    </row>
    <row r="21" spans="2:30" x14ac:dyDescent="0.2">
      <c r="C21" s="12" t="s">
        <v>89</v>
      </c>
    </row>
    <row r="22" spans="2:30" x14ac:dyDescent="0.2">
      <c r="D22" s="10" t="s">
        <v>29</v>
      </c>
      <c r="F22" s="14">
        <f>'Cost - Expenses'!$B$12</f>
        <v>25</v>
      </c>
      <c r="G22" s="14">
        <f>'Cost - Expenses'!$B$12</f>
        <v>25</v>
      </c>
      <c r="H22" s="14">
        <f>'Cost - Expenses'!$B$12</f>
        <v>25</v>
      </c>
      <c r="I22" s="14">
        <f>'Cost - Expenses'!$B$12</f>
        <v>25</v>
      </c>
      <c r="J22" s="14">
        <f>'Cost - Expenses'!$B$12</f>
        <v>25</v>
      </c>
      <c r="K22" s="14">
        <f>'Cost - Expenses'!$B$12</f>
        <v>25</v>
      </c>
      <c r="L22" s="14">
        <f>'Cost - Expenses'!$B$12</f>
        <v>25</v>
      </c>
      <c r="M22" s="14">
        <f>'Cost - Expenses'!$B$12</f>
        <v>25</v>
      </c>
      <c r="N22" s="14">
        <f>'Cost - Expenses'!$B$12</f>
        <v>25</v>
      </c>
      <c r="O22" s="14">
        <f>'Cost - Expenses'!$B$12</f>
        <v>25</v>
      </c>
      <c r="P22" s="14">
        <f>'Cost - Expenses'!$B$12</f>
        <v>25</v>
      </c>
      <c r="Q22" s="14">
        <f>'Cost - Expenses'!$B$12</f>
        <v>25</v>
      </c>
      <c r="R22" s="14">
        <f>'Cost - Expenses'!$B$12</f>
        <v>25</v>
      </c>
      <c r="S22" s="14">
        <f>'Cost - Expenses'!$B$12</f>
        <v>25</v>
      </c>
      <c r="T22" s="14">
        <f>'Cost - Expenses'!$B$12</f>
        <v>25</v>
      </c>
      <c r="U22" s="14">
        <f>'Cost - Expenses'!$B$12</f>
        <v>25</v>
      </c>
      <c r="V22" s="14">
        <f>'Cost - Expenses'!$B$12</f>
        <v>25</v>
      </c>
      <c r="W22" s="14">
        <f>'Cost - Expenses'!$B$12</f>
        <v>25</v>
      </c>
      <c r="X22" s="14">
        <f>'Cost - Expenses'!$B$12</f>
        <v>25</v>
      </c>
      <c r="Y22" s="14">
        <f>'Cost - Expenses'!$B$12</f>
        <v>25</v>
      </c>
      <c r="Z22" s="14">
        <f>'Cost - Expenses'!$B$12</f>
        <v>25</v>
      </c>
      <c r="AA22" s="14">
        <f>'Cost - Expenses'!$B$12</f>
        <v>25</v>
      </c>
      <c r="AB22" s="14">
        <f>'Cost - Expenses'!$B$12</f>
        <v>25</v>
      </c>
      <c r="AC22" s="14">
        <f>'Cost - Expenses'!$B$12</f>
        <v>25</v>
      </c>
      <c r="AD22" s="14">
        <f>'Cost - Expenses'!$B$12</f>
        <v>25</v>
      </c>
    </row>
    <row r="23" spans="2:30" x14ac:dyDescent="0.2">
      <c r="D23" s="10" t="s">
        <v>88</v>
      </c>
      <c r="F23" s="14">
        <f>'Cost - Expenses'!$B$2+'Cost - Expenses'!$B$3+'Cost - Expenses'!$B$4+'Cost - Expenses'!$B$6+'Cost - Expenses'!$B$7+'Cost - Expenses'!$B$5</f>
        <v>675</v>
      </c>
      <c r="G23" s="14">
        <f>'Cost - Expenses'!$B$2+'Cost - Expenses'!$B$3+'Cost - Expenses'!$B$4+'Cost - Expenses'!$B$6+'Cost - Expenses'!$B$7+'Cost - Expenses'!$B$5</f>
        <v>675</v>
      </c>
      <c r="H23" s="14">
        <f>'Cost - Expenses'!$B$2+'Cost - Expenses'!$B$3+'Cost - Expenses'!$B$4+'Cost - Expenses'!$B$6+'Cost - Expenses'!$B$7+'Cost - Expenses'!$B$5</f>
        <v>675</v>
      </c>
      <c r="I23" s="14">
        <f>'Cost - Expenses'!$B$2+'Cost - Expenses'!$B$3+'Cost - Expenses'!$B$4+'Cost - Expenses'!$B$6+'Cost - Expenses'!$B$7+'Cost - Expenses'!$B$5</f>
        <v>675</v>
      </c>
      <c r="J23" s="14">
        <f>'Cost - Expenses'!$B$2+'Cost - Expenses'!$B$3+'Cost - Expenses'!$B$4+'Cost - Expenses'!$B$6+'Cost - Expenses'!$B$7+'Cost - Expenses'!$B$5</f>
        <v>675</v>
      </c>
      <c r="K23" s="14">
        <f>'Cost - Expenses'!$B$2+'Cost - Expenses'!$B$3+'Cost - Expenses'!$B$4+'Cost - Expenses'!$B$6+'Cost - Expenses'!$B$7+'Cost - Expenses'!$B$5</f>
        <v>675</v>
      </c>
      <c r="L23" s="14">
        <f>'Cost - Expenses'!$B$2+'Cost - Expenses'!$B$3+'Cost - Expenses'!$B$4+'Cost - Expenses'!$B$6+'Cost - Expenses'!$B$7+'Cost - Expenses'!$B$5</f>
        <v>675</v>
      </c>
      <c r="M23" s="14">
        <f>'Cost - Expenses'!$B$2+'Cost - Expenses'!$B$3+'Cost - Expenses'!$B$4+'Cost - Expenses'!$B$6+'Cost - Expenses'!$B$7+'Cost - Expenses'!$B$5</f>
        <v>675</v>
      </c>
      <c r="N23" s="14">
        <f>'Cost - Expenses'!$B$2+'Cost - Expenses'!$B$3+'Cost - Expenses'!$B$4+'Cost - Expenses'!$B$6+'Cost - Expenses'!$B$7+'Cost - Expenses'!$B$5</f>
        <v>675</v>
      </c>
      <c r="O23" s="14">
        <f>'Cost - Expenses'!$B$2+'Cost - Expenses'!$B$3+'Cost - Expenses'!$B$4+'Cost - Expenses'!$B$6+'Cost - Expenses'!$B$7+'Cost - Expenses'!$B$5</f>
        <v>675</v>
      </c>
      <c r="P23" s="14">
        <f>'Cost - Expenses'!$B$2+'Cost - Expenses'!$B$3+'Cost - Expenses'!$B$4+'Cost - Expenses'!$B$6+'Cost - Expenses'!$B$7+'Cost - Expenses'!$B$5</f>
        <v>675</v>
      </c>
      <c r="Q23" s="14">
        <f>'Cost - Expenses'!$B$2+'Cost - Expenses'!$B$3+'Cost - Expenses'!$B$4+'Cost - Expenses'!$B$6+'Cost - Expenses'!$B$7+'Cost - Expenses'!$B$5</f>
        <v>675</v>
      </c>
      <c r="R23" s="14">
        <f>'Cost - Expenses'!$B$2+'Cost - Expenses'!$B$3+'Cost - Expenses'!$B$4+'Cost - Expenses'!$B$6+'Cost - Expenses'!$B$7+'Cost - Expenses'!$B$5</f>
        <v>675</v>
      </c>
      <c r="S23" s="14">
        <f>'Cost - Expenses'!$B$2+'Cost - Expenses'!$B$3+'Cost - Expenses'!$B$4+'Cost - Expenses'!$B$6+'Cost - Expenses'!$B$7+'Cost - Expenses'!$B$5</f>
        <v>675</v>
      </c>
      <c r="T23" s="14">
        <f>'Cost - Expenses'!$B$2+'Cost - Expenses'!$B$3+'Cost - Expenses'!$B$4+'Cost - Expenses'!$B$6+'Cost - Expenses'!$B$7+'Cost - Expenses'!$B$5</f>
        <v>675</v>
      </c>
      <c r="U23" s="14">
        <f>'Cost - Expenses'!$B$2+'Cost - Expenses'!$B$3+'Cost - Expenses'!$B$4+'Cost - Expenses'!$B$6+'Cost - Expenses'!$B$7+'Cost - Expenses'!$B$5</f>
        <v>675</v>
      </c>
      <c r="V23" s="14">
        <f>'Cost - Expenses'!$B$2+'Cost - Expenses'!$B$3+'Cost - Expenses'!$B$4+'Cost - Expenses'!$B$6+'Cost - Expenses'!$B$7+'Cost - Expenses'!$B$5</f>
        <v>675</v>
      </c>
      <c r="W23" s="14">
        <f>'Cost - Expenses'!$B$2+'Cost - Expenses'!$B$3+'Cost - Expenses'!$B$4+'Cost - Expenses'!$B$6+'Cost - Expenses'!$B$7+'Cost - Expenses'!$B$5</f>
        <v>675</v>
      </c>
      <c r="X23" s="14">
        <f>'Cost - Expenses'!$B$2+'Cost - Expenses'!$B$3+'Cost - Expenses'!$B$4+'Cost - Expenses'!$B$6+'Cost - Expenses'!$B$7+'Cost - Expenses'!$B$5</f>
        <v>675</v>
      </c>
      <c r="Y23" s="14">
        <f>'Cost - Expenses'!$B$2+'Cost - Expenses'!$B$3+'Cost - Expenses'!$B$4+'Cost - Expenses'!$B$6+'Cost - Expenses'!$B$7+'Cost - Expenses'!$B$5</f>
        <v>675</v>
      </c>
      <c r="Z23" s="14">
        <f>'Cost - Expenses'!$B$2+'Cost - Expenses'!$B$3+'Cost - Expenses'!$B$4+'Cost - Expenses'!$B$6+'Cost - Expenses'!$B$7+'Cost - Expenses'!$B$5</f>
        <v>675</v>
      </c>
      <c r="AA23" s="14">
        <f>'Cost - Expenses'!$B$2+'Cost - Expenses'!$B$3+'Cost - Expenses'!$B$4+'Cost - Expenses'!$B$6+'Cost - Expenses'!$B$7+'Cost - Expenses'!$B$5</f>
        <v>675</v>
      </c>
      <c r="AB23" s="14">
        <f>'Cost - Expenses'!$B$2+'Cost - Expenses'!$B$3+'Cost - Expenses'!$B$4+'Cost - Expenses'!$B$6+'Cost - Expenses'!$B$7+'Cost - Expenses'!$B$5</f>
        <v>675</v>
      </c>
      <c r="AC23" s="14">
        <f>'Cost - Expenses'!$B$2+'Cost - Expenses'!$B$3+'Cost - Expenses'!$B$4+'Cost - Expenses'!$B$6+'Cost - Expenses'!$B$7+'Cost - Expenses'!$B$5</f>
        <v>675</v>
      </c>
      <c r="AD23" s="14">
        <f>'Cost - Expenses'!$B$2+'Cost - Expenses'!$B$3+'Cost - Expenses'!$B$4+'Cost - Expenses'!$B$6+'Cost - Expenses'!$B$7+'Cost - Expenses'!$B$5</f>
        <v>675</v>
      </c>
    </row>
    <row r="24" spans="2:30" x14ac:dyDescent="0.2">
      <c r="D24" s="10" t="s">
        <v>128</v>
      </c>
      <c r="F24" s="14">
        <f>'P&amp;L Statement'!E14</f>
        <v>31.7</v>
      </c>
      <c r="G24" s="14">
        <f>'P&amp;L Statement'!F14+F24</f>
        <v>60.446749999999994</v>
      </c>
      <c r="H24" s="14">
        <f>'P&amp;L Statement'!G14+G24</f>
        <v>86.608589749999993</v>
      </c>
      <c r="I24" s="14">
        <f>'P&amp;L Statement'!H14+H24</f>
        <v>110.50332238925</v>
      </c>
      <c r="J24" s="14">
        <f>'P&amp;L Statement'!I14+I24</f>
        <v>132.40538095032275</v>
      </c>
      <c r="K24" s="14">
        <f>'P&amp;L Statement'!J14+J24</f>
        <v>152.5519653849741</v>
      </c>
      <c r="L24" s="14">
        <f>'P&amp;L Statement'!K14+K24</f>
        <v>171.14829879362921</v>
      </c>
      <c r="M24" s="14">
        <f>'P&amp;L Statement'!L14+L24</f>
        <v>188.37213001806739</v>
      </c>
      <c r="N24" s="14">
        <f>'P&amp;L Statement'!M14+M24</f>
        <v>204.37759135307402</v>
      </c>
      <c r="O24" s="14">
        <f>'P&amp;L Statement'!N14+N24</f>
        <v>219.29850439545012</v>
      </c>
      <c r="P24" s="14">
        <f>'P&amp;L Statement'!O14+O24</f>
        <v>233.25121359131691</v>
      </c>
      <c r="Q24" s="14">
        <f>'P&amp;L Statement'!P14+P24</f>
        <v>246.33701553466034</v>
      </c>
      <c r="R24" s="14">
        <f>'P&amp;L Statement'!Q14+Q24</f>
        <v>258.64424222897117</v>
      </c>
      <c r="S24" s="14">
        <f>'P&amp;L Statement'!R14+R24</f>
        <v>270.25004810805996</v>
      </c>
      <c r="T24" s="14">
        <f>'P&amp;L Statement'!S14+S24</f>
        <v>281.22194341509271</v>
      </c>
      <c r="U24" s="14">
        <f>'P&amp;L Statement'!T14+T24</f>
        <v>291.61911038398091</v>
      </c>
      <c r="V24" s="14">
        <f>'P&amp;L Statement'!U14+U24</f>
        <v>301.49353340345226</v>
      </c>
      <c r="W24" s="14">
        <f>'P&amp;L Statement'!V14+V24</f>
        <v>310.89096984229678</v>
      </c>
      <c r="X24" s="14">
        <f>'P&amp;L Statement'!W14+W24</f>
        <v>319.85178436402413</v>
      </c>
      <c r="Y24" s="14">
        <f>'P&amp;L Statement'!X14+X24</f>
        <v>328.4116662660719</v>
      </c>
      <c r="Z24" s="14">
        <f>'P&amp;L Statement'!Y14+Y24</f>
        <v>336.60224656205941</v>
      </c>
      <c r="AA24" s="14">
        <f>'P&amp;L Statement'!Z14+Z24</f>
        <v>344.45162911635981</v>
      </c>
      <c r="AB24" s="14">
        <f>'P&amp;L Statement'!AA14+AA24</f>
        <v>351.98484807945516</v>
      </c>
      <c r="AC24" s="14">
        <f>'P&amp;L Statement'!AB14+AB24</f>
        <v>359.22426210967916</v>
      </c>
      <c r="AD24" s="14">
        <f>'P&amp;L Statement'!AC14+AC24</f>
        <v>366.18989435889301</v>
      </c>
    </row>
    <row r="25" spans="2:30" x14ac:dyDescent="0.2">
      <c r="D25" s="10" t="s">
        <v>134</v>
      </c>
      <c r="F25" s="14">
        <f>SUM('P&amp;L Statement'!$E$11:$AD$11)</f>
        <v>55.000000000000021</v>
      </c>
      <c r="G25" s="14">
        <f>SUM('P&amp;L Statement'!$E$11:$AD$11)</f>
        <v>55.000000000000021</v>
      </c>
      <c r="H25" s="14">
        <f>SUM('P&amp;L Statement'!$E$11:$AD$11)</f>
        <v>55.000000000000021</v>
      </c>
      <c r="I25" s="14">
        <f>SUM('P&amp;L Statement'!$E$11:$AD$11)</f>
        <v>55.000000000000021</v>
      </c>
      <c r="J25" s="14">
        <f>SUM('P&amp;L Statement'!$E$11:$AD$11)</f>
        <v>55.000000000000021</v>
      </c>
      <c r="K25" s="14">
        <f>SUM('P&amp;L Statement'!$E$11:$AD$11)</f>
        <v>55.000000000000021</v>
      </c>
      <c r="L25" s="14">
        <f>SUM('P&amp;L Statement'!$E$11:$AD$11)</f>
        <v>55.000000000000021</v>
      </c>
      <c r="M25" s="14">
        <f>SUM('P&amp;L Statement'!$E$11:$AD$11)</f>
        <v>55.000000000000021</v>
      </c>
      <c r="N25" s="14">
        <f>SUM('P&amp;L Statement'!$E$11:$AD$11)</f>
        <v>55.000000000000021</v>
      </c>
      <c r="O25" s="14">
        <f>SUM('P&amp;L Statement'!$E$11:$AD$11)</f>
        <v>55.000000000000021</v>
      </c>
      <c r="P25" s="14">
        <f>SUM('P&amp;L Statement'!$E$11:$AD$11)</f>
        <v>55.000000000000021</v>
      </c>
      <c r="Q25" s="14">
        <f>SUM('P&amp;L Statement'!$E$11:$AD$11)</f>
        <v>55.000000000000021</v>
      </c>
      <c r="R25" s="14">
        <f>SUM('P&amp;L Statement'!$E$11:$AD$11)</f>
        <v>55.000000000000021</v>
      </c>
      <c r="S25" s="14">
        <f>SUM('P&amp;L Statement'!$E$11:$AD$11)</f>
        <v>55.000000000000021</v>
      </c>
      <c r="T25" s="14">
        <f>SUM('P&amp;L Statement'!$E$11:$AD$11)</f>
        <v>55.000000000000021</v>
      </c>
      <c r="U25" s="14">
        <f>SUM('P&amp;L Statement'!$E$11:$AD$11)</f>
        <v>55.000000000000021</v>
      </c>
      <c r="V25" s="14">
        <f>SUM('P&amp;L Statement'!$E$11:$AD$11)</f>
        <v>55.000000000000021</v>
      </c>
      <c r="W25" s="14">
        <f>SUM('P&amp;L Statement'!$E$11:$AD$11)</f>
        <v>55.000000000000021</v>
      </c>
      <c r="X25" s="14">
        <f>SUM('P&amp;L Statement'!$E$11:$AD$11)</f>
        <v>55.000000000000021</v>
      </c>
      <c r="Y25" s="14">
        <f>SUM('P&amp;L Statement'!$E$11:$AD$11)</f>
        <v>55.000000000000021</v>
      </c>
      <c r="Z25" s="14">
        <f>SUM('P&amp;L Statement'!$E$11:$AD$11)</f>
        <v>55.000000000000021</v>
      </c>
      <c r="AA25" s="14">
        <f>SUM('P&amp;L Statement'!$E$11:$AD$11)</f>
        <v>55.000000000000021</v>
      </c>
      <c r="AB25" s="14">
        <f>SUM('P&amp;L Statement'!$E$11:$AD$11)</f>
        <v>55.000000000000021</v>
      </c>
      <c r="AC25" s="14">
        <f>SUM('P&amp;L Statement'!$E$11:$AD$11)</f>
        <v>55.000000000000021</v>
      </c>
      <c r="AD25" s="14">
        <f>SUM('P&amp;L Statement'!$E$11:$AD$11)</f>
        <v>55.000000000000021</v>
      </c>
    </row>
    <row r="26" spans="2:30" x14ac:dyDescent="0.2">
      <c r="C26" s="25" t="s">
        <v>90</v>
      </c>
      <c r="D26" s="26"/>
      <c r="E26" s="26"/>
      <c r="F26" s="38">
        <f>F22+F23-F24+F25</f>
        <v>723.3</v>
      </c>
      <c r="G26" s="38">
        <f t="shared" ref="G26:AD26" si="27">G22+G23-G24+G25</f>
        <v>694.55325000000005</v>
      </c>
      <c r="H26" s="38">
        <f t="shared" si="27"/>
        <v>668.39141025000004</v>
      </c>
      <c r="I26" s="38">
        <f t="shared" si="27"/>
        <v>644.49667761075</v>
      </c>
      <c r="J26" s="38">
        <f t="shared" si="27"/>
        <v>622.59461904967725</v>
      </c>
      <c r="K26" s="38">
        <f t="shared" si="27"/>
        <v>602.4480346150259</v>
      </c>
      <c r="L26" s="38">
        <f t="shared" si="27"/>
        <v>583.85170120637076</v>
      </c>
      <c r="M26" s="38">
        <f t="shared" si="27"/>
        <v>566.62786998193258</v>
      </c>
      <c r="N26" s="38">
        <f t="shared" si="27"/>
        <v>550.62240864692603</v>
      </c>
      <c r="O26" s="38">
        <f t="shared" si="27"/>
        <v>535.7014956045499</v>
      </c>
      <c r="P26" s="38">
        <f t="shared" si="27"/>
        <v>521.74878640868315</v>
      </c>
      <c r="Q26" s="38">
        <f t="shared" si="27"/>
        <v>508.66298446533966</v>
      </c>
      <c r="R26" s="38">
        <f t="shared" si="27"/>
        <v>496.35575777102883</v>
      </c>
      <c r="S26" s="38">
        <f t="shared" si="27"/>
        <v>484.74995189194004</v>
      </c>
      <c r="T26" s="38">
        <f t="shared" si="27"/>
        <v>473.77805658490729</v>
      </c>
      <c r="U26" s="38">
        <f t="shared" si="27"/>
        <v>463.38088961601909</v>
      </c>
      <c r="V26" s="38">
        <f t="shared" si="27"/>
        <v>453.50646659654774</v>
      </c>
      <c r="W26" s="38">
        <f t="shared" si="27"/>
        <v>444.10903015770322</v>
      </c>
      <c r="X26" s="38">
        <f t="shared" si="27"/>
        <v>435.14821563597587</v>
      </c>
      <c r="Y26" s="38">
        <f t="shared" si="27"/>
        <v>426.5883337339281</v>
      </c>
      <c r="Z26" s="38">
        <f t="shared" si="27"/>
        <v>418.39775343794059</v>
      </c>
      <c r="AA26" s="38">
        <f t="shared" si="27"/>
        <v>410.54837088364019</v>
      </c>
      <c r="AB26" s="38">
        <f t="shared" si="27"/>
        <v>403.01515192054484</v>
      </c>
      <c r="AC26" s="38">
        <f t="shared" si="27"/>
        <v>395.77573789032084</v>
      </c>
      <c r="AD26" s="38">
        <f t="shared" si="27"/>
        <v>388.81010564110699</v>
      </c>
    </row>
    <row r="27" spans="2:30" x14ac:dyDescent="0.2">
      <c r="C27" s="12" t="s">
        <v>91</v>
      </c>
    </row>
    <row r="28" spans="2:30" x14ac:dyDescent="0.2">
      <c r="D28" s="10" t="s">
        <v>92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</row>
    <row r="29" spans="2:30" x14ac:dyDescent="0.2">
      <c r="D29" s="10" t="s">
        <v>93</v>
      </c>
      <c r="F29" s="14">
        <f>'Cash Flow Statement'!G33</f>
        <v>63.320000000000007</v>
      </c>
      <c r="G29" s="14">
        <f>'Cash Flow Statement'!H34</f>
        <v>95.229777065759691</v>
      </c>
      <c r="H29" s="14">
        <f>'Cash Flow Statement'!I34</f>
        <v>126.50236759771605</v>
      </c>
      <c r="I29" s="14">
        <f>'Cash Flow Statement'!J34</f>
        <v>157.18601889981261</v>
      </c>
      <c r="J29" s="14">
        <f>'Cash Flow Statement'!K34</f>
        <v>187.33568742371432</v>
      </c>
      <c r="K29" s="14">
        <f>'Cash Flow Statement'!L34</f>
        <v>217.01388273794868</v>
      </c>
      <c r="L29" s="14">
        <f>'Cash Flow Statement'!M34</f>
        <v>246.29161389433807</v>
      </c>
      <c r="M29" s="14">
        <f>'Cash Flow Statement'!N34</f>
        <v>275.24945051320685</v>
      </c>
      <c r="N29" s="14">
        <f>'Cash Flow Statement'!O34</f>
        <v>303.97871238844164</v>
      </c>
      <c r="O29" s="14">
        <f>'Cash Flow Statement'!P34</f>
        <v>332.58280307065411</v>
      </c>
      <c r="P29" s="14">
        <f>'Cash Flow Statement'!Q34</f>
        <v>327.75522030196771</v>
      </c>
      <c r="Q29" s="14">
        <f>'Cash Flow Statement'!R34</f>
        <v>416.84489240041836</v>
      </c>
      <c r="R29" s="14">
        <f>'Cash Flow Statement'!S34</f>
        <v>504.42692035119575</v>
      </c>
      <c r="S29" s="14">
        <f>'Cash Flow Statement'!T34</f>
        <v>590.51765475864227</v>
      </c>
      <c r="T29" s="14">
        <f>'Cash Flow Statement'!U34</f>
        <v>675.13011339997252</v>
      </c>
      <c r="U29" s="14">
        <f>'Cash Flow Statement'!V34</f>
        <v>758.2743646603285</v>
      </c>
      <c r="V29" s="14">
        <f>'Cash Flow Statement'!W34</f>
        <v>839.95785480680024</v>
      </c>
      <c r="W29" s="14">
        <f>'Cash Flow Statement'!X34</f>
        <v>920.18568709438409</v>
      </c>
      <c r="X29" s="14">
        <f>'Cash Flow Statement'!Y34</f>
        <v>998.96085954145633</v>
      </c>
      <c r="Y29" s="14">
        <f>'Cash Flow Statement'!Z34</f>
        <v>1076.2844672240824</v>
      </c>
      <c r="Z29" s="14">
        <f>'Cash Flow Statement'!AA34</f>
        <v>1152.1558740931512</v>
      </c>
      <c r="AA29" s="14">
        <f>'Cash Flow Statement'!AB34</f>
        <v>1226.5728585952106</v>
      </c>
      <c r="AB29" s="14">
        <f>'Cash Flow Statement'!AC34</f>
        <v>1299.5317367592797</v>
      </c>
      <c r="AC29" s="14">
        <f>'Cash Flow Statement'!AD34</f>
        <v>1371.027465882685</v>
      </c>
      <c r="AD29" s="14">
        <f>'Cash Flow Statement'!AE34</f>
        <v>1441.0537314961734</v>
      </c>
    </row>
    <row r="30" spans="2:30" ht="12.75" thickBot="1" x14ac:dyDescent="0.25">
      <c r="C30" s="28" t="s">
        <v>94</v>
      </c>
      <c r="D30" s="29"/>
      <c r="E30" s="29"/>
      <c r="F30" s="39">
        <f>F28+F29</f>
        <v>63.320000000000007</v>
      </c>
      <c r="G30" s="39">
        <f t="shared" ref="G30:AD30" si="28">G28+G29</f>
        <v>95.229777065759691</v>
      </c>
      <c r="H30" s="39">
        <f t="shared" si="28"/>
        <v>126.50236759771605</v>
      </c>
      <c r="I30" s="39">
        <f t="shared" si="28"/>
        <v>157.18601889981261</v>
      </c>
      <c r="J30" s="39">
        <f t="shared" si="28"/>
        <v>187.33568742371432</v>
      </c>
      <c r="K30" s="39">
        <f t="shared" si="28"/>
        <v>217.01388273794868</v>
      </c>
      <c r="L30" s="39">
        <f t="shared" si="28"/>
        <v>246.29161389433807</v>
      </c>
      <c r="M30" s="39">
        <f t="shared" si="28"/>
        <v>275.24945051320685</v>
      </c>
      <c r="N30" s="39">
        <f t="shared" si="28"/>
        <v>303.97871238844164</v>
      </c>
      <c r="O30" s="39">
        <f t="shared" si="28"/>
        <v>332.58280307065411</v>
      </c>
      <c r="P30" s="39">
        <f t="shared" si="28"/>
        <v>327.75522030196771</v>
      </c>
      <c r="Q30" s="39">
        <f t="shared" si="28"/>
        <v>416.84489240041836</v>
      </c>
      <c r="R30" s="39">
        <f t="shared" si="28"/>
        <v>504.42692035119575</v>
      </c>
      <c r="S30" s="39">
        <f t="shared" si="28"/>
        <v>590.51765475864227</v>
      </c>
      <c r="T30" s="39">
        <f t="shared" si="28"/>
        <v>675.13011339997252</v>
      </c>
      <c r="U30" s="39">
        <f t="shared" si="28"/>
        <v>758.2743646603285</v>
      </c>
      <c r="V30" s="39">
        <f t="shared" si="28"/>
        <v>839.95785480680024</v>
      </c>
      <c r="W30" s="39">
        <f t="shared" si="28"/>
        <v>920.18568709438409</v>
      </c>
      <c r="X30" s="39">
        <f t="shared" si="28"/>
        <v>998.96085954145633</v>
      </c>
      <c r="Y30" s="39">
        <f t="shared" si="28"/>
        <v>1076.2844672240824</v>
      </c>
      <c r="Z30" s="39">
        <f t="shared" si="28"/>
        <v>1152.1558740931512</v>
      </c>
      <c r="AA30" s="39">
        <f t="shared" si="28"/>
        <v>1226.5728585952106</v>
      </c>
      <c r="AB30" s="39">
        <f t="shared" si="28"/>
        <v>1299.5317367592797</v>
      </c>
      <c r="AC30" s="39">
        <f t="shared" si="28"/>
        <v>1371.027465882685</v>
      </c>
      <c r="AD30" s="39">
        <f t="shared" si="28"/>
        <v>1441.0537314961734</v>
      </c>
    </row>
    <row r="31" spans="2:30" ht="12.75" thickTop="1" x14ac:dyDescent="0.2">
      <c r="C31" s="12" t="s">
        <v>95</v>
      </c>
      <c r="F31" s="50">
        <f>F30+F26</f>
        <v>786.62</v>
      </c>
      <c r="G31" s="50">
        <f t="shared" ref="G31:AD31" si="29">G30+G26</f>
        <v>789.78302706575971</v>
      </c>
      <c r="H31" s="50">
        <f t="shared" si="29"/>
        <v>794.89377784771614</v>
      </c>
      <c r="I31" s="50">
        <f t="shared" si="29"/>
        <v>801.68269651056266</v>
      </c>
      <c r="J31" s="50">
        <f t="shared" si="29"/>
        <v>809.93030647339151</v>
      </c>
      <c r="K31" s="50">
        <f t="shared" si="29"/>
        <v>819.46191735297452</v>
      </c>
      <c r="L31" s="50">
        <f t="shared" si="29"/>
        <v>830.14331510070883</v>
      </c>
      <c r="M31" s="50">
        <f t="shared" si="29"/>
        <v>841.87732049513943</v>
      </c>
      <c r="N31" s="50">
        <f t="shared" si="29"/>
        <v>854.60112103536767</v>
      </c>
      <c r="O31" s="50">
        <f t="shared" si="29"/>
        <v>868.28429867520401</v>
      </c>
      <c r="P31" s="50">
        <f t="shared" si="29"/>
        <v>849.50400671065086</v>
      </c>
      <c r="Q31" s="50">
        <f t="shared" si="29"/>
        <v>925.50787686575802</v>
      </c>
      <c r="R31" s="50">
        <f t="shared" si="29"/>
        <v>1000.7826781222245</v>
      </c>
      <c r="S31" s="50">
        <f t="shared" si="29"/>
        <v>1075.2676066505824</v>
      </c>
      <c r="T31" s="50">
        <f t="shared" si="29"/>
        <v>1148.9081699848798</v>
      </c>
      <c r="U31" s="50">
        <f t="shared" si="29"/>
        <v>1221.6552542763475</v>
      </c>
      <c r="V31" s="50">
        <f t="shared" si="29"/>
        <v>1293.4643214033481</v>
      </c>
      <c r="W31" s="50">
        <f t="shared" si="29"/>
        <v>1364.2947172520874</v>
      </c>
      <c r="X31" s="50">
        <f t="shared" si="29"/>
        <v>1434.1090751774323</v>
      </c>
      <c r="Y31" s="50">
        <f t="shared" si="29"/>
        <v>1502.8728009580104</v>
      </c>
      <c r="Z31" s="50">
        <f t="shared" si="29"/>
        <v>1570.5536275310917</v>
      </c>
      <c r="AA31" s="50">
        <f t="shared" si="29"/>
        <v>1637.1212294788509</v>
      </c>
      <c r="AB31" s="50">
        <f t="shared" si="29"/>
        <v>1702.5468886798246</v>
      </c>
      <c r="AC31" s="50">
        <f t="shared" si="29"/>
        <v>1766.8032037730059</v>
      </c>
      <c r="AD31" s="50">
        <f t="shared" si="29"/>
        <v>1829.8638371372804</v>
      </c>
    </row>
    <row r="33" spans="4:30" x14ac:dyDescent="0.2">
      <c r="D33" s="20" t="s">
        <v>96</v>
      </c>
      <c r="E33" s="21"/>
      <c r="F33" s="40">
        <f>F31-F18</f>
        <v>0</v>
      </c>
      <c r="G33" s="40">
        <f t="shared" ref="G33:AD33" si="30">G31-G18</f>
        <v>0</v>
      </c>
      <c r="H33" s="40">
        <f t="shared" si="30"/>
        <v>0</v>
      </c>
      <c r="I33" s="40">
        <f t="shared" si="30"/>
        <v>0</v>
      </c>
      <c r="J33" s="40">
        <f t="shared" si="30"/>
        <v>0</v>
      </c>
      <c r="K33" s="40">
        <f t="shared" si="30"/>
        <v>0</v>
      </c>
      <c r="L33" s="40">
        <f t="shared" si="30"/>
        <v>0</v>
      </c>
      <c r="M33" s="40">
        <f t="shared" si="30"/>
        <v>0</v>
      </c>
      <c r="N33" s="40">
        <f t="shared" si="30"/>
        <v>0</v>
      </c>
      <c r="O33" s="40">
        <f t="shared" si="30"/>
        <v>0</v>
      </c>
      <c r="P33" s="40">
        <f t="shared" si="30"/>
        <v>0</v>
      </c>
      <c r="Q33" s="40">
        <f t="shared" si="30"/>
        <v>0</v>
      </c>
      <c r="R33" s="40">
        <f t="shared" si="30"/>
        <v>0</v>
      </c>
      <c r="S33" s="40">
        <f t="shared" si="30"/>
        <v>0</v>
      </c>
      <c r="T33" s="40">
        <f t="shared" si="30"/>
        <v>0</v>
      </c>
      <c r="U33" s="40">
        <f t="shared" si="30"/>
        <v>0</v>
      </c>
      <c r="V33" s="40">
        <f t="shared" si="30"/>
        <v>0</v>
      </c>
      <c r="W33" s="40">
        <f t="shared" si="30"/>
        <v>0</v>
      </c>
      <c r="X33" s="40">
        <f t="shared" si="30"/>
        <v>0</v>
      </c>
      <c r="Y33" s="40">
        <f t="shared" si="30"/>
        <v>0</v>
      </c>
      <c r="Z33" s="40">
        <f t="shared" si="30"/>
        <v>0</v>
      </c>
      <c r="AA33" s="40">
        <f t="shared" si="30"/>
        <v>0</v>
      </c>
      <c r="AB33" s="40">
        <f t="shared" si="30"/>
        <v>0</v>
      </c>
      <c r="AC33" s="40">
        <f t="shared" si="30"/>
        <v>0</v>
      </c>
      <c r="AD33" s="40">
        <f t="shared" si="30"/>
        <v>0</v>
      </c>
    </row>
    <row r="34" spans="4:30" x14ac:dyDescent="0.2">
      <c r="F34" s="14" t="str">
        <f>IF(F33=0, "OK", "Err")</f>
        <v>OK</v>
      </c>
      <c r="G34" s="14" t="str">
        <f t="shared" ref="G34:AD34" si="31">IF(G33=0, "OK", "Err")</f>
        <v>OK</v>
      </c>
      <c r="H34" s="14" t="str">
        <f t="shared" si="31"/>
        <v>OK</v>
      </c>
      <c r="I34" s="14" t="str">
        <f t="shared" si="31"/>
        <v>OK</v>
      </c>
      <c r="J34" s="14" t="str">
        <f t="shared" si="31"/>
        <v>OK</v>
      </c>
      <c r="K34" s="14" t="str">
        <f t="shared" si="31"/>
        <v>OK</v>
      </c>
      <c r="L34" s="14" t="str">
        <f t="shared" si="31"/>
        <v>OK</v>
      </c>
      <c r="M34" s="14" t="str">
        <f t="shared" si="31"/>
        <v>OK</v>
      </c>
      <c r="N34" s="14" t="str">
        <f t="shared" si="31"/>
        <v>OK</v>
      </c>
      <c r="O34" s="14" t="str">
        <f t="shared" si="31"/>
        <v>OK</v>
      </c>
      <c r="P34" s="14" t="str">
        <f t="shared" si="31"/>
        <v>OK</v>
      </c>
      <c r="Q34" s="14" t="str">
        <f t="shared" si="31"/>
        <v>OK</v>
      </c>
      <c r="R34" s="14" t="str">
        <f t="shared" si="31"/>
        <v>OK</v>
      </c>
      <c r="S34" s="14" t="str">
        <f t="shared" si="31"/>
        <v>OK</v>
      </c>
      <c r="T34" s="14" t="str">
        <f t="shared" si="31"/>
        <v>OK</v>
      </c>
      <c r="U34" s="14" t="str">
        <f t="shared" si="31"/>
        <v>OK</v>
      </c>
      <c r="V34" s="14" t="str">
        <f t="shared" si="31"/>
        <v>OK</v>
      </c>
      <c r="W34" s="14" t="str">
        <f t="shared" si="31"/>
        <v>OK</v>
      </c>
      <c r="X34" s="14" t="str">
        <f t="shared" si="31"/>
        <v>OK</v>
      </c>
      <c r="Y34" s="14" t="str">
        <f t="shared" si="31"/>
        <v>OK</v>
      </c>
      <c r="Z34" s="14" t="str">
        <f t="shared" si="31"/>
        <v>OK</v>
      </c>
      <c r="AA34" s="14" t="str">
        <f t="shared" si="31"/>
        <v>OK</v>
      </c>
      <c r="AB34" s="14" t="str">
        <f t="shared" si="31"/>
        <v>OK</v>
      </c>
      <c r="AC34" s="14" t="str">
        <f t="shared" si="31"/>
        <v>OK</v>
      </c>
      <c r="AD34" s="14" t="str">
        <f t="shared" si="31"/>
        <v>OK</v>
      </c>
    </row>
  </sheetData>
  <mergeCells count="2">
    <mergeCell ref="F4:AD4"/>
    <mergeCell ref="G1:I1"/>
  </mergeCells>
  <hyperlinks>
    <hyperlink ref="G1" location="Content!A1" display="Back to Content" xr:uid="{87F08613-F5BE-46B7-9A04-A3B8463FCCEF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5CF6-A95B-4160-81E0-1A9E6D75F657}">
  <dimension ref="A1:AE34"/>
  <sheetViews>
    <sheetView workbookViewId="0">
      <selection activeCell="C4" sqref="C4"/>
    </sheetView>
  </sheetViews>
  <sheetFormatPr defaultRowHeight="12" x14ac:dyDescent="0.2"/>
  <cols>
    <col min="1" max="1" width="3.42578125" style="10" customWidth="1"/>
    <col min="2" max="2" width="3.28515625" style="10" customWidth="1"/>
    <col min="3" max="3" width="35.5703125" style="10" bestFit="1" customWidth="1"/>
    <col min="4" max="4" width="2.28515625" style="10" customWidth="1"/>
    <col min="5" max="5" width="1" style="10" customWidth="1"/>
    <col min="6" max="6" width="1.42578125" style="10" customWidth="1"/>
    <col min="7" max="7" width="7.140625" style="10" bestFit="1" customWidth="1"/>
    <col min="8" max="20" width="5.7109375" style="10" bestFit="1" customWidth="1"/>
    <col min="21" max="31" width="6.5703125" style="10" bestFit="1" customWidth="1"/>
    <col min="32" max="16384" width="9.140625" style="10"/>
  </cols>
  <sheetData>
    <row r="1" spans="1:31" ht="15" x14ac:dyDescent="0.25">
      <c r="A1" s="12" t="s">
        <v>131</v>
      </c>
      <c r="H1" s="72" t="s">
        <v>180</v>
      </c>
      <c r="I1" s="73"/>
      <c r="J1" s="73"/>
    </row>
    <row r="2" spans="1:31" x14ac:dyDescent="0.2">
      <c r="A2" s="11" t="s">
        <v>81</v>
      </c>
    </row>
    <row r="4" spans="1:31" x14ac:dyDescent="0.2">
      <c r="G4" s="69" t="s">
        <v>56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</row>
    <row r="5" spans="1:31" x14ac:dyDescent="0.2">
      <c r="B5" s="12" t="s">
        <v>37</v>
      </c>
      <c r="G5" s="41">
        <v>2021</v>
      </c>
      <c r="H5" s="41">
        <v>2022</v>
      </c>
      <c r="I5" s="41">
        <v>2023</v>
      </c>
      <c r="J5" s="41">
        <v>2024</v>
      </c>
      <c r="K5" s="41">
        <v>2025</v>
      </c>
      <c r="L5" s="41">
        <v>2026</v>
      </c>
      <c r="M5" s="41">
        <v>2027</v>
      </c>
      <c r="N5" s="41">
        <v>2028</v>
      </c>
      <c r="O5" s="41">
        <v>2029</v>
      </c>
      <c r="P5" s="41">
        <v>2030</v>
      </c>
      <c r="Q5" s="41">
        <v>2031</v>
      </c>
      <c r="R5" s="41">
        <v>2032</v>
      </c>
      <c r="S5" s="41">
        <v>2033</v>
      </c>
      <c r="T5" s="41">
        <v>2034</v>
      </c>
      <c r="U5" s="41">
        <v>2035</v>
      </c>
      <c r="V5" s="41">
        <v>2036</v>
      </c>
      <c r="W5" s="41">
        <v>2037</v>
      </c>
      <c r="X5" s="41">
        <v>2038</v>
      </c>
      <c r="Y5" s="41">
        <v>2039</v>
      </c>
      <c r="Z5" s="41">
        <v>2040</v>
      </c>
      <c r="AA5" s="41">
        <v>2041</v>
      </c>
      <c r="AB5" s="41">
        <v>2042</v>
      </c>
      <c r="AC5" s="41">
        <v>2043</v>
      </c>
      <c r="AD5" s="41">
        <v>2044</v>
      </c>
      <c r="AE5" s="41">
        <v>2045</v>
      </c>
    </row>
    <row r="6" spans="1:31" x14ac:dyDescent="0.2">
      <c r="B6" s="12" t="s">
        <v>105</v>
      </c>
      <c r="C6" s="12"/>
    </row>
    <row r="7" spans="1:31" x14ac:dyDescent="0.2">
      <c r="C7" s="10" t="s">
        <v>116</v>
      </c>
      <c r="G7" s="14">
        <f>'P&amp;L Statement'!E15</f>
        <v>31.620000000000008</v>
      </c>
      <c r="H7" s="14">
        <f>'P&amp;L Statement'!F15</f>
        <v>37.581462218305525</v>
      </c>
      <c r="I7" s="14">
        <f>'P&amp;L Statement'!G15</f>
        <v>43.659398152807668</v>
      </c>
      <c r="J7" s="14">
        <f>'P&amp;L Statement'!H15</f>
        <v>49.963403718200077</v>
      </c>
      <c r="K7" s="14">
        <f>'P&amp;L Statement'!I15</f>
        <v>56.603033224824856</v>
      </c>
      <c r="L7" s="14">
        <f>'P&amp;L Statement'!J15</f>
        <v>63.689684933018462</v>
      </c>
      <c r="M7" s="14">
        <f>'P&amp;L Statement'!K15</f>
        <v>71.338440687581951</v>
      </c>
      <c r="N7" s="14">
        <f>'P&amp;L Statement'!L15</f>
        <v>79.669893487059966</v>
      </c>
      <c r="O7" s="14">
        <f>'P&amp;L Statement'!M15</f>
        <v>88.811995203973041</v>
      </c>
      <c r="P7" s="14">
        <f>'P&amp;L Statement'!N15</f>
        <v>98.901955663230638</v>
      </c>
      <c r="Q7" s="14">
        <f>'P&amp;L Statement'!O15</f>
        <v>109.52105631664061</v>
      </c>
      <c r="R7" s="14">
        <f>'P&amp;L Statement'!P15</f>
        <v>108.57695736443908</v>
      </c>
      <c r="S7" s="14">
        <f>'P&amp;L Statement'!Q15</f>
        <v>107.53543036638082</v>
      </c>
      <c r="T7" s="14">
        <f>'P&amp;L Statement'!R15</f>
        <v>106.4070407547967</v>
      </c>
      <c r="U7" s="14">
        <f>'P&amp;L Statement'!S15</f>
        <v>105.20080476328211</v>
      </c>
      <c r="V7" s="14">
        <f>'P&amp;L Statement'!T15</f>
        <v>103.92440613066826</v>
      </c>
      <c r="W7" s="14">
        <f>'P&amp;L Statement'!U15</f>
        <v>102.58438161000059</v>
      </c>
      <c r="X7" s="14">
        <f>'P&amp;L Statement'!V15</f>
        <v>101.18627978391331</v>
      </c>
      <c r="Y7" s="14">
        <f>'P&amp;L Statement'!W15</f>
        <v>99.734797036206942</v>
      </c>
      <c r="Z7" s="14">
        <f>'P&amp;L Statement'!X15</f>
        <v>98.23389397225462</v>
      </c>
      <c r="AA7" s="14">
        <f>'P&amp;L Statement'!Y15</f>
        <v>96.686895104401714</v>
      </c>
      <c r="AB7" s="14">
        <f>'P&amp;L Statement'!Z15</f>
        <v>95.096574211084345</v>
      </c>
      <c r="AC7" s="14">
        <f>'P&amp;L Statement'!AA15</f>
        <v>93.465227429962439</v>
      </c>
      <c r="AD7" s="14">
        <f>'P&amp;L Statement'!AB15</f>
        <v>91.794735847401682</v>
      </c>
      <c r="AE7" s="14">
        <f>'P&amp;L Statement'!AC15</f>
        <v>90.086619091820893</v>
      </c>
    </row>
    <row r="8" spans="1:31" x14ac:dyDescent="0.2">
      <c r="C8" s="11" t="s">
        <v>114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x14ac:dyDescent="0.2">
      <c r="C9" s="10" t="s">
        <v>113</v>
      </c>
      <c r="D9" s="10" t="s">
        <v>109</v>
      </c>
      <c r="G9" s="14">
        <f>'P&amp;L Statement'!E14</f>
        <v>31.7</v>
      </c>
      <c r="H9" s="14">
        <f>'P&amp;L Statement'!F14</f>
        <v>28.746749999999999</v>
      </c>
      <c r="I9" s="14">
        <f>'P&amp;L Statement'!G14</f>
        <v>26.161839749999999</v>
      </c>
      <c r="J9" s="14">
        <f>'P&amp;L Statement'!H14</f>
        <v>23.894732639250002</v>
      </c>
      <c r="K9" s="14">
        <f>'P&amp;L Statement'!I14</f>
        <v>21.902058561072753</v>
      </c>
      <c r="L9" s="14">
        <f>'P&amp;L Statement'!J14</f>
        <v>20.146584434651338</v>
      </c>
      <c r="M9" s="14">
        <f>'P&amp;L Statement'!K14</f>
        <v>18.596333408655109</v>
      </c>
      <c r="N9" s="14">
        <f>'P&amp;L Statement'!L14</f>
        <v>17.223831224438186</v>
      </c>
      <c r="O9" s="14">
        <f>'P&amp;L Statement'!M14</f>
        <v>16.00546133500664</v>
      </c>
      <c r="P9" s="14">
        <f>'P&amp;L Statement'!N14</f>
        <v>14.920913042376093</v>
      </c>
      <c r="Q9" s="14">
        <f>'P&amp;L Statement'!O14</f>
        <v>13.952709195866792</v>
      </c>
      <c r="R9" s="14">
        <f>'P&amp;L Statement'!P14</f>
        <v>13.085801943343423</v>
      </c>
      <c r="S9" s="14">
        <f>'P&amp;L Statement'!Q14</f>
        <v>12.307226694310824</v>
      </c>
      <c r="T9" s="14">
        <f>'P&amp;L Statement'!R14</f>
        <v>11.605805879088807</v>
      </c>
      <c r="U9" s="14">
        <f>'P&amp;L Statement'!S14</f>
        <v>10.971895307032757</v>
      </c>
      <c r="V9" s="14">
        <f>'P&amp;L Statement'!T14</f>
        <v>10.397166968888223</v>
      </c>
      <c r="W9" s="14">
        <f>'P&amp;L Statement'!U14</f>
        <v>9.8744230194713278</v>
      </c>
      <c r="X9" s="14">
        <f>'P&amp;L Statement'!V14</f>
        <v>9.3974364388445348</v>
      </c>
      <c r="Y9" s="14">
        <f>'P&amp;L Statement'!W14</f>
        <v>8.9608145217273254</v>
      </c>
      <c r="Z9" s="14">
        <f>'P&amp;L Statement'!X14</f>
        <v>8.559881902047751</v>
      </c>
      <c r="AA9" s="14">
        <f>'P&amp;L Statement'!Y14</f>
        <v>8.1905802959875178</v>
      </c>
      <c r="AB9" s="14">
        <f>'P&amp;L Statement'!Z14</f>
        <v>7.8493825543004165</v>
      </c>
      <c r="AC9" s="14">
        <f>'P&amp;L Statement'!AA14</f>
        <v>7.533218963095333</v>
      </c>
      <c r="AD9" s="14">
        <f>'P&amp;L Statement'!AB14</f>
        <v>7.2394140302239798</v>
      </c>
      <c r="AE9" s="14">
        <f>'P&amp;L Statement'!AC14</f>
        <v>6.9656322492138614</v>
      </c>
    </row>
    <row r="10" spans="1:31" x14ac:dyDescent="0.2">
      <c r="C10" s="10" t="s">
        <v>115</v>
      </c>
      <c r="D10" s="10" t="s">
        <v>109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1" x14ac:dyDescent="0.2">
      <c r="C11" s="10" t="s">
        <v>118</v>
      </c>
      <c r="D11" s="10" t="s">
        <v>110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1" x14ac:dyDescent="0.2">
      <c r="C12" s="25" t="s">
        <v>117</v>
      </c>
      <c r="D12" s="26"/>
      <c r="E12" s="26"/>
      <c r="G12" s="38">
        <f>G7+G9+G10-G11</f>
        <v>63.320000000000007</v>
      </c>
      <c r="H12" s="38">
        <f t="shared" ref="H12:AE12" si="0">H7+H9+H10-H11</f>
        <v>66.328212218305524</v>
      </c>
      <c r="I12" s="38">
        <f t="shared" si="0"/>
        <v>69.821237902807667</v>
      </c>
      <c r="J12" s="38">
        <f t="shared" si="0"/>
        <v>73.858136357450078</v>
      </c>
      <c r="K12" s="38">
        <f t="shared" si="0"/>
        <v>78.505091785897605</v>
      </c>
      <c r="L12" s="38">
        <f t="shared" si="0"/>
        <v>83.8362693676698</v>
      </c>
      <c r="M12" s="38">
        <f t="shared" si="0"/>
        <v>89.934774096237064</v>
      </c>
      <c r="N12" s="38">
        <f t="shared" si="0"/>
        <v>96.893724711498152</v>
      </c>
      <c r="O12" s="38">
        <f t="shared" si="0"/>
        <v>104.81745653897968</v>
      </c>
      <c r="P12" s="38">
        <f t="shared" si="0"/>
        <v>113.82286870560674</v>
      </c>
      <c r="Q12" s="38">
        <f t="shared" si="0"/>
        <v>123.4737655125074</v>
      </c>
      <c r="R12" s="38">
        <f t="shared" si="0"/>
        <v>121.66275930778251</v>
      </c>
      <c r="S12" s="38">
        <f t="shared" si="0"/>
        <v>119.84265706069165</v>
      </c>
      <c r="T12" s="38">
        <f t="shared" si="0"/>
        <v>118.0128466338855</v>
      </c>
      <c r="U12" s="38">
        <f t="shared" si="0"/>
        <v>116.17270007031486</v>
      </c>
      <c r="V12" s="38">
        <f t="shared" si="0"/>
        <v>114.32157309955649</v>
      </c>
      <c r="W12" s="38">
        <f t="shared" si="0"/>
        <v>112.45880462947191</v>
      </c>
      <c r="X12" s="38">
        <f t="shared" si="0"/>
        <v>110.58371622275784</v>
      </c>
      <c r="Y12" s="38">
        <f t="shared" si="0"/>
        <v>108.69561155793427</v>
      </c>
      <c r="Z12" s="38">
        <f t="shared" si="0"/>
        <v>106.79377587430237</v>
      </c>
      <c r="AA12" s="38">
        <f t="shared" si="0"/>
        <v>104.87747540038923</v>
      </c>
      <c r="AB12" s="38">
        <f t="shared" si="0"/>
        <v>102.94595676538476</v>
      </c>
      <c r="AC12" s="38">
        <f t="shared" si="0"/>
        <v>100.99844639305778</v>
      </c>
      <c r="AD12" s="38">
        <f t="shared" si="0"/>
        <v>99.034149877625666</v>
      </c>
      <c r="AE12" s="38">
        <f t="shared" si="0"/>
        <v>97.052251341034747</v>
      </c>
    </row>
    <row r="13" spans="1:31" x14ac:dyDescent="0.2">
      <c r="C13" s="10" t="s">
        <v>119</v>
      </c>
      <c r="D13" s="45" t="s">
        <v>110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1" x14ac:dyDescent="0.2">
      <c r="C14" s="10" t="s">
        <v>120</v>
      </c>
      <c r="D14" s="45" t="s">
        <v>109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1" x14ac:dyDescent="0.2">
      <c r="C15" s="10" t="s">
        <v>121</v>
      </c>
      <c r="D15" s="45" t="s">
        <v>109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</row>
    <row r="16" spans="1:31" x14ac:dyDescent="0.2">
      <c r="C16" s="24" t="s">
        <v>122</v>
      </c>
      <c r="D16" s="45" t="s">
        <v>110</v>
      </c>
      <c r="E16" s="24"/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2:31" x14ac:dyDescent="0.2">
      <c r="C17" s="25" t="s">
        <v>123</v>
      </c>
      <c r="D17" s="48" t="s">
        <v>124</v>
      </c>
      <c r="E17" s="26"/>
      <c r="G17" s="38">
        <f>G12-G13+G14+G15-G16</f>
        <v>63.320000000000007</v>
      </c>
      <c r="H17" s="38">
        <f t="shared" ref="H17:AE17" si="1">H12-H13+H14+H15-H16</f>
        <v>66.328212218305524</v>
      </c>
      <c r="I17" s="38">
        <f t="shared" si="1"/>
        <v>69.821237902807667</v>
      </c>
      <c r="J17" s="38">
        <f t="shared" si="1"/>
        <v>73.858136357450078</v>
      </c>
      <c r="K17" s="38">
        <f t="shared" si="1"/>
        <v>78.505091785897605</v>
      </c>
      <c r="L17" s="38">
        <f t="shared" si="1"/>
        <v>83.8362693676698</v>
      </c>
      <c r="M17" s="38">
        <f t="shared" si="1"/>
        <v>89.934774096237064</v>
      </c>
      <c r="N17" s="38">
        <f t="shared" si="1"/>
        <v>96.893724711498152</v>
      </c>
      <c r="O17" s="38">
        <f t="shared" si="1"/>
        <v>104.81745653897968</v>
      </c>
      <c r="P17" s="38">
        <f t="shared" si="1"/>
        <v>113.82286870560674</v>
      </c>
      <c r="Q17" s="38">
        <f t="shared" si="1"/>
        <v>123.4737655125074</v>
      </c>
      <c r="R17" s="38">
        <f t="shared" si="1"/>
        <v>121.66275930778251</v>
      </c>
      <c r="S17" s="38">
        <f t="shared" si="1"/>
        <v>119.84265706069165</v>
      </c>
      <c r="T17" s="38">
        <f t="shared" si="1"/>
        <v>118.0128466338855</v>
      </c>
      <c r="U17" s="38">
        <f t="shared" si="1"/>
        <v>116.17270007031486</v>
      </c>
      <c r="V17" s="38">
        <f t="shared" si="1"/>
        <v>114.32157309955649</v>
      </c>
      <c r="W17" s="38">
        <f t="shared" si="1"/>
        <v>112.45880462947191</v>
      </c>
      <c r="X17" s="38">
        <f t="shared" si="1"/>
        <v>110.58371622275784</v>
      </c>
      <c r="Y17" s="38">
        <f t="shared" si="1"/>
        <v>108.69561155793427</v>
      </c>
      <c r="Z17" s="38">
        <f t="shared" si="1"/>
        <v>106.79377587430237</v>
      </c>
      <c r="AA17" s="38">
        <f t="shared" si="1"/>
        <v>104.87747540038923</v>
      </c>
      <c r="AB17" s="38">
        <f t="shared" si="1"/>
        <v>102.94595676538476</v>
      </c>
      <c r="AC17" s="38">
        <f t="shared" si="1"/>
        <v>100.99844639305778</v>
      </c>
      <c r="AD17" s="38">
        <f t="shared" si="1"/>
        <v>99.034149877625666</v>
      </c>
      <c r="AE17" s="38">
        <f t="shared" si="1"/>
        <v>97.052251341034747</v>
      </c>
    </row>
    <row r="18" spans="2:31" ht="12.75" thickBot="1" x14ac:dyDescent="0.25">
      <c r="C18" s="29" t="s">
        <v>125</v>
      </c>
      <c r="D18" s="29"/>
      <c r="E18" s="29"/>
      <c r="G18" s="39">
        <f>'P&amp;L Statement'!D16</f>
        <v>0</v>
      </c>
      <c r="H18" s="39">
        <f>'P&amp;L Statement'!E16</f>
        <v>0</v>
      </c>
      <c r="I18" s="39">
        <f>'P&amp;L Statement'!F16</f>
        <v>0</v>
      </c>
      <c r="J18" s="39">
        <f>'P&amp;L Statement'!G16</f>
        <v>0</v>
      </c>
      <c r="K18" s="39">
        <f>'P&amp;L Statement'!H16</f>
        <v>0</v>
      </c>
      <c r="L18" s="39">
        <f>'P&amp;L Statement'!I16</f>
        <v>0</v>
      </c>
      <c r="M18" s="39">
        <f>'P&amp;L Statement'!J16</f>
        <v>0</v>
      </c>
      <c r="N18" s="39">
        <f>'P&amp;L Statement'!K16</f>
        <v>0</v>
      </c>
      <c r="O18" s="39">
        <f>'P&amp;L Statement'!L16</f>
        <v>0</v>
      </c>
      <c r="P18" s="39">
        <f>'P&amp;L Statement'!M16</f>
        <v>0</v>
      </c>
      <c r="Q18" s="39">
        <f>'P&amp;L Statement'!O16</f>
        <v>32.856316894992183</v>
      </c>
      <c r="R18" s="39">
        <f>'P&amp;L Statement'!P16</f>
        <v>32.573087209331725</v>
      </c>
      <c r="S18" s="39">
        <f>'P&amp;L Statement'!Q16</f>
        <v>32.260629109914248</v>
      </c>
      <c r="T18" s="39">
        <f>'P&amp;L Statement'!R16</f>
        <v>31.922112226439008</v>
      </c>
      <c r="U18" s="39">
        <f>'P&amp;L Statement'!S16</f>
        <v>31.560241428984632</v>
      </c>
      <c r="V18" s="39">
        <f>'P&amp;L Statement'!T16</f>
        <v>31.177321839200477</v>
      </c>
      <c r="W18" s="39">
        <f>'P&amp;L Statement'!U16</f>
        <v>30.775314483000177</v>
      </c>
      <c r="X18" s="39">
        <f>'P&amp;L Statement'!V16</f>
        <v>30.355883935173992</v>
      </c>
      <c r="Y18" s="39">
        <f>'P&amp;L Statement'!W16</f>
        <v>29.92043911086208</v>
      </c>
      <c r="Z18" s="39">
        <f>'P&amp;L Statement'!X16</f>
        <v>29.470168191676386</v>
      </c>
      <c r="AA18" s="39">
        <f>'P&amp;L Statement'!Y16</f>
        <v>29.006068531320512</v>
      </c>
      <c r="AB18" s="39">
        <f>'P&amp;L Statement'!Z16</f>
        <v>28.528972263325304</v>
      </c>
      <c r="AC18" s="39">
        <f>'P&amp;L Statement'!AA16</f>
        <v>28.039568228988731</v>
      </c>
      <c r="AD18" s="39">
        <f>'P&amp;L Statement'!AB16</f>
        <v>27.538420754220503</v>
      </c>
      <c r="AE18" s="39">
        <f>'P&amp;L Statement'!AC16</f>
        <v>27.025985727546267</v>
      </c>
    </row>
    <row r="19" spans="2:31" ht="12.75" thickTop="1" x14ac:dyDescent="0.2">
      <c r="C19" s="46" t="s">
        <v>126</v>
      </c>
      <c r="D19" s="47"/>
      <c r="E19" s="47"/>
      <c r="G19" s="49">
        <f>G17-G18</f>
        <v>63.320000000000007</v>
      </c>
      <c r="H19" s="49">
        <f t="shared" ref="H19:AE19" si="2">H17-H18</f>
        <v>66.328212218305524</v>
      </c>
      <c r="I19" s="49">
        <f t="shared" si="2"/>
        <v>69.821237902807667</v>
      </c>
      <c r="J19" s="49">
        <f t="shared" si="2"/>
        <v>73.858136357450078</v>
      </c>
      <c r="K19" s="49">
        <f t="shared" si="2"/>
        <v>78.505091785897605</v>
      </c>
      <c r="L19" s="49">
        <f t="shared" si="2"/>
        <v>83.8362693676698</v>
      </c>
      <c r="M19" s="49">
        <f t="shared" si="2"/>
        <v>89.934774096237064</v>
      </c>
      <c r="N19" s="49">
        <f t="shared" si="2"/>
        <v>96.893724711498152</v>
      </c>
      <c r="O19" s="49">
        <f t="shared" si="2"/>
        <v>104.81745653897968</v>
      </c>
      <c r="P19" s="49">
        <f t="shared" si="2"/>
        <v>113.82286870560674</v>
      </c>
      <c r="Q19" s="49">
        <f t="shared" si="2"/>
        <v>90.617448617515208</v>
      </c>
      <c r="R19" s="49">
        <f t="shared" si="2"/>
        <v>89.089672098450791</v>
      </c>
      <c r="S19" s="49">
        <f t="shared" si="2"/>
        <v>87.582027950777402</v>
      </c>
      <c r="T19" s="49">
        <f t="shared" si="2"/>
        <v>86.09073440744649</v>
      </c>
      <c r="U19" s="49">
        <f t="shared" si="2"/>
        <v>84.612458641330221</v>
      </c>
      <c r="V19" s="49">
        <f t="shared" si="2"/>
        <v>83.144251260356015</v>
      </c>
      <c r="W19" s="49">
        <f t="shared" si="2"/>
        <v>81.68349014647174</v>
      </c>
      <c r="X19" s="49">
        <f t="shared" si="2"/>
        <v>80.227832287583851</v>
      </c>
      <c r="Y19" s="49">
        <f t="shared" si="2"/>
        <v>78.775172447072194</v>
      </c>
      <c r="Z19" s="49">
        <f t="shared" si="2"/>
        <v>77.323607682625976</v>
      </c>
      <c r="AA19" s="49">
        <f t="shared" si="2"/>
        <v>75.871406869068721</v>
      </c>
      <c r="AB19" s="49">
        <f t="shared" si="2"/>
        <v>74.416984502059464</v>
      </c>
      <c r="AC19" s="49">
        <f t="shared" si="2"/>
        <v>72.958878164069048</v>
      </c>
      <c r="AD19" s="49">
        <f t="shared" si="2"/>
        <v>71.49572912340517</v>
      </c>
      <c r="AE19" s="49">
        <f t="shared" si="2"/>
        <v>70.026265613488476</v>
      </c>
    </row>
    <row r="20" spans="2:31" x14ac:dyDescent="0.2"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2:31" x14ac:dyDescent="0.2">
      <c r="B21" s="12" t="s">
        <v>106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2:31" x14ac:dyDescent="0.2">
      <c r="C22" s="24" t="s">
        <v>111</v>
      </c>
      <c r="D22" s="24" t="s">
        <v>110</v>
      </c>
      <c r="E22" s="24"/>
      <c r="F22" s="36"/>
      <c r="G22" s="36">
        <f>'Balance Sheet'!$F$23+'Balance Sheet'!$F$22</f>
        <v>700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2:31" x14ac:dyDescent="0.2">
      <c r="C23" s="24" t="s">
        <v>132</v>
      </c>
      <c r="D23" s="24" t="s">
        <v>110</v>
      </c>
      <c r="E23" s="24"/>
      <c r="F23" s="36"/>
      <c r="G23" s="36">
        <f>SUM('Cost - Expenses'!$B$8:$B$11)</f>
        <v>55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2:31" ht="12.75" thickBot="1" x14ac:dyDescent="0.25">
      <c r="C24" s="29" t="s">
        <v>112</v>
      </c>
      <c r="D24" s="29" t="s">
        <v>109</v>
      </c>
      <c r="E24" s="29"/>
      <c r="F24" s="29"/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</row>
    <row r="25" spans="2:31" ht="12.75" thickTop="1" x14ac:dyDescent="0.2">
      <c r="C25" s="46" t="s">
        <v>127</v>
      </c>
      <c r="D25" s="47"/>
      <c r="E25" s="47"/>
      <c r="F25" s="47"/>
      <c r="G25" s="49">
        <f>G24-G22-G23</f>
        <v>-755</v>
      </c>
      <c r="H25" s="49">
        <f t="shared" ref="H25:AE25" si="3">H24-H22-H23</f>
        <v>0</v>
      </c>
      <c r="I25" s="49">
        <f t="shared" si="3"/>
        <v>0</v>
      </c>
      <c r="J25" s="49">
        <f t="shared" si="3"/>
        <v>0</v>
      </c>
      <c r="K25" s="49">
        <f t="shared" si="3"/>
        <v>0</v>
      </c>
      <c r="L25" s="49">
        <f t="shared" si="3"/>
        <v>0</v>
      </c>
      <c r="M25" s="49">
        <f t="shared" si="3"/>
        <v>0</v>
      </c>
      <c r="N25" s="49">
        <f t="shared" si="3"/>
        <v>0</v>
      </c>
      <c r="O25" s="49">
        <f t="shared" si="3"/>
        <v>0</v>
      </c>
      <c r="P25" s="49">
        <f t="shared" si="3"/>
        <v>0</v>
      </c>
      <c r="Q25" s="49">
        <f t="shared" si="3"/>
        <v>0</v>
      </c>
      <c r="R25" s="49">
        <f t="shared" si="3"/>
        <v>0</v>
      </c>
      <c r="S25" s="49">
        <f t="shared" si="3"/>
        <v>0</v>
      </c>
      <c r="T25" s="49">
        <f t="shared" si="3"/>
        <v>0</v>
      </c>
      <c r="U25" s="49">
        <f t="shared" si="3"/>
        <v>0</v>
      </c>
      <c r="V25" s="49">
        <f t="shared" si="3"/>
        <v>0</v>
      </c>
      <c r="W25" s="49">
        <f t="shared" si="3"/>
        <v>0</v>
      </c>
      <c r="X25" s="49">
        <f t="shared" si="3"/>
        <v>0</v>
      </c>
      <c r="Y25" s="49">
        <f t="shared" si="3"/>
        <v>0</v>
      </c>
      <c r="Z25" s="49">
        <f t="shared" si="3"/>
        <v>0</v>
      </c>
      <c r="AA25" s="49">
        <f t="shared" si="3"/>
        <v>0</v>
      </c>
      <c r="AB25" s="49">
        <f t="shared" si="3"/>
        <v>0</v>
      </c>
      <c r="AC25" s="49">
        <f t="shared" si="3"/>
        <v>0</v>
      </c>
      <c r="AD25" s="49">
        <f t="shared" si="3"/>
        <v>0</v>
      </c>
      <c r="AE25" s="49">
        <f t="shared" si="3"/>
        <v>0</v>
      </c>
    </row>
    <row r="26" spans="2:31" x14ac:dyDescent="0.2"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2:31" x14ac:dyDescent="0.2">
      <c r="B27" s="12" t="s">
        <v>107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2:31" x14ac:dyDescent="0.2">
      <c r="C28" s="10" t="s">
        <v>139</v>
      </c>
      <c r="D28" s="10" t="s">
        <v>109</v>
      </c>
      <c r="G28" s="14">
        <f>'Balance Sheet'!F10-'Balance Sheet'!E10</f>
        <v>604</v>
      </c>
      <c r="H28" s="14">
        <f>'Balance Sheet'!G10-'Balance Sheet'!F10</f>
        <v>-34.41843515254584</v>
      </c>
      <c r="I28" s="14">
        <f>'Balance Sheet'!H10-'Balance Sheet'!G10</f>
        <v>-38.548647370851313</v>
      </c>
      <c r="J28" s="14">
        <f>'Balance Sheet'!I10-'Balance Sheet'!H10</f>
        <v>-43.1744850553535</v>
      </c>
      <c r="K28" s="14">
        <f>'Balance Sheet'!J10-'Balance Sheet'!I10</f>
        <v>-48.355423261995895</v>
      </c>
      <c r="L28" s="14">
        <f>'Balance Sheet'!K10-'Balance Sheet'!J10</f>
        <v>-54.158074053435428</v>
      </c>
      <c r="M28" s="14">
        <f>'Balance Sheet'!L10-'Balance Sheet'!K10</f>
        <v>-60.657042939847656</v>
      </c>
      <c r="N28" s="14">
        <f>'Balance Sheet'!M10-'Balance Sheet'!L10</f>
        <v>-67.935888092629398</v>
      </c>
      <c r="O28" s="14">
        <f>'Balance Sheet'!N10-'Balance Sheet'!M10</f>
        <v>-76.0881946637449</v>
      </c>
      <c r="P28" s="14">
        <f>'Balance Sheet'!O10-'Balance Sheet'!N10</f>
        <v>-85.218778023394293</v>
      </c>
      <c r="Q28" s="14">
        <f>'Balance Sheet'!P10-'Balance Sheet'!O10</f>
        <v>-95.44503138620162</v>
      </c>
      <c r="R28" s="14">
        <f>'Balance Sheet'!Q10-'Balance Sheet'!P10</f>
        <v>-1.5631940186722204E-13</v>
      </c>
      <c r="S28" s="14">
        <f>'Balance Sheet'!R10-'Balance Sheet'!Q10</f>
        <v>0</v>
      </c>
      <c r="T28" s="14">
        <f>'Balance Sheet'!S10-'Balance Sheet'!R10</f>
        <v>0</v>
      </c>
      <c r="U28" s="14">
        <f>'Balance Sheet'!T10-'Balance Sheet'!S10</f>
        <v>0</v>
      </c>
      <c r="V28" s="14">
        <f>'Balance Sheet'!U10-'Balance Sheet'!T10</f>
        <v>0</v>
      </c>
      <c r="W28" s="14">
        <f>'Balance Sheet'!V10-'Balance Sheet'!U10</f>
        <v>0</v>
      </c>
      <c r="X28" s="14">
        <f>'Balance Sheet'!W10-'Balance Sheet'!V10</f>
        <v>0</v>
      </c>
      <c r="Y28" s="14">
        <f>'Balance Sheet'!X10-'Balance Sheet'!W10</f>
        <v>0</v>
      </c>
      <c r="Z28" s="14">
        <f>'Balance Sheet'!Y10-'Balance Sheet'!X10</f>
        <v>0</v>
      </c>
      <c r="AA28" s="14">
        <f>'Balance Sheet'!Z10-'Balance Sheet'!Y10</f>
        <v>0</v>
      </c>
      <c r="AB28" s="14">
        <f>'Balance Sheet'!AA10-'Balance Sheet'!Z10</f>
        <v>0</v>
      </c>
      <c r="AC28" s="14">
        <f>'Balance Sheet'!AB10-'Balance Sheet'!AA10</f>
        <v>0</v>
      </c>
      <c r="AD28" s="14">
        <f>'Balance Sheet'!AC10-'Balance Sheet'!AB10</f>
        <v>0</v>
      </c>
      <c r="AE28" s="14">
        <f>'Balance Sheet'!AD10-'Balance Sheet'!AC10</f>
        <v>0</v>
      </c>
    </row>
    <row r="29" spans="2:31" ht="12.75" thickBot="1" x14ac:dyDescent="0.25">
      <c r="C29" s="29" t="s">
        <v>140</v>
      </c>
      <c r="D29" s="29" t="s">
        <v>109</v>
      </c>
      <c r="E29" s="29"/>
      <c r="F29" s="29"/>
      <c r="G29" s="39">
        <f>'Balance Sheet'!F7</f>
        <v>151</v>
      </c>
      <c r="H29" s="39">
        <f>'Balance Sheet'!G7-'Balance Sheet'!F7</f>
        <v>0</v>
      </c>
      <c r="I29" s="39">
        <f>'Balance Sheet'!H7-'Balance Sheet'!G7</f>
        <v>0</v>
      </c>
      <c r="J29" s="39">
        <f>'Balance Sheet'!I7-'Balance Sheet'!H7</f>
        <v>0</v>
      </c>
      <c r="K29" s="39">
        <f>'Balance Sheet'!J7-'Balance Sheet'!I7</f>
        <v>0</v>
      </c>
      <c r="L29" s="39">
        <f>'Balance Sheet'!K7-'Balance Sheet'!J7</f>
        <v>0</v>
      </c>
      <c r="M29" s="39">
        <f>'Balance Sheet'!L7-'Balance Sheet'!K7</f>
        <v>0</v>
      </c>
      <c r="N29" s="39">
        <f>'Balance Sheet'!M7-'Balance Sheet'!L7</f>
        <v>0</v>
      </c>
      <c r="O29" s="39">
        <f>'Balance Sheet'!N7-'Balance Sheet'!M7</f>
        <v>0</v>
      </c>
      <c r="P29" s="39">
        <f>'Balance Sheet'!O7-'Balance Sheet'!N7</f>
        <v>0</v>
      </c>
      <c r="Q29" s="39">
        <f>'Balance Sheet'!P7-'Balance Sheet'!O7</f>
        <v>0</v>
      </c>
      <c r="R29" s="39">
        <f>'Balance Sheet'!Q7-'Balance Sheet'!P7</f>
        <v>0</v>
      </c>
      <c r="S29" s="39">
        <f>'Balance Sheet'!R7-'Balance Sheet'!Q7</f>
        <v>0</v>
      </c>
      <c r="T29" s="39">
        <f>'Balance Sheet'!S7-'Balance Sheet'!R7</f>
        <v>0</v>
      </c>
      <c r="U29" s="39">
        <f>'Balance Sheet'!T7-'Balance Sheet'!S7</f>
        <v>0</v>
      </c>
      <c r="V29" s="39">
        <f>'Balance Sheet'!U7-'Balance Sheet'!T7</f>
        <v>0</v>
      </c>
      <c r="W29" s="39">
        <f>'Balance Sheet'!V7-'Balance Sheet'!U7</f>
        <v>0</v>
      </c>
      <c r="X29" s="39">
        <f>'Balance Sheet'!W7-'Balance Sheet'!V7</f>
        <v>0</v>
      </c>
      <c r="Y29" s="39">
        <f>'Balance Sheet'!X7-'Balance Sheet'!W7</f>
        <v>0</v>
      </c>
      <c r="Z29" s="39">
        <f>'Balance Sheet'!Y7-'Balance Sheet'!X7</f>
        <v>0</v>
      </c>
      <c r="AA29" s="39">
        <f>'Balance Sheet'!Z7-'Balance Sheet'!Y7</f>
        <v>0</v>
      </c>
      <c r="AB29" s="39">
        <f>'Balance Sheet'!AA7-'Balance Sheet'!Z7</f>
        <v>0</v>
      </c>
      <c r="AC29" s="39">
        <f>'Balance Sheet'!AB7-'Balance Sheet'!AA7</f>
        <v>0</v>
      </c>
      <c r="AD29" s="39">
        <f>'Balance Sheet'!AC7-'Balance Sheet'!AB7</f>
        <v>0</v>
      </c>
      <c r="AE29" s="39">
        <f>'Balance Sheet'!AD7-'Balance Sheet'!AC7</f>
        <v>0</v>
      </c>
    </row>
    <row r="30" spans="2:31" ht="12.75" thickTop="1" x14ac:dyDescent="0.2">
      <c r="C30" s="46" t="s">
        <v>129</v>
      </c>
      <c r="D30" s="47"/>
      <c r="E30" s="47"/>
      <c r="F30" s="47"/>
      <c r="G30" s="49">
        <f>G28+G29</f>
        <v>755</v>
      </c>
      <c r="H30" s="49">
        <f t="shared" ref="H30:AE30" si="4">H28+H29</f>
        <v>-34.41843515254584</v>
      </c>
      <c r="I30" s="49">
        <f t="shared" si="4"/>
        <v>-38.548647370851313</v>
      </c>
      <c r="J30" s="49">
        <f t="shared" si="4"/>
        <v>-43.1744850553535</v>
      </c>
      <c r="K30" s="49">
        <f t="shared" si="4"/>
        <v>-48.355423261995895</v>
      </c>
      <c r="L30" s="49">
        <f t="shared" si="4"/>
        <v>-54.158074053435428</v>
      </c>
      <c r="M30" s="49">
        <f t="shared" si="4"/>
        <v>-60.657042939847656</v>
      </c>
      <c r="N30" s="49">
        <f t="shared" si="4"/>
        <v>-67.935888092629398</v>
      </c>
      <c r="O30" s="49">
        <f t="shared" si="4"/>
        <v>-76.0881946637449</v>
      </c>
      <c r="P30" s="49">
        <f t="shared" si="4"/>
        <v>-85.218778023394293</v>
      </c>
      <c r="Q30" s="49">
        <f t="shared" si="4"/>
        <v>-95.44503138620162</v>
      </c>
      <c r="R30" s="49">
        <f t="shared" si="4"/>
        <v>-1.5631940186722204E-13</v>
      </c>
      <c r="S30" s="49">
        <f t="shared" si="4"/>
        <v>0</v>
      </c>
      <c r="T30" s="49">
        <f t="shared" si="4"/>
        <v>0</v>
      </c>
      <c r="U30" s="49">
        <f t="shared" si="4"/>
        <v>0</v>
      </c>
      <c r="V30" s="49">
        <f t="shared" si="4"/>
        <v>0</v>
      </c>
      <c r="W30" s="49">
        <f t="shared" si="4"/>
        <v>0</v>
      </c>
      <c r="X30" s="49">
        <f t="shared" si="4"/>
        <v>0</v>
      </c>
      <c r="Y30" s="49">
        <f t="shared" si="4"/>
        <v>0</v>
      </c>
      <c r="Z30" s="49">
        <f t="shared" si="4"/>
        <v>0</v>
      </c>
      <c r="AA30" s="49">
        <f t="shared" si="4"/>
        <v>0</v>
      </c>
      <c r="AB30" s="49">
        <f t="shared" si="4"/>
        <v>0</v>
      </c>
      <c r="AC30" s="49">
        <f t="shared" si="4"/>
        <v>0</v>
      </c>
      <c r="AD30" s="49">
        <f t="shared" si="4"/>
        <v>0</v>
      </c>
      <c r="AE30" s="49">
        <f t="shared" si="4"/>
        <v>0</v>
      </c>
    </row>
    <row r="31" spans="2:31" x14ac:dyDescent="0.2"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2:31" x14ac:dyDescent="0.2">
      <c r="B32" s="12" t="s">
        <v>108</v>
      </c>
      <c r="G32" s="14">
        <v>0</v>
      </c>
      <c r="H32" s="14">
        <f>G34</f>
        <v>63.320000000000007</v>
      </c>
      <c r="I32" s="14">
        <f t="shared" ref="I32:AE32" si="5">H34</f>
        <v>95.229777065759691</v>
      </c>
      <c r="J32" s="14">
        <f t="shared" si="5"/>
        <v>126.50236759771605</v>
      </c>
      <c r="K32" s="14">
        <f t="shared" si="5"/>
        <v>157.18601889981261</v>
      </c>
      <c r="L32" s="14">
        <f t="shared" si="5"/>
        <v>187.33568742371432</v>
      </c>
      <c r="M32" s="14">
        <f t="shared" si="5"/>
        <v>217.01388273794868</v>
      </c>
      <c r="N32" s="14">
        <f t="shared" si="5"/>
        <v>246.29161389433807</v>
      </c>
      <c r="O32" s="14">
        <f t="shared" si="5"/>
        <v>275.24945051320685</v>
      </c>
      <c r="P32" s="14">
        <f t="shared" si="5"/>
        <v>303.97871238844164</v>
      </c>
      <c r="Q32" s="14">
        <f t="shared" si="5"/>
        <v>332.58280307065411</v>
      </c>
      <c r="R32" s="14">
        <f t="shared" si="5"/>
        <v>327.75522030196771</v>
      </c>
      <c r="S32" s="14">
        <f t="shared" si="5"/>
        <v>416.84489240041836</v>
      </c>
      <c r="T32" s="14">
        <f t="shared" si="5"/>
        <v>504.42692035119575</v>
      </c>
      <c r="U32" s="14">
        <f t="shared" si="5"/>
        <v>590.51765475864227</v>
      </c>
      <c r="V32" s="14">
        <f t="shared" si="5"/>
        <v>675.13011339997252</v>
      </c>
      <c r="W32" s="14">
        <f t="shared" si="5"/>
        <v>758.2743646603285</v>
      </c>
      <c r="X32" s="14">
        <f t="shared" si="5"/>
        <v>839.95785480680024</v>
      </c>
      <c r="Y32" s="14">
        <f t="shared" si="5"/>
        <v>920.18568709438409</v>
      </c>
      <c r="Z32" s="14">
        <f t="shared" si="5"/>
        <v>998.96085954145633</v>
      </c>
      <c r="AA32" s="14">
        <f t="shared" si="5"/>
        <v>1076.2844672240824</v>
      </c>
      <c r="AB32" s="14">
        <f t="shared" si="5"/>
        <v>1152.1558740931512</v>
      </c>
      <c r="AC32" s="14">
        <f t="shared" si="5"/>
        <v>1226.5728585952106</v>
      </c>
      <c r="AD32" s="14">
        <f t="shared" si="5"/>
        <v>1299.5317367592797</v>
      </c>
      <c r="AE32" s="14">
        <f t="shared" si="5"/>
        <v>1371.027465882685</v>
      </c>
    </row>
    <row r="33" spans="2:31" x14ac:dyDescent="0.2">
      <c r="B33" s="12" t="s">
        <v>136</v>
      </c>
      <c r="G33" s="14">
        <f t="shared" ref="G33:AE33" si="6">G30+G25+G19</f>
        <v>63.320000000000007</v>
      </c>
      <c r="H33" s="14">
        <f t="shared" si="6"/>
        <v>31.909777065759684</v>
      </c>
      <c r="I33" s="14">
        <f t="shared" si="6"/>
        <v>31.272590531956354</v>
      </c>
      <c r="J33" s="14">
        <f t="shared" si="6"/>
        <v>30.683651302096578</v>
      </c>
      <c r="K33" s="14">
        <f t="shared" si="6"/>
        <v>30.14966852390171</v>
      </c>
      <c r="L33" s="14">
        <f t="shared" si="6"/>
        <v>29.678195314234372</v>
      </c>
      <c r="M33" s="14">
        <f t="shared" si="6"/>
        <v>29.277731156389407</v>
      </c>
      <c r="N33" s="14">
        <f t="shared" si="6"/>
        <v>28.957836618868754</v>
      </c>
      <c r="O33" s="14">
        <f t="shared" si="6"/>
        <v>28.729261875234783</v>
      </c>
      <c r="P33" s="14">
        <f t="shared" si="6"/>
        <v>28.604090682212444</v>
      </c>
      <c r="Q33" s="14">
        <f t="shared" si="6"/>
        <v>-4.8275827686864119</v>
      </c>
      <c r="R33" s="14">
        <f t="shared" si="6"/>
        <v>89.089672098450635</v>
      </c>
      <c r="S33" s="14">
        <f t="shared" si="6"/>
        <v>87.582027950777402</v>
      </c>
      <c r="T33" s="14">
        <f t="shared" si="6"/>
        <v>86.09073440744649</v>
      </c>
      <c r="U33" s="14">
        <f t="shared" si="6"/>
        <v>84.612458641330221</v>
      </c>
      <c r="V33" s="14">
        <f t="shared" si="6"/>
        <v>83.144251260356015</v>
      </c>
      <c r="W33" s="14">
        <f t="shared" si="6"/>
        <v>81.68349014647174</v>
      </c>
      <c r="X33" s="14">
        <f t="shared" si="6"/>
        <v>80.227832287583851</v>
      </c>
      <c r="Y33" s="14">
        <f t="shared" si="6"/>
        <v>78.775172447072194</v>
      </c>
      <c r="Z33" s="14">
        <f t="shared" si="6"/>
        <v>77.323607682625976</v>
      </c>
      <c r="AA33" s="14">
        <f t="shared" si="6"/>
        <v>75.871406869068721</v>
      </c>
      <c r="AB33" s="14">
        <f t="shared" si="6"/>
        <v>74.416984502059464</v>
      </c>
      <c r="AC33" s="14">
        <f t="shared" si="6"/>
        <v>72.958878164069048</v>
      </c>
      <c r="AD33" s="14">
        <f t="shared" si="6"/>
        <v>71.49572912340517</v>
      </c>
      <c r="AE33" s="14">
        <f t="shared" si="6"/>
        <v>70.026265613488476</v>
      </c>
    </row>
    <row r="34" spans="2:31" x14ac:dyDescent="0.2">
      <c r="B34" s="20" t="s">
        <v>137</v>
      </c>
      <c r="C34" s="20"/>
      <c r="D34" s="20"/>
      <c r="E34" s="20"/>
      <c r="F34" s="20"/>
      <c r="G34" s="51">
        <f>G32+G33</f>
        <v>63.320000000000007</v>
      </c>
      <c r="H34" s="51">
        <f t="shared" ref="H34:AE34" si="7">H32+H33</f>
        <v>95.229777065759691</v>
      </c>
      <c r="I34" s="51">
        <f t="shared" si="7"/>
        <v>126.50236759771605</v>
      </c>
      <c r="J34" s="51">
        <f t="shared" si="7"/>
        <v>157.18601889981261</v>
      </c>
      <c r="K34" s="51">
        <f t="shared" si="7"/>
        <v>187.33568742371432</v>
      </c>
      <c r="L34" s="51">
        <f t="shared" si="7"/>
        <v>217.01388273794868</v>
      </c>
      <c r="M34" s="51">
        <f t="shared" si="7"/>
        <v>246.29161389433807</v>
      </c>
      <c r="N34" s="51">
        <f t="shared" si="7"/>
        <v>275.24945051320685</v>
      </c>
      <c r="O34" s="51">
        <f t="shared" si="7"/>
        <v>303.97871238844164</v>
      </c>
      <c r="P34" s="51">
        <f t="shared" si="7"/>
        <v>332.58280307065411</v>
      </c>
      <c r="Q34" s="51">
        <f t="shared" si="7"/>
        <v>327.75522030196771</v>
      </c>
      <c r="R34" s="51">
        <f t="shared" si="7"/>
        <v>416.84489240041836</v>
      </c>
      <c r="S34" s="51">
        <f t="shared" si="7"/>
        <v>504.42692035119575</v>
      </c>
      <c r="T34" s="51">
        <f t="shared" si="7"/>
        <v>590.51765475864227</v>
      </c>
      <c r="U34" s="51">
        <f t="shared" si="7"/>
        <v>675.13011339997252</v>
      </c>
      <c r="V34" s="51">
        <f t="shared" si="7"/>
        <v>758.2743646603285</v>
      </c>
      <c r="W34" s="51">
        <f t="shared" si="7"/>
        <v>839.95785480680024</v>
      </c>
      <c r="X34" s="51">
        <f t="shared" si="7"/>
        <v>920.18568709438409</v>
      </c>
      <c r="Y34" s="51">
        <f t="shared" si="7"/>
        <v>998.96085954145633</v>
      </c>
      <c r="Z34" s="51">
        <f t="shared" si="7"/>
        <v>1076.2844672240824</v>
      </c>
      <c r="AA34" s="51">
        <f t="shared" si="7"/>
        <v>1152.1558740931512</v>
      </c>
      <c r="AB34" s="51">
        <f t="shared" si="7"/>
        <v>1226.5728585952106</v>
      </c>
      <c r="AC34" s="51">
        <f t="shared" si="7"/>
        <v>1299.5317367592797</v>
      </c>
      <c r="AD34" s="51">
        <f t="shared" si="7"/>
        <v>1371.027465882685</v>
      </c>
      <c r="AE34" s="51">
        <f t="shared" si="7"/>
        <v>1441.0537314961734</v>
      </c>
    </row>
  </sheetData>
  <mergeCells count="2">
    <mergeCell ref="G4:AE4"/>
    <mergeCell ref="H1:J1"/>
  </mergeCells>
  <hyperlinks>
    <hyperlink ref="H1" location="Content!A1" display="Back to Content" xr:uid="{6B8A989B-070E-43F8-99DD-AA45DF9D11C9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2496-D12D-4C66-936E-03513981C65F}">
  <dimension ref="A1:AB35"/>
  <sheetViews>
    <sheetView workbookViewId="0">
      <selection activeCell="D1" sqref="D1:F1"/>
    </sheetView>
  </sheetViews>
  <sheetFormatPr defaultRowHeight="12" x14ac:dyDescent="0.2"/>
  <cols>
    <col min="1" max="1" width="4" style="10" customWidth="1"/>
    <col min="2" max="2" width="23.28515625" style="10" bestFit="1" customWidth="1"/>
    <col min="3" max="3" width="7" style="10" bestFit="1" customWidth="1"/>
    <col min="4" max="4" width="6.140625" style="10" customWidth="1"/>
    <col min="5" max="5" width="7.5703125" style="10" bestFit="1" customWidth="1"/>
    <col min="6" max="13" width="6.5703125" style="10" bestFit="1" customWidth="1"/>
    <col min="14" max="14" width="7.5703125" style="10" bestFit="1" customWidth="1"/>
    <col min="15" max="17" width="6.5703125" style="10" bestFit="1" customWidth="1"/>
    <col min="18" max="28" width="7.5703125" style="10" bestFit="1" customWidth="1"/>
    <col min="29" max="16384" width="9.140625" style="10"/>
  </cols>
  <sheetData>
    <row r="1" spans="1:28" ht="15" x14ac:dyDescent="0.25">
      <c r="A1" s="12" t="s">
        <v>141</v>
      </c>
      <c r="D1" s="72" t="s">
        <v>180</v>
      </c>
      <c r="E1" s="73"/>
      <c r="F1" s="73"/>
    </row>
    <row r="2" spans="1:28" x14ac:dyDescent="0.2">
      <c r="A2" s="11" t="s">
        <v>81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</row>
    <row r="3" spans="1:28" x14ac:dyDescent="0.2">
      <c r="A3" s="11"/>
      <c r="D3" s="69" t="s">
        <v>56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 spans="1:28" x14ac:dyDescent="0.2">
      <c r="A4" s="11"/>
      <c r="B4" s="10" t="s">
        <v>150</v>
      </c>
      <c r="C4" s="10">
        <v>0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</row>
    <row r="5" spans="1:28" x14ac:dyDescent="0.2">
      <c r="A5" s="11"/>
      <c r="D5" s="41">
        <v>2021</v>
      </c>
      <c r="E5" s="41">
        <v>2022</v>
      </c>
      <c r="F5" s="41">
        <v>2023</v>
      </c>
      <c r="G5" s="41">
        <v>2024</v>
      </c>
      <c r="H5" s="41">
        <v>2025</v>
      </c>
      <c r="I5" s="41">
        <v>2026</v>
      </c>
      <c r="J5" s="41">
        <v>2027</v>
      </c>
      <c r="K5" s="41">
        <v>2028</v>
      </c>
      <c r="L5" s="41">
        <v>2029</v>
      </c>
      <c r="M5" s="41">
        <v>2030</v>
      </c>
      <c r="N5" s="41">
        <v>2031</v>
      </c>
      <c r="O5" s="41">
        <v>2032</v>
      </c>
      <c r="P5" s="41">
        <v>2033</v>
      </c>
      <c r="Q5" s="41">
        <v>2034</v>
      </c>
      <c r="R5" s="41">
        <v>2035</v>
      </c>
      <c r="S5" s="41">
        <v>2036</v>
      </c>
      <c r="T5" s="41">
        <v>2037</v>
      </c>
      <c r="U5" s="41">
        <v>2038</v>
      </c>
      <c r="V5" s="41">
        <v>2039</v>
      </c>
      <c r="W5" s="41">
        <v>2040</v>
      </c>
      <c r="X5" s="41">
        <v>2041</v>
      </c>
      <c r="Y5" s="41">
        <v>2042</v>
      </c>
      <c r="Z5" s="41">
        <v>2043</v>
      </c>
      <c r="AA5" s="41">
        <v>2044</v>
      </c>
      <c r="AB5" s="41">
        <v>2045</v>
      </c>
    </row>
    <row r="6" spans="1:28" x14ac:dyDescent="0.2">
      <c r="B6" s="10" t="s">
        <v>144</v>
      </c>
      <c r="C6" s="14">
        <f>'Cash Flow Statement'!$G$25</f>
        <v>-755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x14ac:dyDescent="0.2">
      <c r="B7" s="10" t="s">
        <v>145</v>
      </c>
      <c r="C7" s="14">
        <f>C6</f>
        <v>-755</v>
      </c>
      <c r="D7" s="14">
        <f>'Cash Flow Statement'!G19</f>
        <v>63.320000000000007</v>
      </c>
      <c r="E7" s="14">
        <f>'Cash Flow Statement'!H19</f>
        <v>66.328212218305524</v>
      </c>
      <c r="F7" s="14">
        <f>'Cash Flow Statement'!I19</f>
        <v>69.821237902807667</v>
      </c>
      <c r="G7" s="14">
        <f>'Cash Flow Statement'!J19</f>
        <v>73.858136357450078</v>
      </c>
      <c r="H7" s="14">
        <f>'Cash Flow Statement'!K19</f>
        <v>78.505091785897605</v>
      </c>
      <c r="I7" s="14">
        <f>'Cash Flow Statement'!L19</f>
        <v>83.8362693676698</v>
      </c>
      <c r="J7" s="14">
        <f>'Cash Flow Statement'!M19</f>
        <v>89.934774096237064</v>
      </c>
      <c r="K7" s="14">
        <f>'Cash Flow Statement'!N19</f>
        <v>96.893724711498152</v>
      </c>
      <c r="L7" s="14">
        <f>'Cash Flow Statement'!O19</f>
        <v>104.81745653897968</v>
      </c>
      <c r="M7" s="14">
        <f>'Cash Flow Statement'!P19</f>
        <v>113.82286870560674</v>
      </c>
      <c r="N7" s="14">
        <f>'Cash Flow Statement'!Q19</f>
        <v>90.617448617515208</v>
      </c>
      <c r="O7" s="14">
        <f>'Cash Flow Statement'!R19</f>
        <v>89.089672098450791</v>
      </c>
      <c r="P7" s="14">
        <f>'Cash Flow Statement'!S19</f>
        <v>87.582027950777402</v>
      </c>
      <c r="Q7" s="14">
        <f>'Cash Flow Statement'!T19</f>
        <v>86.09073440744649</v>
      </c>
      <c r="R7" s="14">
        <f>'Cash Flow Statement'!U19</f>
        <v>84.612458641330221</v>
      </c>
      <c r="S7" s="14">
        <f>'Cash Flow Statement'!V19</f>
        <v>83.144251260356015</v>
      </c>
      <c r="T7" s="14">
        <f>'Cash Flow Statement'!W19</f>
        <v>81.68349014647174</v>
      </c>
      <c r="U7" s="14">
        <f>'Cash Flow Statement'!X19</f>
        <v>80.227832287583851</v>
      </c>
      <c r="V7" s="14">
        <f>'Cash Flow Statement'!Y19</f>
        <v>78.775172447072194</v>
      </c>
      <c r="W7" s="14">
        <f>'Cash Flow Statement'!Z19</f>
        <v>77.323607682625976</v>
      </c>
      <c r="X7" s="14">
        <f>'Cash Flow Statement'!AA19</f>
        <v>75.871406869068721</v>
      </c>
      <c r="Y7" s="14">
        <f>'Cash Flow Statement'!AB19</f>
        <v>74.416984502059464</v>
      </c>
      <c r="Z7" s="14">
        <f>'Cash Flow Statement'!AC19</f>
        <v>72.958878164069048</v>
      </c>
      <c r="AA7" s="14">
        <f>'Cash Flow Statement'!AD19</f>
        <v>71.49572912340517</v>
      </c>
      <c r="AB7" s="14">
        <f>'Cash Flow Statement'!AE19</f>
        <v>70.026265613488476</v>
      </c>
    </row>
    <row r="8" spans="1:28" x14ac:dyDescent="0.2">
      <c r="B8" s="10" t="s">
        <v>147</v>
      </c>
      <c r="D8" s="14">
        <f>D7</f>
        <v>63.320000000000007</v>
      </c>
      <c r="E8" s="14">
        <f>D8+E7</f>
        <v>129.64821221830553</v>
      </c>
      <c r="F8" s="14">
        <f t="shared" ref="F8:AB8" si="0">E8+F7</f>
        <v>199.4694501211132</v>
      </c>
      <c r="G8" s="14">
        <f t="shared" si="0"/>
        <v>273.32758647856326</v>
      </c>
      <c r="H8" s="14">
        <f t="shared" si="0"/>
        <v>351.83267826446087</v>
      </c>
      <c r="I8" s="14">
        <f t="shared" si="0"/>
        <v>435.66894763213065</v>
      </c>
      <c r="J8" s="14">
        <f t="shared" si="0"/>
        <v>525.60372172836776</v>
      </c>
      <c r="K8" s="14">
        <f t="shared" si="0"/>
        <v>622.49744643986594</v>
      </c>
      <c r="L8" s="14">
        <f t="shared" si="0"/>
        <v>727.31490297884557</v>
      </c>
      <c r="M8" s="14">
        <f t="shared" si="0"/>
        <v>841.13777168445233</v>
      </c>
      <c r="N8" s="14">
        <f t="shared" si="0"/>
        <v>931.75522030196748</v>
      </c>
      <c r="O8" s="14">
        <f t="shared" si="0"/>
        <v>1020.8448924004183</v>
      </c>
      <c r="P8" s="14">
        <f t="shared" si="0"/>
        <v>1108.4269203511958</v>
      </c>
      <c r="Q8" s="14">
        <f t="shared" si="0"/>
        <v>1194.5176547586423</v>
      </c>
      <c r="R8" s="14">
        <f t="shared" si="0"/>
        <v>1279.1301133999725</v>
      </c>
      <c r="S8" s="14">
        <f t="shared" si="0"/>
        <v>1362.2743646603285</v>
      </c>
      <c r="T8" s="14">
        <f t="shared" si="0"/>
        <v>1443.9578548068002</v>
      </c>
      <c r="U8" s="14">
        <f t="shared" si="0"/>
        <v>1524.1856870943841</v>
      </c>
      <c r="V8" s="14">
        <f t="shared" si="0"/>
        <v>1602.9608595414563</v>
      </c>
      <c r="W8" s="14">
        <f t="shared" si="0"/>
        <v>1680.2844672240824</v>
      </c>
      <c r="X8" s="14">
        <f t="shared" si="0"/>
        <v>1756.1558740931512</v>
      </c>
      <c r="Y8" s="14">
        <f t="shared" si="0"/>
        <v>1830.5728585952106</v>
      </c>
      <c r="Z8" s="14">
        <f t="shared" si="0"/>
        <v>1903.5317367592797</v>
      </c>
      <c r="AA8" s="14">
        <f t="shared" si="0"/>
        <v>1975.027465882685</v>
      </c>
      <c r="AB8" s="14">
        <f t="shared" si="0"/>
        <v>2045.0537314961734</v>
      </c>
    </row>
    <row r="9" spans="1:28" x14ac:dyDescent="0.2">
      <c r="B9" s="10" t="s">
        <v>149</v>
      </c>
      <c r="C9" s="10">
        <v>1</v>
      </c>
      <c r="D9" s="14">
        <f>1/((1+'Project Assumptions'!$D$30)^D4)</f>
        <v>0.93457943925233644</v>
      </c>
      <c r="E9" s="14">
        <f>1/((1+'Project Assumptions'!$D$30)^E4)</f>
        <v>0.87343872827321156</v>
      </c>
      <c r="F9" s="14">
        <f>1/((1+'Project Assumptions'!$D$30)^F4)</f>
        <v>0.81629787689085187</v>
      </c>
      <c r="G9" s="14">
        <f>1/((1+'Project Assumptions'!$D$30)^G4)</f>
        <v>0.7628952120475252</v>
      </c>
      <c r="H9" s="14">
        <f>1/((1+'Project Assumptions'!$D$30)^H4)</f>
        <v>0.71298617948366838</v>
      </c>
      <c r="I9" s="14">
        <f>1/((1+'Project Assumptions'!$D$30)^I4)</f>
        <v>0.66634222381651254</v>
      </c>
      <c r="J9" s="14">
        <f>1/((1+'Project Assumptions'!$D$30)^J4)</f>
        <v>0.62274974188459109</v>
      </c>
      <c r="K9" s="14">
        <f>1/((1+'Project Assumptions'!$D$30)^K4)</f>
        <v>0.5820091045650384</v>
      </c>
      <c r="L9" s="14">
        <f>1/((1+'Project Assumptions'!$D$30)^L4)</f>
        <v>0.54393374258414806</v>
      </c>
      <c r="M9" s="14">
        <f>1/((1+'Project Assumptions'!$D$30)^M4)</f>
        <v>0.5083492921347178</v>
      </c>
      <c r="N9" s="14">
        <f>1/((1+'Project Assumptions'!$D$30)^N4)</f>
        <v>0.47509279638758667</v>
      </c>
      <c r="O9" s="14">
        <f>1/((1+'Project Assumptions'!$D$30)^O4)</f>
        <v>0.44401195924073528</v>
      </c>
      <c r="P9" s="14">
        <f>1/((1+'Project Assumptions'!$D$30)^P4)</f>
        <v>0.41496444788853759</v>
      </c>
      <c r="Q9" s="14">
        <f>1/((1+'Project Assumptions'!$D$30)^Q4)</f>
        <v>0.3878172410173249</v>
      </c>
      <c r="R9" s="14">
        <f>1/((1+'Project Assumptions'!$D$30)^R4)</f>
        <v>0.36244601964235967</v>
      </c>
      <c r="S9" s="14">
        <f>1/((1+'Project Assumptions'!$D$30)^S4)</f>
        <v>0.33873459779659787</v>
      </c>
      <c r="T9" s="14">
        <f>1/((1+'Project Assumptions'!$D$30)^T4)</f>
        <v>0.31657439046411018</v>
      </c>
      <c r="U9" s="14">
        <f>1/((1+'Project Assumptions'!$D$30)^U4)</f>
        <v>0.29586391632159825</v>
      </c>
      <c r="V9" s="14">
        <f>1/((1+'Project Assumptions'!$D$30)^V4)</f>
        <v>0.27650833301083949</v>
      </c>
      <c r="W9" s="14">
        <f>1/((1+'Project Assumptions'!$D$30)^W4)</f>
        <v>0.2584190028138687</v>
      </c>
      <c r="X9" s="14">
        <f>1/((1+'Project Assumptions'!$D$30)^X4)</f>
        <v>0.24151308674193336</v>
      </c>
      <c r="Y9" s="14">
        <f>1/((1+'Project Assumptions'!$D$30)^Y4)</f>
        <v>0.22571316517937698</v>
      </c>
      <c r="Z9" s="14">
        <f>1/((1+'Project Assumptions'!$D$30)^Z4)</f>
        <v>0.21094688334521211</v>
      </c>
      <c r="AA9" s="14">
        <f>1/((1+'Project Assumptions'!$D$30)^AA4)</f>
        <v>0.19714661994879637</v>
      </c>
      <c r="AB9" s="14">
        <f>1/((1+'Project Assumptions'!$D$30)^AB4)</f>
        <v>0.18424917752223957</v>
      </c>
    </row>
    <row r="10" spans="1:28" x14ac:dyDescent="0.2">
      <c r="D10" s="14">
        <f>D7*D9</f>
        <v>59.177570093457952</v>
      </c>
      <c r="E10" s="14">
        <f t="shared" ref="E10:AB10" si="1">E7*E9</f>
        <v>57.933629328592467</v>
      </c>
      <c r="F10" s="14">
        <f t="shared" si="1"/>
        <v>56.994928261952971</v>
      </c>
      <c r="G10" s="14">
        <f t="shared" si="1"/>
        <v>56.346018597851909</v>
      </c>
      <c r="H10" s="14">
        <f t="shared" si="1"/>
        <v>55.973045462441853</v>
      </c>
      <c r="I10" s="14">
        <f t="shared" si="1"/>
        <v>55.863646166933265</v>
      </c>
      <c r="J10" s="14">
        <f t="shared" si="1"/>
        <v>56.006857354880637</v>
      </c>
      <c r="K10" s="14">
        <f t="shared" si="1"/>
        <v>56.393029957310375</v>
      </c>
      <c r="L10" s="14">
        <f t="shared" si="1"/>
        <v>57.013751423398503</v>
      </c>
      <c r="M10" s="14">
        <f t="shared" si="1"/>
        <v>57.861774735238107</v>
      </c>
      <c r="N10" s="14">
        <f t="shared" si="1"/>
        <v>43.051697065203747</v>
      </c>
      <c r="O10" s="14">
        <f t="shared" si="1"/>
        <v>39.556879856547802</v>
      </c>
      <c r="P10" s="14">
        <f t="shared" si="1"/>
        <v>36.343427873552812</v>
      </c>
      <c r="Q10" s="14">
        <f t="shared" si="1"/>
        <v>33.387471095051183</v>
      </c>
      <c r="R10" s="14">
        <f t="shared" si="1"/>
        <v>30.66744884670392</v>
      </c>
      <c r="S10" s="14">
        <f t="shared" si="1"/>
        <v>28.16383450977597</v>
      </c>
      <c r="T10" s="14">
        <f t="shared" si="1"/>
        <v>25.85890110410044</v>
      </c>
      <c r="U10" s="14">
        <f t="shared" si="1"/>
        <v>23.736520658596927</v>
      </c>
      <c r="V10" s="14">
        <f t="shared" si="1"/>
        <v>21.781991615981347</v>
      </c>
      <c r="W10" s="14">
        <f t="shared" si="1"/>
        <v>19.981889591315003</v>
      </c>
      <c r="X10" s="14">
        <f t="shared" si="1"/>
        <v>18.323937668401914</v>
      </c>
      <c r="Y10" s="14">
        <f t="shared" si="1"/>
        <v>16.796893115064485</v>
      </c>
      <c r="Z10" s="14">
        <f t="shared" si="1"/>
        <v>15.390447961073416</v>
      </c>
      <c r="AA10" s="14">
        <f t="shared" si="1"/>
        <v>14.09514133745405</v>
      </c>
      <c r="AB10" s="14">
        <f t="shared" si="1"/>
        <v>12.902281844239139</v>
      </c>
    </row>
    <row r="11" spans="1:28" x14ac:dyDescent="0.2">
      <c r="E11" s="14"/>
    </row>
    <row r="13" spans="1:28" x14ac:dyDescent="0.2">
      <c r="A13" s="12" t="s">
        <v>146</v>
      </c>
      <c r="C13" s="65">
        <f>10+(-$C$6-M8)/N7</f>
        <v>9.0494350370861909</v>
      </c>
      <c r="D13" s="10" t="s">
        <v>148</v>
      </c>
    </row>
    <row r="15" spans="1:28" x14ac:dyDescent="0.2">
      <c r="A15" s="12" t="s">
        <v>143</v>
      </c>
    </row>
    <row r="16" spans="1:28" x14ac:dyDescent="0.2">
      <c r="B16" s="10" t="s">
        <v>151</v>
      </c>
      <c r="C16" s="52">
        <f>'Project Assumptions'!D30</f>
        <v>7.0000000000000007E-2</v>
      </c>
    </row>
    <row r="17" spans="1:28" x14ac:dyDescent="0.2">
      <c r="B17" s="12" t="s">
        <v>142</v>
      </c>
      <c r="C17" s="19">
        <f>NPV($C$16,C6,D7:AB7)</f>
        <v>181.87197712628009</v>
      </c>
    </row>
    <row r="19" spans="1:28" x14ac:dyDescent="0.2">
      <c r="A19" s="12" t="s">
        <v>155</v>
      </c>
    </row>
    <row r="20" spans="1:28" x14ac:dyDescent="0.2">
      <c r="B20" s="12" t="s">
        <v>156</v>
      </c>
      <c r="C20" s="66">
        <f>IRR(C7:AB7)</f>
        <v>9.647011705073516E-2</v>
      </c>
    </row>
    <row r="22" spans="1:28" x14ac:dyDescent="0.2">
      <c r="A22" s="12" t="s">
        <v>157</v>
      </c>
      <c r="D22" s="69" t="s">
        <v>56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3"/>
      <c r="T22" s="63"/>
      <c r="U22" s="63"/>
      <c r="V22" s="63"/>
      <c r="W22" s="63"/>
      <c r="X22" s="63"/>
      <c r="Y22" s="63"/>
      <c r="Z22" s="63"/>
      <c r="AA22" s="63"/>
      <c r="AB22" s="63"/>
    </row>
    <row r="23" spans="1:28" ht="12.75" customHeight="1" x14ac:dyDescent="0.25">
      <c r="B23" s="10" t="s">
        <v>37</v>
      </c>
      <c r="D23" s="41">
        <v>2021</v>
      </c>
      <c r="E23" s="41">
        <v>2022</v>
      </c>
      <c r="F23" s="41">
        <v>2023</v>
      </c>
      <c r="G23" s="41">
        <v>2024</v>
      </c>
      <c r="H23" s="41">
        <v>2025</v>
      </c>
      <c r="I23" s="41">
        <v>2026</v>
      </c>
      <c r="J23" s="41">
        <v>2027</v>
      </c>
      <c r="K23" s="41">
        <v>2028</v>
      </c>
      <c r="L23" s="41">
        <v>2029</v>
      </c>
      <c r="M23" s="41">
        <v>2030</v>
      </c>
      <c r="N23" s="67" t="s">
        <v>167</v>
      </c>
      <c r="O23"/>
      <c r="P23"/>
      <c r="Q23"/>
      <c r="R23"/>
    </row>
    <row r="24" spans="1:28" ht="12.75" customHeight="1" x14ac:dyDescent="0.25">
      <c r="B24" s="10" t="s">
        <v>158</v>
      </c>
      <c r="D24" s="14">
        <f>'P&amp;L Statement'!E18</f>
        <v>31.620000000000008</v>
      </c>
      <c r="E24" s="14">
        <f>'P&amp;L Statement'!F18</f>
        <v>37.581462218305525</v>
      </c>
      <c r="F24" s="14">
        <f>'P&amp;L Statement'!G18</f>
        <v>43.659398152807668</v>
      </c>
      <c r="G24" s="14">
        <f>'P&amp;L Statement'!H18</f>
        <v>49.963403718200077</v>
      </c>
      <c r="H24" s="14">
        <f>'P&amp;L Statement'!I18</f>
        <v>56.603033224824856</v>
      </c>
      <c r="I24" s="14">
        <f>'P&amp;L Statement'!J18</f>
        <v>63.689684933018462</v>
      </c>
      <c r="J24" s="14">
        <f>'P&amp;L Statement'!K18</f>
        <v>71.338440687581951</v>
      </c>
      <c r="K24" s="14">
        <f>'P&amp;L Statement'!L18</f>
        <v>79.669893487059966</v>
      </c>
      <c r="L24" s="14">
        <f>'P&amp;L Statement'!M18</f>
        <v>88.811995203973041</v>
      </c>
      <c r="M24" s="14">
        <f>'P&amp;L Statement'!N18</f>
        <v>98.901955663230638</v>
      </c>
      <c r="N24" s="14">
        <f>SUM(D24:M24)</f>
        <v>621.83926728900224</v>
      </c>
      <c r="O24"/>
      <c r="P24"/>
      <c r="Q24"/>
      <c r="R24"/>
    </row>
    <row r="25" spans="1:28" ht="12.75" customHeight="1" x14ac:dyDescent="0.25">
      <c r="B25" s="10" t="s">
        <v>159</v>
      </c>
      <c r="D25" s="14">
        <f>'P&amp;L Statement'!E14</f>
        <v>31.7</v>
      </c>
      <c r="E25" s="14">
        <f>'P&amp;L Statement'!F14</f>
        <v>28.746749999999999</v>
      </c>
      <c r="F25" s="14">
        <f>'P&amp;L Statement'!G14</f>
        <v>26.161839749999999</v>
      </c>
      <c r="G25" s="14">
        <f>'P&amp;L Statement'!H14</f>
        <v>23.894732639250002</v>
      </c>
      <c r="H25" s="14">
        <f>'P&amp;L Statement'!I14</f>
        <v>21.902058561072753</v>
      </c>
      <c r="I25" s="14">
        <f>'P&amp;L Statement'!J14</f>
        <v>20.146584434651338</v>
      </c>
      <c r="J25" s="14">
        <f>'P&amp;L Statement'!K14</f>
        <v>18.596333408655109</v>
      </c>
      <c r="K25" s="14">
        <f>'P&amp;L Statement'!L14</f>
        <v>17.223831224438186</v>
      </c>
      <c r="L25" s="14">
        <f>'P&amp;L Statement'!M14</f>
        <v>16.00546133500664</v>
      </c>
      <c r="M25" s="14">
        <f>'P&amp;L Statement'!N14</f>
        <v>14.920913042376093</v>
      </c>
      <c r="N25" s="14">
        <f t="shared" ref="N25:N31" si="2">SUM(D25:M25)</f>
        <v>219.29850439545012</v>
      </c>
      <c r="O25"/>
      <c r="P25"/>
      <c r="Q25"/>
      <c r="R25"/>
    </row>
    <row r="26" spans="1:28" ht="12.75" customHeight="1" x14ac:dyDescent="0.25">
      <c r="B26" s="10" t="s">
        <v>160</v>
      </c>
      <c r="D26" s="14">
        <f>'Debt - Loan Amortisation Sch'!C13</f>
        <v>72.48</v>
      </c>
      <c r="E26" s="14">
        <f>'Debt - Loan Amortisation Sch'!D13</f>
        <v>68.349787781694502</v>
      </c>
      <c r="F26" s="14">
        <f>'Debt - Loan Amortisation Sch'!E13</f>
        <v>63.723950097192336</v>
      </c>
      <c r="G26" s="14">
        <f>'Debt - Loan Amortisation Sch'!F13</f>
        <v>58.54301189054992</v>
      </c>
      <c r="H26" s="14">
        <f>'Debt - Loan Amortisation Sch'!G13</f>
        <v>52.740361099110409</v>
      </c>
      <c r="I26" s="14">
        <f>'Debt - Loan Amortisation Sch'!H13</f>
        <v>46.241392212698159</v>
      </c>
      <c r="J26" s="14">
        <f>'Debt - Loan Amortisation Sch'!I13</f>
        <v>38.962547059916446</v>
      </c>
      <c r="K26" s="14">
        <f>'Debt - Loan Amortisation Sch'!J13</f>
        <v>30.810240488800915</v>
      </c>
      <c r="L26" s="14">
        <f>'Debt - Loan Amortisation Sch'!K13</f>
        <v>21.679657129151529</v>
      </c>
      <c r="M26" s="14">
        <f>'Debt - Loan Amortisation Sch'!L13</f>
        <v>11.453403766344213</v>
      </c>
      <c r="N26" s="14">
        <f t="shared" si="2"/>
        <v>464.98435152545841</v>
      </c>
      <c r="O26"/>
      <c r="P26"/>
      <c r="Q26"/>
      <c r="R26"/>
    </row>
    <row r="27" spans="1:28" ht="12.75" customHeight="1" x14ac:dyDescent="0.25">
      <c r="B27" s="20" t="s">
        <v>161</v>
      </c>
      <c r="C27" s="20"/>
      <c r="D27" s="51">
        <f>D24+D25+D26</f>
        <v>135.80000000000001</v>
      </c>
      <c r="E27" s="51">
        <f t="shared" ref="E27:M27" si="3">E24+E25+E26</f>
        <v>134.67800000000003</v>
      </c>
      <c r="F27" s="51">
        <f t="shared" si="3"/>
        <v>133.545188</v>
      </c>
      <c r="G27" s="51">
        <f t="shared" si="3"/>
        <v>132.401148248</v>
      </c>
      <c r="H27" s="51">
        <f t="shared" si="3"/>
        <v>131.24545288500801</v>
      </c>
      <c r="I27" s="51">
        <f t="shared" si="3"/>
        <v>130.07766158036796</v>
      </c>
      <c r="J27" s="51">
        <f t="shared" si="3"/>
        <v>128.89732115615351</v>
      </c>
      <c r="K27" s="51">
        <f t="shared" si="3"/>
        <v>127.70396520029907</v>
      </c>
      <c r="L27" s="51">
        <f t="shared" si="3"/>
        <v>126.49711366813122</v>
      </c>
      <c r="M27" s="51">
        <f t="shared" si="3"/>
        <v>125.27627247195095</v>
      </c>
      <c r="N27" s="51">
        <f t="shared" si="2"/>
        <v>1306.1221232099108</v>
      </c>
      <c r="O27"/>
      <c r="P27"/>
      <c r="Q27"/>
      <c r="R27"/>
    </row>
    <row r="28" spans="1:28" ht="12.75" customHeight="1" x14ac:dyDescent="0.25">
      <c r="N28" s="10">
        <f t="shared" si="2"/>
        <v>0</v>
      </c>
      <c r="O28"/>
      <c r="P28"/>
      <c r="Q28"/>
      <c r="R28"/>
    </row>
    <row r="29" spans="1:28" ht="12.75" customHeight="1" x14ac:dyDescent="0.25">
      <c r="B29" s="10" t="s">
        <v>162</v>
      </c>
      <c r="D29" s="14">
        <f>'Debt - Loan Amortisation Sch'!C14</f>
        <v>34.418435152545825</v>
      </c>
      <c r="E29" s="14">
        <f>'Debt - Loan Amortisation Sch'!D14</f>
        <v>38.548647370851327</v>
      </c>
      <c r="F29" s="14">
        <f>'Debt - Loan Amortisation Sch'!E14</f>
        <v>43.174485055353493</v>
      </c>
      <c r="G29" s="14">
        <f>'Debt - Loan Amortisation Sch'!F14</f>
        <v>48.355423261995909</v>
      </c>
      <c r="H29" s="14">
        <f>'Debt - Loan Amortisation Sch'!G14</f>
        <v>54.158074053435421</v>
      </c>
      <c r="I29" s="14">
        <f>'Debt - Loan Amortisation Sch'!H14</f>
        <v>60.65704293984767</v>
      </c>
      <c r="J29" s="14">
        <f>'Debt - Loan Amortisation Sch'!I14</f>
        <v>67.935888092629384</v>
      </c>
      <c r="K29" s="14">
        <f>'Debt - Loan Amortisation Sch'!J14</f>
        <v>76.088194663744915</v>
      </c>
      <c r="L29" s="14">
        <f>'Debt - Loan Amortisation Sch'!K14</f>
        <v>85.218778023394293</v>
      </c>
      <c r="M29" s="14">
        <f>'Debt - Loan Amortisation Sch'!L14</f>
        <v>95.44503138620162</v>
      </c>
      <c r="N29" s="14">
        <f t="shared" si="2"/>
        <v>603.99999999999989</v>
      </c>
      <c r="O29"/>
      <c r="P29"/>
      <c r="Q29"/>
      <c r="R29"/>
    </row>
    <row r="30" spans="1:28" ht="12.75" customHeight="1" x14ac:dyDescent="0.25">
      <c r="B30" s="10" t="s">
        <v>163</v>
      </c>
      <c r="D30" s="14">
        <f>'Debt - Loan Amortisation Sch'!C13</f>
        <v>72.48</v>
      </c>
      <c r="E30" s="14">
        <f>'Debt - Loan Amortisation Sch'!D13</f>
        <v>68.349787781694502</v>
      </c>
      <c r="F30" s="14">
        <f>'Debt - Loan Amortisation Sch'!E13</f>
        <v>63.723950097192336</v>
      </c>
      <c r="G30" s="14">
        <f>'Debt - Loan Amortisation Sch'!F13</f>
        <v>58.54301189054992</v>
      </c>
      <c r="H30" s="14">
        <f>'Debt - Loan Amortisation Sch'!G13</f>
        <v>52.740361099110409</v>
      </c>
      <c r="I30" s="14">
        <f>'Debt - Loan Amortisation Sch'!H13</f>
        <v>46.241392212698159</v>
      </c>
      <c r="J30" s="14">
        <f>'Debt - Loan Amortisation Sch'!I13</f>
        <v>38.962547059916446</v>
      </c>
      <c r="K30" s="14">
        <f>'Debt - Loan Amortisation Sch'!J13</f>
        <v>30.810240488800915</v>
      </c>
      <c r="L30" s="14">
        <f>'Debt - Loan Amortisation Sch'!K13</f>
        <v>21.679657129151529</v>
      </c>
      <c r="M30" s="14">
        <f>'Debt - Loan Amortisation Sch'!L13</f>
        <v>11.453403766344213</v>
      </c>
      <c r="N30" s="14">
        <f t="shared" si="2"/>
        <v>464.98435152545841</v>
      </c>
      <c r="O30"/>
      <c r="P30"/>
      <c r="Q30"/>
      <c r="R30"/>
    </row>
    <row r="31" spans="1:28" ht="12.75" customHeight="1" x14ac:dyDescent="0.25">
      <c r="B31" s="20" t="s">
        <v>164</v>
      </c>
      <c r="C31" s="20"/>
      <c r="D31" s="51">
        <f>D29+D30</f>
        <v>106.89843515254583</v>
      </c>
      <c r="E31" s="51">
        <f t="shared" ref="E31:M31" si="4">E29+E30</f>
        <v>106.89843515254583</v>
      </c>
      <c r="F31" s="51">
        <f t="shared" si="4"/>
        <v>106.89843515254583</v>
      </c>
      <c r="G31" s="51">
        <f t="shared" si="4"/>
        <v>106.89843515254583</v>
      </c>
      <c r="H31" s="51">
        <f t="shared" si="4"/>
        <v>106.89843515254583</v>
      </c>
      <c r="I31" s="51">
        <f t="shared" si="4"/>
        <v>106.89843515254583</v>
      </c>
      <c r="J31" s="51">
        <f t="shared" si="4"/>
        <v>106.89843515254583</v>
      </c>
      <c r="K31" s="51">
        <f t="shared" si="4"/>
        <v>106.89843515254583</v>
      </c>
      <c r="L31" s="51">
        <f t="shared" si="4"/>
        <v>106.89843515254583</v>
      </c>
      <c r="M31" s="51">
        <f t="shared" si="4"/>
        <v>106.89843515254583</v>
      </c>
      <c r="N31" s="51">
        <f t="shared" si="2"/>
        <v>1068.9843515254584</v>
      </c>
      <c r="O31"/>
      <c r="P31"/>
      <c r="Q31"/>
      <c r="R31"/>
    </row>
    <row r="32" spans="1:28" ht="12.75" customHeight="1" x14ac:dyDescent="0.25">
      <c r="O32"/>
      <c r="P32"/>
      <c r="Q32"/>
      <c r="R32"/>
    </row>
    <row r="33" spans="2:18" ht="12.75" customHeight="1" x14ac:dyDescent="0.25">
      <c r="B33" s="20" t="s">
        <v>165</v>
      </c>
      <c r="C33" s="21"/>
      <c r="D33" s="40">
        <f>D27/D31</f>
        <v>1.2703647140036352</v>
      </c>
      <c r="E33" s="40">
        <f t="shared" ref="E33:M33" si="5">E27/E31</f>
        <v>1.2598687699011899</v>
      </c>
      <c r="F33" s="40">
        <f t="shared" si="5"/>
        <v>1.2492716830646662</v>
      </c>
      <c r="G33" s="40">
        <f t="shared" si="5"/>
        <v>1.2385695642696863</v>
      </c>
      <c r="H33" s="40">
        <f t="shared" si="5"/>
        <v>1.2277584110349098</v>
      </c>
      <c r="I33" s="40">
        <f t="shared" si="5"/>
        <v>1.2168341042106463</v>
      </c>
      <c r="J33" s="40">
        <f t="shared" si="5"/>
        <v>1.2057924044651813</v>
      </c>
      <c r="K33" s="40">
        <f t="shared" si="5"/>
        <v>1.1946289486657442</v>
      </c>
      <c r="L33" s="40">
        <f t="shared" si="5"/>
        <v>1.1833392461509633</v>
      </c>
      <c r="M33" s="40">
        <f t="shared" si="5"/>
        <v>1.171918674891542</v>
      </c>
      <c r="N33" s="51">
        <f t="shared" ref="N33" si="6">N27/N31</f>
        <v>1.2218346520658163</v>
      </c>
      <c r="O33"/>
      <c r="P33"/>
      <c r="Q33"/>
      <c r="R33"/>
    </row>
    <row r="34" spans="2:18" ht="12.75" customHeight="1" x14ac:dyDescent="0.25">
      <c r="B34" s="20" t="s">
        <v>166</v>
      </c>
      <c r="C34" s="21"/>
      <c r="D34" s="40">
        <f>(D24+D25)/D29</f>
        <v>1.8397117625876847</v>
      </c>
      <c r="E34" s="40">
        <f t="shared" ref="E34:M34" si="7">(E24+E25)/E29</f>
        <v>1.7206365655377003</v>
      </c>
      <c r="F34" s="40">
        <f t="shared" si="7"/>
        <v>1.617187508161144</v>
      </c>
      <c r="G34" s="40">
        <f t="shared" si="7"/>
        <v>1.5274013001039652</v>
      </c>
      <c r="H34" s="40">
        <f t="shared" si="7"/>
        <v>1.4495547184421669</v>
      </c>
      <c r="I34" s="40">
        <f t="shared" si="7"/>
        <v>1.3821357801897545</v>
      </c>
      <c r="J34" s="40">
        <f t="shared" si="7"/>
        <v>1.3238183325669135</v>
      </c>
      <c r="K34" s="40">
        <f t="shared" si="7"/>
        <v>1.2734396595910669</v>
      </c>
      <c r="L34" s="40">
        <f t="shared" si="7"/>
        <v>1.2299807503717683</v>
      </c>
      <c r="M34" s="40">
        <f t="shared" si="7"/>
        <v>1.1925489158785272</v>
      </c>
      <c r="N34" s="51">
        <f t="shared" ref="N34" si="8">(N24+N25)/N29</f>
        <v>1.3926122047755836</v>
      </c>
      <c r="O34"/>
      <c r="P34"/>
      <c r="Q34"/>
      <c r="R34"/>
    </row>
    <row r="35" spans="2:18" ht="12.75" customHeight="1" x14ac:dyDescent="0.2"/>
  </sheetData>
  <mergeCells count="3">
    <mergeCell ref="D3:AB3"/>
    <mergeCell ref="D22:R22"/>
    <mergeCell ref="D1:F1"/>
  </mergeCells>
  <hyperlinks>
    <hyperlink ref="D1" location="Content!A1" display="Back to Content" xr:uid="{BE7925D7-0E0D-4FEE-8A85-4A850C778B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</vt:lpstr>
      <vt:lpstr>Project Assumptions</vt:lpstr>
      <vt:lpstr>Debt - Loan Amortisation Sch</vt:lpstr>
      <vt:lpstr>Cost - Expenses</vt:lpstr>
      <vt:lpstr>Depreciation</vt:lpstr>
      <vt:lpstr>P&amp;L Statement</vt:lpstr>
      <vt:lpstr>Balance Sheet</vt:lpstr>
      <vt:lpstr>Cash Flow Statement</vt:lpstr>
      <vt:lpstr>NPV, IRR, DSCR, 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Mamali</dc:creator>
  <cp:lastModifiedBy>Mamali</cp:lastModifiedBy>
  <dcterms:created xsi:type="dcterms:W3CDTF">2020-01-30T18:24:44Z</dcterms:created>
  <dcterms:modified xsi:type="dcterms:W3CDTF">2020-02-03T22:02:13Z</dcterms:modified>
</cp:coreProperties>
</file>