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320" windowHeight="7680" tabRatio="722" activeTab="10"/>
  </bookViews>
  <sheets>
    <sheet name="Summary Chart" sheetId="10" r:id="rId1"/>
    <sheet name="Accel" sheetId="2" r:id="rId2"/>
    <sheet name="VIBRATOR" sheetId="4" r:id="rId3"/>
    <sheet name="LED" sheetId="5" r:id="rId4"/>
    <sheet name="LED Microcontroller" sheetId="7" r:id="rId5"/>
    <sheet name="Proximity" sheetId="8" r:id="rId6"/>
    <sheet name="Fuel" sheetId="9" r:id="rId7"/>
    <sheet name="Nor Flash" sheetId="3" r:id="rId8"/>
    <sheet name="Nordic" sheetId="11" r:id="rId9"/>
    <sheet name="GPIO_LIST" sheetId="12" r:id="rId10"/>
    <sheet name="Nordic_new" sheetId="13" r:id="rId11"/>
  </sheets>
  <calcPr calcId="144525" concurrentCalc="0"/>
</workbook>
</file>

<file path=xl/calcChain.xml><?xml version="1.0" encoding="utf-8"?>
<calcChain xmlns="http://schemas.openxmlformats.org/spreadsheetml/2006/main">
  <c r="E29" i="13" l="1"/>
  <c r="G38" i="10"/>
  <c r="G37" i="10"/>
  <c r="H37" i="10"/>
  <c r="I37" i="10"/>
  <c r="J61" i="13"/>
  <c r="J59" i="13"/>
  <c r="J57" i="13"/>
  <c r="J54" i="13"/>
  <c r="H54" i="13"/>
  <c r="J51" i="13"/>
  <c r="J48" i="13"/>
  <c r="J46" i="13"/>
  <c r="J44" i="13"/>
  <c r="H44" i="13"/>
  <c r="H22" i="13"/>
  <c r="J22" i="13"/>
  <c r="J19" i="13"/>
  <c r="J16" i="13"/>
  <c r="J40" i="13"/>
  <c r="E40" i="13"/>
  <c r="J37" i="13"/>
  <c r="E37" i="13"/>
  <c r="J29" i="13"/>
  <c r="F13" i="13"/>
  <c r="H13" i="13"/>
  <c r="J13" i="13"/>
  <c r="F10" i="13"/>
  <c r="H10" i="13"/>
  <c r="J10" i="13"/>
  <c r="F7" i="13"/>
  <c r="H7" i="13"/>
  <c r="J7" i="13"/>
  <c r="F4" i="13"/>
  <c r="G4" i="13"/>
  <c r="H4" i="13"/>
  <c r="J4" i="13"/>
  <c r="D16" i="11"/>
  <c r="B11" i="3"/>
  <c r="F6" i="11"/>
  <c r="D8" i="11"/>
  <c r="D4" i="11"/>
  <c r="I4" i="11"/>
  <c r="I6" i="11"/>
  <c r="D5" i="11"/>
  <c r="G30" i="11"/>
  <c r="D30" i="11"/>
  <c r="D32" i="11"/>
  <c r="D9" i="10"/>
  <c r="F9" i="10"/>
  <c r="G9" i="10"/>
  <c r="E10" i="10"/>
  <c r="F10" i="10"/>
  <c r="G10" i="10"/>
  <c r="H9" i="10"/>
  <c r="I9" i="10"/>
  <c r="B17" i="2"/>
  <c r="B15" i="2"/>
  <c r="B13" i="2"/>
  <c r="B12" i="2"/>
  <c r="B7" i="2"/>
  <c r="B6" i="2"/>
  <c r="I5" i="11"/>
  <c r="D14" i="11"/>
  <c r="I14" i="11"/>
  <c r="I16" i="11"/>
  <c r="I30" i="11"/>
  <c r="I18" i="11"/>
  <c r="I20" i="11"/>
  <c r="I22" i="11"/>
  <c r="I24" i="11"/>
  <c r="I28" i="11"/>
  <c r="I32" i="11"/>
  <c r="I34" i="11"/>
  <c r="I36" i="11"/>
  <c r="I46" i="11"/>
  <c r="I47" i="11"/>
  <c r="I49" i="11"/>
  <c r="I50" i="11"/>
  <c r="D36" i="11"/>
  <c r="G11" i="3"/>
  <c r="C5" i="5"/>
  <c r="E18" i="11"/>
  <c r="F35" i="10"/>
  <c r="F34" i="10"/>
  <c r="F31" i="10"/>
  <c r="F30" i="10"/>
  <c r="D30" i="10"/>
  <c r="F27" i="10"/>
  <c r="F26" i="10"/>
  <c r="D26" i="10"/>
  <c r="F23" i="10"/>
  <c r="F22" i="10"/>
  <c r="D22" i="10"/>
  <c r="F19" i="10"/>
  <c r="F18" i="10"/>
  <c r="D18" i="10"/>
  <c r="E35" i="10"/>
  <c r="E31" i="10"/>
  <c r="E27" i="10"/>
  <c r="E23" i="10"/>
  <c r="E19" i="10"/>
  <c r="D14" i="10"/>
  <c r="E15" i="10"/>
  <c r="F15" i="10"/>
  <c r="F14" i="10"/>
  <c r="G14" i="10"/>
  <c r="G15" i="10"/>
  <c r="H14" i="10"/>
  <c r="I14" i="10"/>
  <c r="G34" i="10"/>
  <c r="G35" i="10"/>
  <c r="H34" i="10"/>
  <c r="I34" i="10"/>
  <c r="G30" i="10"/>
  <c r="G31" i="10"/>
  <c r="H30" i="10"/>
  <c r="I30" i="10"/>
  <c r="G19" i="10"/>
  <c r="G18" i="10"/>
  <c r="H18" i="10"/>
  <c r="I18" i="10"/>
  <c r="G23" i="10"/>
  <c r="G22" i="10"/>
  <c r="H22" i="10"/>
  <c r="I22" i="10"/>
  <c r="G27" i="10"/>
  <c r="G26" i="10"/>
  <c r="H26" i="10"/>
  <c r="I26" i="10"/>
  <c r="I43" i="10"/>
  <c r="I45" i="10"/>
  <c r="I46" i="10"/>
  <c r="C48" i="11"/>
  <c r="B8" i="3"/>
  <c r="G8" i="3"/>
  <c r="B16" i="3"/>
  <c r="G14" i="3"/>
  <c r="G3" i="3"/>
  <c r="G5" i="3"/>
  <c r="B18" i="3"/>
  <c r="B14" i="3"/>
  <c r="B20" i="3"/>
  <c r="C15" i="9"/>
  <c r="C10" i="9"/>
  <c r="C17" i="9"/>
  <c r="C12" i="9"/>
  <c r="C18" i="8"/>
  <c r="C16" i="8"/>
  <c r="C13" i="8"/>
  <c r="C11" i="8"/>
  <c r="C16" i="7"/>
  <c r="C14" i="7"/>
  <c r="C11" i="7"/>
  <c r="C8" i="7"/>
  <c r="C9" i="5"/>
  <c r="C7" i="4"/>
  <c r="C10" i="4"/>
  <c r="C13" i="4"/>
  <c r="C16" i="4"/>
  <c r="C11" i="5"/>
  <c r="C7" i="5"/>
  <c r="C13" i="5"/>
  <c r="B3" i="3"/>
</calcChain>
</file>

<file path=xl/sharedStrings.xml><?xml version="1.0" encoding="utf-8"?>
<sst xmlns="http://schemas.openxmlformats.org/spreadsheetml/2006/main" count="402" uniqueCount="253">
  <si>
    <t>Update Time -Tut</t>
  </si>
  <si>
    <t>Accel</t>
  </si>
  <si>
    <t>Units</t>
  </si>
  <si>
    <t>Freq Hz</t>
  </si>
  <si>
    <t>Tut</t>
  </si>
  <si>
    <t>ms</t>
  </si>
  <si>
    <t>Tsleep</t>
  </si>
  <si>
    <t>Twup1</t>
  </si>
  <si>
    <t>Twup2</t>
  </si>
  <si>
    <t>Hz</t>
  </si>
  <si>
    <t>Tactive1 @ 64ms Tut</t>
  </si>
  <si>
    <t>Tactive2 @ 64ms Tut</t>
  </si>
  <si>
    <t>Tactive1 @ 32ms Tut</t>
  </si>
  <si>
    <t>Tactive2 @ 32ms Tut</t>
  </si>
  <si>
    <t>Tactive1 @ 16ms Tut</t>
  </si>
  <si>
    <t>Tactive2 @ 16ms Tut</t>
  </si>
  <si>
    <t>IDD</t>
  </si>
  <si>
    <t>uA</t>
  </si>
  <si>
    <t>Normal</t>
  </si>
  <si>
    <t>Sleep Time</t>
  </si>
  <si>
    <t>IDDsum</t>
  </si>
  <si>
    <t>Suspend</t>
  </si>
  <si>
    <t>IDDdsum</t>
  </si>
  <si>
    <t>Deep Suspend</t>
  </si>
  <si>
    <t>IDDLP1</t>
  </si>
  <si>
    <t>Low power 1</t>
  </si>
  <si>
    <t>IDDLP2</t>
  </si>
  <si>
    <t>Low power 2</t>
  </si>
  <si>
    <t>IDDsbm</t>
  </si>
  <si>
    <t xml:space="preserve">Standby </t>
  </si>
  <si>
    <t>Power Cosumption</t>
  </si>
  <si>
    <t>IDDlp1 @64ms Tut</t>
  </si>
  <si>
    <t>ma</t>
  </si>
  <si>
    <t>IDDlp2 @64ms Tut</t>
  </si>
  <si>
    <t>IDDlp1 @32ms Tut</t>
  </si>
  <si>
    <t>IDDlp2 @32ms Tut</t>
  </si>
  <si>
    <t>S</t>
  </si>
  <si>
    <t>IDDlp1 @16ms Tut</t>
  </si>
  <si>
    <t>IDDlp2 @16ms Tut</t>
  </si>
  <si>
    <t>Tactive</t>
  </si>
  <si>
    <t>tactive = 4 tut + tw,up1 - 0.9 ms (or tactive = 4 tut + tw,up2- 0.9 ms</t>
  </si>
  <si>
    <t>IDDlp1</t>
  </si>
  <si>
    <t>(Tsleep*IDDsum+Tactive*IDD)/(Tsleep+Tactive)</t>
  </si>
  <si>
    <t>IDDlp2</t>
  </si>
  <si>
    <t>(Tsleep*IDDsbm+Tactive*IDD)/(Tsleep+Tactive)</t>
  </si>
  <si>
    <t>Bytes Per Second</t>
  </si>
  <si>
    <t>Byter per day</t>
  </si>
  <si>
    <t>4KB Block per day</t>
  </si>
  <si>
    <t>Write time for 256 Bytes</t>
  </si>
  <si>
    <t>Write time for 168.75, 4 K Block</t>
  </si>
  <si>
    <t xml:space="preserve">Write Curent </t>
  </si>
  <si>
    <t>mA</t>
  </si>
  <si>
    <t>Current required to write per day</t>
  </si>
  <si>
    <t>mAsec/day</t>
  </si>
  <si>
    <t>SEC</t>
  </si>
  <si>
    <t>SLEEP TIME</t>
  </si>
  <si>
    <t>SLEEP CURRENT</t>
  </si>
  <si>
    <t>mAsec</t>
  </si>
  <si>
    <t>ON TIME</t>
  </si>
  <si>
    <t>ON CURRENT</t>
  </si>
  <si>
    <t>masec</t>
  </si>
  <si>
    <t>sec</t>
  </si>
  <si>
    <t>Voltage range</t>
  </si>
  <si>
    <t>2.95v-5.5v</t>
  </si>
  <si>
    <t>Item</t>
  </si>
  <si>
    <t>Part</t>
  </si>
  <si>
    <t>Frequency(Hz)</t>
  </si>
  <si>
    <t>Current Consumption(mA)</t>
  </si>
  <si>
    <t>Bosch</t>
  </si>
  <si>
    <t>In mAh/Day</t>
  </si>
  <si>
    <t>Consumption/Day(mAsec)</t>
  </si>
  <si>
    <t>Total/Day(mAsec)</t>
  </si>
  <si>
    <t>IQS128L</t>
  </si>
  <si>
    <t>AS3668</t>
  </si>
  <si>
    <t>On Duration(sec/Day)</t>
  </si>
  <si>
    <t>Sleep Duration(sec/Day)</t>
  </si>
  <si>
    <t>2 LEDs</t>
  </si>
  <si>
    <t>SLEEP Time Consumption/DAY</t>
  </si>
  <si>
    <t>ON Consumption/DAY</t>
  </si>
  <si>
    <t>mAsec/ day</t>
  </si>
  <si>
    <t>TOTAL Consumption/DAY</t>
  </si>
  <si>
    <t>ON  Consumption /DAY</t>
  </si>
  <si>
    <t>ON Consumption/day</t>
  </si>
  <si>
    <t>Stand-by Consumption/day</t>
  </si>
  <si>
    <t>ON Time Current</t>
  </si>
  <si>
    <t>Stand-by Current</t>
  </si>
  <si>
    <t>ON-Time</t>
  </si>
  <si>
    <t>Total Consumption/day</t>
  </si>
  <si>
    <t>2.7-5.5V</t>
  </si>
  <si>
    <t>Voltage Range</t>
  </si>
  <si>
    <t>Stand-by Time</t>
  </si>
  <si>
    <t>Sec</t>
  </si>
  <si>
    <t>Stand-by Consumption per day</t>
  </si>
  <si>
    <t xml:space="preserve">Total Consumption per day </t>
  </si>
  <si>
    <t>A FET need to use for ON and OFF</t>
  </si>
  <si>
    <t>Assumption</t>
  </si>
  <si>
    <t xml:space="preserve">30 Sec Utilised per day </t>
  </si>
  <si>
    <t xml:space="preserve">10 Sec Utilised per day </t>
  </si>
  <si>
    <t>Vibrator Active</t>
  </si>
  <si>
    <t>Accel Active</t>
  </si>
  <si>
    <t>Led Active</t>
  </si>
  <si>
    <t>Led Stand-By</t>
  </si>
  <si>
    <t>Vibrator Stand-By</t>
  </si>
  <si>
    <t>Microcontroller Stand-By</t>
  </si>
  <si>
    <t>Proximity Stand-by</t>
  </si>
  <si>
    <t>Fuel Gauge Active</t>
  </si>
  <si>
    <t>Fuel Gauge Stand-by</t>
  </si>
  <si>
    <t>Proximity Active</t>
  </si>
  <si>
    <t>Microcontroller Active</t>
  </si>
  <si>
    <t>Read time for 256 Bytes</t>
  </si>
  <si>
    <t>Read time for 4K</t>
  </si>
  <si>
    <t>Read time for 168.75, 4 K Block</t>
  </si>
  <si>
    <t xml:space="preserve">Read Curent </t>
  </si>
  <si>
    <t>Current required to Read per day</t>
  </si>
  <si>
    <t>Nor Flash Read and Write</t>
  </si>
  <si>
    <t>NOR Flash Stand-by</t>
  </si>
  <si>
    <t>Nordic</t>
  </si>
  <si>
    <t>Write time for 4KB</t>
  </si>
  <si>
    <t>Bytes per day</t>
  </si>
  <si>
    <t>Current in SYSTEM-OFF mode 16 kB SRAM retention 0.8</t>
  </si>
  <si>
    <t>OFF to CPU execute transition current 400</t>
  </si>
  <si>
    <t>SYSTEM-ON base current 2.3</t>
  </si>
  <si>
    <t>Current drawn by DC/DC converter 300</t>
  </si>
  <si>
    <t>Radio Current = 16 mA</t>
  </si>
  <si>
    <t>TX startup current 7 mA</t>
  </si>
  <si>
    <t>RX only run current @ 1 Mbps = 13 mA</t>
  </si>
  <si>
    <t>Current consumption in addition to IRX = 250</t>
  </si>
  <si>
    <t xml:space="preserve">Run current @ 115200 bps 220 </t>
  </si>
  <si>
    <t>SPI 200</t>
  </si>
  <si>
    <t>TWI 400</t>
  </si>
  <si>
    <t>GPIO 0.5</t>
  </si>
  <si>
    <t xml:space="preserve"> </t>
  </si>
  <si>
    <t>Timer 178</t>
  </si>
  <si>
    <t>RTC 0.2</t>
  </si>
  <si>
    <t>Temp 185</t>
  </si>
  <si>
    <t>RNG  300</t>
  </si>
  <si>
    <t>Crypto 400</t>
  </si>
  <si>
    <t>WATCH Dog 1</t>
  </si>
  <si>
    <t>Quadrature Decoder 250</t>
  </si>
  <si>
    <t>Total mAh/day</t>
  </si>
  <si>
    <t xml:space="preserve">Battery Capacity </t>
  </si>
  <si>
    <t>mAh</t>
  </si>
  <si>
    <t>No of Days</t>
  </si>
  <si>
    <t>Days</t>
  </si>
  <si>
    <t>No of Hours</t>
  </si>
  <si>
    <t>Hrs</t>
  </si>
  <si>
    <t>N25Q512A</t>
  </si>
  <si>
    <t>TBD</t>
  </si>
  <si>
    <t>Current (uA)</t>
  </si>
  <si>
    <t>Total ON Current</t>
  </si>
  <si>
    <t xml:space="preserve">nRF51822 </t>
  </si>
  <si>
    <t>STC3115</t>
  </si>
  <si>
    <t xml:space="preserve">Part Number </t>
  </si>
  <si>
    <t>2.7v-4.5v</t>
  </si>
  <si>
    <t xml:space="preserve">Utilisation Sec per day </t>
  </si>
  <si>
    <t xml:space="preserve">Fuel </t>
  </si>
  <si>
    <t>LED</t>
  </si>
  <si>
    <t>NOR</t>
  </si>
  <si>
    <t>SMLP36RGB2W3</t>
  </si>
  <si>
    <t>Write Start-up time</t>
  </si>
  <si>
    <t>us</t>
  </si>
  <si>
    <t>Total time</t>
  </si>
  <si>
    <t>Not needed, when usb is connected it'll take power from pc.</t>
  </si>
  <si>
    <t>as data transfer by bluetooth(12s+12s)</t>
  </si>
  <si>
    <t>(In summary chart we are not taking time because of different timings)</t>
  </si>
  <si>
    <t>mAh/day</t>
  </si>
  <si>
    <t xml:space="preserve">         Battery Life Estimation</t>
  </si>
  <si>
    <t>Nordic Stand-by</t>
  </si>
  <si>
    <t>On consumption</t>
  </si>
  <si>
    <t>Total=</t>
  </si>
  <si>
    <t>ACCL</t>
  </si>
  <si>
    <t>Sampling time</t>
  </si>
  <si>
    <t>msec</t>
  </si>
  <si>
    <t>Deep suspend mode time/day</t>
  </si>
  <si>
    <t>Deep suspend mode time</t>
  </si>
  <si>
    <t>SL NO</t>
  </si>
  <si>
    <t>IC</t>
  </si>
  <si>
    <t>FUNCTIONALITY</t>
  </si>
  <si>
    <t>NOR FLASH</t>
  </si>
  <si>
    <t>PINS</t>
  </si>
  <si>
    <t>WP#</t>
  </si>
  <si>
    <t>HOLD#</t>
  </si>
  <si>
    <t>SWITCH FOR MEMORY</t>
  </si>
  <si>
    <t>NORDIC I/O TYPE</t>
  </si>
  <si>
    <t>OUT</t>
  </si>
  <si>
    <t>POWER_EN</t>
  </si>
  <si>
    <t>VIBRATOR</t>
  </si>
  <si>
    <t>VIB_EN</t>
  </si>
  <si>
    <t>Write Protect</t>
  </si>
  <si>
    <t>Hold</t>
  </si>
  <si>
    <t>Switch ON the Power</t>
  </si>
  <si>
    <t>To Enable Vibrator</t>
  </si>
  <si>
    <t>Low Power mode time</t>
  </si>
  <si>
    <t>Low Power mode time/day</t>
  </si>
  <si>
    <t>Low Power mode Current</t>
  </si>
  <si>
    <t>Deep suspend mode Current</t>
  </si>
  <si>
    <t>Power Consumption in Deep Suspend</t>
  </si>
  <si>
    <t>Power Consumption in Low power mode</t>
  </si>
  <si>
    <t xml:space="preserve">Total power consumption/day </t>
  </si>
  <si>
    <t>CPU Active current (Includes CPU, RAM, 1V2, RC16M)</t>
  </si>
  <si>
    <t>assuming user is accessing the smart phone, corresponding data rx is for 1 sec.</t>
  </si>
  <si>
    <t>4 GPIO are used as per the GPIO_LIST subsheet.</t>
  </si>
  <si>
    <t>assumed 1sec/day</t>
  </si>
  <si>
    <t>Assuming 3sec once Nordic reading the ACCEL FIFO</t>
  </si>
  <si>
    <t>Off consumption/day</t>
  </si>
  <si>
    <t>Consumption(mAsec/day)</t>
  </si>
  <si>
    <t>Comments</t>
  </si>
  <si>
    <t>Assuming 100 times sleep to wake per day</t>
  </si>
  <si>
    <t>Total power consumption in mAh/day</t>
  </si>
  <si>
    <t>Calculations for reference. Not required at this point of time</t>
  </si>
  <si>
    <t>adding 150uS on Each 4 K block Write for 168.75 times</t>
  </si>
  <si>
    <t>Rounding from 168.5 to 172. for each 4KB block</t>
  </si>
  <si>
    <t>Using a FET to reduce the sleep current</t>
  </si>
  <si>
    <t>Accelerometer</t>
  </si>
  <si>
    <t>On time(sec)</t>
  </si>
  <si>
    <t>Time to send data(sec)</t>
  </si>
  <si>
    <t>Sec/day</t>
  </si>
  <si>
    <t>Current(uA)</t>
  </si>
  <si>
    <t>Peripheral</t>
  </si>
  <si>
    <t>I2C</t>
  </si>
  <si>
    <t>Current Consumption(uAsec/day)</t>
  </si>
  <si>
    <t>Fuel Gauge</t>
  </si>
  <si>
    <t>Data Send(bit/sec)</t>
  </si>
  <si>
    <t>Speed(kbps)</t>
  </si>
  <si>
    <t>Proximity</t>
  </si>
  <si>
    <t>LED CONTROLLER</t>
  </si>
  <si>
    <t>RADIO</t>
  </si>
  <si>
    <t>Transmit</t>
  </si>
  <si>
    <t>Speed=250kbps</t>
  </si>
  <si>
    <t>Data=64bits/sec</t>
  </si>
  <si>
    <t>460800bits/2hrs</t>
  </si>
  <si>
    <t>In 24 hrs</t>
  </si>
  <si>
    <t>24sec/day</t>
  </si>
  <si>
    <t>Receive</t>
  </si>
  <si>
    <t>Data=50kb/day</t>
  </si>
  <si>
    <t>Start-up</t>
  </si>
  <si>
    <t>130usec on in 2 hrs</t>
  </si>
  <si>
    <t>Time taken= 1sec</t>
  </si>
  <si>
    <t>Time taken= 2sec</t>
  </si>
  <si>
    <t>Memory</t>
  </si>
  <si>
    <t>SPI</t>
  </si>
  <si>
    <t>Timer</t>
  </si>
  <si>
    <t>GPIO(4)</t>
  </si>
  <si>
    <t>RTC</t>
  </si>
  <si>
    <t>32KHz Clock</t>
  </si>
  <si>
    <t>CPU ON</t>
  </si>
  <si>
    <t>CPU OFF</t>
  </si>
  <si>
    <t>In mAsec/day</t>
  </si>
  <si>
    <t>Total On Cosumption</t>
  </si>
  <si>
    <t>Total Cosumption</t>
  </si>
  <si>
    <t>In mAh/day</t>
  </si>
  <si>
    <t>Time to send(sec)=</t>
  </si>
  <si>
    <t>Total on(sec)=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</si>
</sst>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2" fillId="0" borderId="0" xfId="0" applyFont="1"/>
    <xf numFmtId="0" fontId="3" fillId="4" borderId="0" xfId="0" applyFont="1" applyFill="1"/>
    <xf numFmtId="0" fontId="2" fillId="4" borderId="0" xfId="0" applyFont="1" applyFill="1"/>
    <xf numFmtId="0" fontId="4" fillId="3" borderId="0" xfId="0" applyFont="1" applyFill="1"/>
    <xf numFmtId="0" fontId="2" fillId="3" borderId="0" xfId="0" applyFont="1" applyFill="1"/>
    <xf numFmtId="0" fontId="2" fillId="2" borderId="0" xfId="0" applyFont="1" applyFill="1"/>
    <xf numFmtId="0" fontId="2" fillId="2" borderId="0" xfId="1" applyFont="1" applyFill="1"/>
    <xf numFmtId="0" fontId="2" fillId="2" borderId="0" xfId="1" applyFont="1" applyFill="1" applyAlignment="1">
      <alignment horizontal="center"/>
    </xf>
    <xf numFmtId="0" fontId="2" fillId="5" borderId="0" xfId="0" applyFont="1" applyFill="1"/>
    <xf numFmtId="0" fontId="5" fillId="0" borderId="0" xfId="0" applyFont="1"/>
    <xf numFmtId="0" fontId="3" fillId="0" borderId="0" xfId="0" applyFont="1" applyFill="1"/>
    <xf numFmtId="0" fontId="6" fillId="0" borderId="0" xfId="0" applyFont="1"/>
    <xf numFmtId="0" fontId="2" fillId="2" borderId="0" xfId="1" applyFont="1" applyFill="1" applyAlignment="1">
      <alignment horizontal="right"/>
    </xf>
    <xf numFmtId="0" fontId="0" fillId="6" borderId="0" xfId="0" applyFill="1"/>
    <xf numFmtId="0" fontId="0" fillId="7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6"/>
  <sheetViews>
    <sheetView topLeftCell="B16" zoomScale="70" zoomScaleNormal="70" workbookViewId="0">
      <selection activeCell="I37" sqref="I37"/>
    </sheetView>
  </sheetViews>
  <sheetFormatPr defaultRowHeight="15" x14ac:dyDescent="0.25"/>
  <cols>
    <col min="1" max="1" width="30.7109375" style="3" bestFit="1" customWidth="1"/>
    <col min="2" max="2" width="26.85546875" style="3" customWidth="1"/>
    <col min="3" max="3" width="18.5703125" style="3" bestFit="1" customWidth="1"/>
    <col min="4" max="4" width="33.140625" style="3" customWidth="1"/>
    <col min="5" max="5" width="29" style="3" customWidth="1"/>
    <col min="6" max="6" width="44.7109375" style="3" customWidth="1"/>
    <col min="7" max="7" width="36" style="3" customWidth="1"/>
    <col min="8" max="8" width="31.28515625" style="3" customWidth="1"/>
    <col min="9" max="9" width="14.140625" style="3" customWidth="1"/>
    <col min="10" max="16384" width="9.140625" style="3"/>
  </cols>
  <sheetData>
    <row r="3" spans="1:9" ht="28.5" x14ac:dyDescent="0.45">
      <c r="D3" s="4" t="s">
        <v>166</v>
      </c>
      <c r="E3" s="5"/>
      <c r="F3" s="13"/>
    </row>
    <row r="6" spans="1:9" ht="15.75" x14ac:dyDescent="0.25">
      <c r="A6" s="6" t="s">
        <v>64</v>
      </c>
      <c r="B6" s="7" t="s">
        <v>65</v>
      </c>
      <c r="C6" s="7" t="s">
        <v>66</v>
      </c>
      <c r="D6" s="7" t="s">
        <v>74</v>
      </c>
      <c r="E6" s="7" t="s">
        <v>75</v>
      </c>
      <c r="F6" s="7" t="s">
        <v>67</v>
      </c>
      <c r="G6" s="7" t="s">
        <v>70</v>
      </c>
      <c r="H6" s="7" t="s">
        <v>71</v>
      </c>
      <c r="I6" s="7" t="s">
        <v>69</v>
      </c>
    </row>
    <row r="7" spans="1:9" x14ac:dyDescent="0.25">
      <c r="A7" s="8"/>
      <c r="B7" s="8"/>
      <c r="C7" s="8"/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8"/>
      <c r="E8" s="8"/>
      <c r="F8" s="8"/>
      <c r="G8" s="8"/>
      <c r="H8" s="8"/>
      <c r="I8" s="8"/>
    </row>
    <row r="9" spans="1:9" x14ac:dyDescent="0.25">
      <c r="A9" s="8" t="s">
        <v>99</v>
      </c>
      <c r="B9" s="8" t="s">
        <v>68</v>
      </c>
      <c r="C9" s="9"/>
      <c r="D9" s="8">
        <f>Accel!B7</f>
        <v>43200</v>
      </c>
      <c r="E9" s="8"/>
      <c r="F9" s="15">
        <f>Accel!B10</f>
        <v>6.4999999999999997E-3</v>
      </c>
      <c r="G9" s="8">
        <f>(D9*F9)</f>
        <v>280.8</v>
      </c>
      <c r="H9" s="8">
        <f>(G9+G10)</f>
        <v>324</v>
      </c>
      <c r="I9" s="8">
        <f>(H9/3600)</f>
        <v>0.09</v>
      </c>
    </row>
    <row r="10" spans="1:9" x14ac:dyDescent="0.25">
      <c r="A10" s="8"/>
      <c r="B10" s="8"/>
      <c r="C10" s="9"/>
      <c r="D10" s="8"/>
      <c r="E10" s="8">
        <f>Accel!B6</f>
        <v>43200</v>
      </c>
      <c r="F10" s="15">
        <f>Accel!B9</f>
        <v>1E-3</v>
      </c>
      <c r="G10" s="8">
        <f>(E10*F10)</f>
        <v>43.2</v>
      </c>
      <c r="H10" s="8"/>
      <c r="I10" s="8"/>
    </row>
    <row r="11" spans="1:9" x14ac:dyDescent="0.25">
      <c r="A11" s="8"/>
      <c r="B11" s="8"/>
      <c r="C11" s="9"/>
      <c r="D11" s="8"/>
      <c r="E11" s="8"/>
      <c r="F11" s="10"/>
      <c r="G11" s="8"/>
      <c r="H11" s="8"/>
      <c r="I11" s="8"/>
    </row>
    <row r="12" spans="1:9" x14ac:dyDescent="0.25">
      <c r="A12" s="8"/>
      <c r="B12" s="8"/>
      <c r="C12" s="8"/>
      <c r="D12" s="8"/>
      <c r="E12" s="8"/>
      <c r="F12" s="8"/>
      <c r="G12" s="8"/>
      <c r="H12" s="8"/>
      <c r="I12" s="8"/>
    </row>
    <row r="13" spans="1:9" x14ac:dyDescent="0.25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25">
      <c r="A14" s="8" t="s">
        <v>98</v>
      </c>
      <c r="B14" s="8" t="s">
        <v>147</v>
      </c>
      <c r="C14" s="8"/>
      <c r="D14" s="8">
        <f>VIBRATOR!C4</f>
        <v>10</v>
      </c>
      <c r="E14" s="8"/>
      <c r="F14" s="8">
        <f>VIBRATOR!C5</f>
        <v>50</v>
      </c>
      <c r="G14" s="8">
        <f>D14*F14</f>
        <v>500</v>
      </c>
      <c r="H14" s="8">
        <f>SUM(G14:G15)</f>
        <v>586.39</v>
      </c>
      <c r="I14" s="8">
        <f>H14/3600</f>
        <v>0.16288611111111112</v>
      </c>
    </row>
    <row r="15" spans="1:9" x14ac:dyDescent="0.25">
      <c r="A15" s="8" t="s">
        <v>102</v>
      </c>
      <c r="B15" s="8"/>
      <c r="C15" s="8"/>
      <c r="D15" s="8"/>
      <c r="E15" s="8">
        <f>(24*3600)-D14</f>
        <v>86390</v>
      </c>
      <c r="F15" s="8">
        <f>VIBRATOR!C11</f>
        <v>1E-3</v>
      </c>
      <c r="G15" s="8">
        <f>E15*F15</f>
        <v>86.39</v>
      </c>
      <c r="H15" s="8"/>
      <c r="I15" s="8"/>
    </row>
    <row r="16" spans="1:9" x14ac:dyDescent="0.25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8" t="s">
        <v>100</v>
      </c>
      <c r="B18" s="8" t="s">
        <v>158</v>
      </c>
      <c r="C18" s="8"/>
      <c r="D18" s="8">
        <f>LED!C4</f>
        <v>30</v>
      </c>
      <c r="E18" s="8"/>
      <c r="F18" s="8">
        <f>LED!C5</f>
        <v>20</v>
      </c>
      <c r="G18" s="8">
        <f>D18*F18</f>
        <v>600</v>
      </c>
      <c r="H18" s="8">
        <f>SUM(G18:G19)</f>
        <v>1463.7</v>
      </c>
      <c r="I18" s="8">
        <f>H18/3600</f>
        <v>0.40658333333333335</v>
      </c>
    </row>
    <row r="19" spans="1:9" x14ac:dyDescent="0.25">
      <c r="A19" s="8" t="s">
        <v>101</v>
      </c>
      <c r="B19" s="8"/>
      <c r="C19" s="8"/>
      <c r="D19" s="8"/>
      <c r="E19" s="8">
        <f>(24*3600)-D18</f>
        <v>86370</v>
      </c>
      <c r="F19" s="8">
        <f>LED!C10</f>
        <v>0.01</v>
      </c>
      <c r="G19" s="8">
        <f>E19*F19</f>
        <v>863.7</v>
      </c>
      <c r="H19" s="8"/>
      <c r="I19" s="8"/>
    </row>
    <row r="20" spans="1:9" x14ac:dyDescent="0.25">
      <c r="A20" s="8"/>
      <c r="B20" s="8"/>
      <c r="C20" s="8"/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8"/>
      <c r="H21" s="8"/>
      <c r="I21" s="8"/>
    </row>
    <row r="22" spans="1:9" x14ac:dyDescent="0.25">
      <c r="A22" s="8" t="s">
        <v>108</v>
      </c>
      <c r="B22" s="8" t="s">
        <v>73</v>
      </c>
      <c r="C22" s="8"/>
      <c r="D22" s="8">
        <f>'LED Microcontroller'!C5</f>
        <v>30</v>
      </c>
      <c r="E22" s="8"/>
      <c r="F22" s="8">
        <f>'LED Microcontroller'!C6</f>
        <v>2.5</v>
      </c>
      <c r="G22" s="8">
        <f>D22*F22</f>
        <v>75</v>
      </c>
      <c r="H22" s="8">
        <f>SUM(G22:G23)</f>
        <v>334.11</v>
      </c>
      <c r="I22" s="8">
        <f>H22/3600</f>
        <v>9.280833333333334E-2</v>
      </c>
    </row>
    <row r="23" spans="1:9" x14ac:dyDescent="0.25">
      <c r="A23" s="8" t="s">
        <v>103</v>
      </c>
      <c r="B23" s="8"/>
      <c r="C23" s="8"/>
      <c r="D23" s="8"/>
      <c r="E23" s="8">
        <f>(24*3600)-D22</f>
        <v>86370</v>
      </c>
      <c r="F23" s="8">
        <f>'LED Microcontroller'!C12</f>
        <v>3.0000000000000001E-3</v>
      </c>
      <c r="G23" s="8">
        <f>E23*F23</f>
        <v>259.11</v>
      </c>
      <c r="H23" s="8"/>
      <c r="I23" s="8"/>
    </row>
    <row r="24" spans="1:9" x14ac:dyDescent="0.25">
      <c r="A24" s="8"/>
      <c r="B24" s="8"/>
      <c r="C24" s="8"/>
      <c r="D24" s="8"/>
      <c r="E24" s="8"/>
      <c r="F24" s="8"/>
      <c r="G24" s="8"/>
      <c r="H24" s="8"/>
      <c r="I24" s="8"/>
    </row>
    <row r="25" spans="1:9" x14ac:dyDescent="0.25">
      <c r="A25" s="8"/>
      <c r="B25" s="8"/>
      <c r="C25" s="8"/>
      <c r="D25" s="8"/>
      <c r="E25" s="8"/>
      <c r="F25" s="8"/>
      <c r="G25" s="8"/>
      <c r="H25" s="8"/>
      <c r="I25" s="8"/>
    </row>
    <row r="26" spans="1:9" x14ac:dyDescent="0.25">
      <c r="A26" s="8" t="s">
        <v>107</v>
      </c>
      <c r="B26" s="8" t="s">
        <v>72</v>
      </c>
      <c r="C26" s="8"/>
      <c r="D26" s="8">
        <f>Proximity!C8</f>
        <v>30</v>
      </c>
      <c r="E26" s="8"/>
      <c r="F26" s="8">
        <f>Proximity!C9</f>
        <v>7.6999999999999999E-2</v>
      </c>
      <c r="G26" s="8">
        <f>D26*F26</f>
        <v>2.31</v>
      </c>
      <c r="H26" s="8">
        <f>SUM(G26:G27)</f>
        <v>606.9</v>
      </c>
      <c r="I26" s="8">
        <f>H26/3600</f>
        <v>0.16858333333333334</v>
      </c>
    </row>
    <row r="27" spans="1:9" x14ac:dyDescent="0.25">
      <c r="A27" s="8" t="s">
        <v>104</v>
      </c>
      <c r="B27" s="8"/>
      <c r="C27" s="8"/>
      <c r="D27" s="8"/>
      <c r="E27" s="8">
        <f>(24*3600)-D26</f>
        <v>86370</v>
      </c>
      <c r="F27" s="8">
        <f>Proximity!C14</f>
        <v>7.0000000000000001E-3</v>
      </c>
      <c r="G27" s="8">
        <f>E27*F27</f>
        <v>604.59</v>
      </c>
      <c r="H27" s="8"/>
      <c r="I27" s="8"/>
    </row>
    <row r="28" spans="1:9" x14ac:dyDescent="0.25">
      <c r="A28" s="8"/>
      <c r="B28" s="8"/>
      <c r="C28" s="8"/>
      <c r="D28" s="8"/>
      <c r="E28" s="8"/>
      <c r="F28" s="8"/>
      <c r="G28" s="8"/>
      <c r="H28" s="8"/>
      <c r="I28" s="8"/>
    </row>
    <row r="29" spans="1:9" x14ac:dyDescent="0.25">
      <c r="A29" s="8"/>
      <c r="B29" s="8"/>
      <c r="C29" s="8"/>
      <c r="D29" s="8"/>
      <c r="E29" s="8"/>
      <c r="F29" s="8"/>
      <c r="G29" s="8"/>
      <c r="H29" s="8"/>
      <c r="I29" s="8"/>
    </row>
    <row r="30" spans="1:9" x14ac:dyDescent="0.25">
      <c r="A30" s="8" t="s">
        <v>105</v>
      </c>
      <c r="B30" s="8" t="s">
        <v>151</v>
      </c>
      <c r="C30" s="8"/>
      <c r="D30" s="8">
        <f>Fuel!C7</f>
        <v>30</v>
      </c>
      <c r="E30" s="8"/>
      <c r="F30" s="8">
        <f>Fuel!C8</f>
        <v>0.06</v>
      </c>
      <c r="G30" s="8">
        <f>D30*F30</f>
        <v>1.7999999999999998</v>
      </c>
      <c r="H30" s="8">
        <f>SUM(G30:G31)</f>
        <v>174.54000000000002</v>
      </c>
      <c r="I30" s="8">
        <f>H30/3600</f>
        <v>4.8483333333333337E-2</v>
      </c>
    </row>
    <row r="31" spans="1:9" x14ac:dyDescent="0.25">
      <c r="A31" s="8" t="s">
        <v>106</v>
      </c>
      <c r="B31" s="8"/>
      <c r="C31" s="8"/>
      <c r="D31" s="8"/>
      <c r="E31" s="8">
        <f>(24*3600)-D30</f>
        <v>86370</v>
      </c>
      <c r="F31" s="8">
        <f>Fuel!C13</f>
        <v>2E-3</v>
      </c>
      <c r="G31" s="8">
        <f>E31*F31</f>
        <v>172.74</v>
      </c>
      <c r="H31" s="8"/>
      <c r="I31" s="8"/>
    </row>
    <row r="32" spans="1:9" x14ac:dyDescent="0.25">
      <c r="A32" s="8"/>
      <c r="B32" s="8"/>
      <c r="C32" s="8"/>
      <c r="D32" s="8"/>
      <c r="E32" s="8"/>
      <c r="F32" s="8"/>
      <c r="G32" s="8"/>
      <c r="H32" s="8"/>
      <c r="I32" s="8"/>
    </row>
    <row r="33" spans="1:10" x14ac:dyDescent="0.25">
      <c r="A33" s="8"/>
      <c r="B33" s="8"/>
      <c r="C33" s="8"/>
      <c r="D33" s="8"/>
      <c r="E33" s="8"/>
      <c r="F33" s="8"/>
      <c r="G33" s="8"/>
      <c r="H33" s="8"/>
      <c r="I33" s="8"/>
    </row>
    <row r="34" spans="1:10" x14ac:dyDescent="0.25">
      <c r="A34" s="8" t="s">
        <v>114</v>
      </c>
      <c r="B34" s="8" t="s">
        <v>146</v>
      </c>
      <c r="C34" s="8"/>
      <c r="D34" s="8">
        <v>27</v>
      </c>
      <c r="E34" s="8"/>
      <c r="F34" s="8">
        <f>'Nor Flash'!B13</f>
        <v>30</v>
      </c>
      <c r="G34" s="8">
        <f>D34*F34</f>
        <v>810</v>
      </c>
      <c r="H34" s="8">
        <f>SUM(G34:G35)</f>
        <v>896.37300000000005</v>
      </c>
      <c r="I34" s="8">
        <f>H34/3600</f>
        <v>0.24899250000000001</v>
      </c>
    </row>
    <row r="35" spans="1:10" x14ac:dyDescent="0.25">
      <c r="A35" s="8" t="s">
        <v>115</v>
      </c>
      <c r="B35" s="8"/>
      <c r="C35" s="8"/>
      <c r="D35" s="8"/>
      <c r="E35" s="8">
        <f>(24*3600)-D34</f>
        <v>86373</v>
      </c>
      <c r="F35" s="8">
        <f>'Nor Flash'!B17</f>
        <v>1E-3</v>
      </c>
      <c r="G35" s="8">
        <f>E35*F35</f>
        <v>86.373000000000005</v>
      </c>
      <c r="H35" s="8"/>
      <c r="I35" s="8"/>
    </row>
    <row r="36" spans="1:10" x14ac:dyDescent="0.25">
      <c r="A36" s="8"/>
      <c r="B36" s="8"/>
      <c r="C36" s="8"/>
      <c r="D36" s="8"/>
      <c r="E36" s="8"/>
      <c r="F36" s="8"/>
      <c r="G36" s="8"/>
      <c r="H36" s="8"/>
      <c r="I36" s="8"/>
    </row>
    <row r="37" spans="1:10" x14ac:dyDescent="0.25">
      <c r="A37" s="8" t="s">
        <v>116</v>
      </c>
      <c r="B37" s="8" t="s">
        <v>150</v>
      </c>
      <c r="C37" s="8"/>
      <c r="D37" s="8"/>
      <c r="E37" s="8"/>
      <c r="F37" s="8"/>
      <c r="G37" s="8">
        <f>Nordic_new!J51/1000</f>
        <v>435.03786390400001</v>
      </c>
      <c r="H37" s="8">
        <f>(G37+G38)</f>
        <v>504.05098672000003</v>
      </c>
      <c r="I37" s="8">
        <f>H37/3600</f>
        <v>0.14001416297777777</v>
      </c>
    </row>
    <row r="38" spans="1:10" x14ac:dyDescent="0.25">
      <c r="A38" s="8" t="s">
        <v>167</v>
      </c>
      <c r="B38" s="8"/>
      <c r="C38" s="8"/>
      <c r="D38" s="8"/>
      <c r="E38" s="8"/>
      <c r="F38" s="8"/>
      <c r="G38" s="8">
        <f>Nordic_new!J54/1000</f>
        <v>69.013122816000006</v>
      </c>
      <c r="H38" s="8"/>
      <c r="I38" s="8"/>
    </row>
    <row r="39" spans="1:10" x14ac:dyDescent="0.25">
      <c r="A39" s="8"/>
      <c r="B39" s="8"/>
      <c r="C39" s="8"/>
      <c r="D39" s="8"/>
      <c r="E39" s="8"/>
      <c r="F39" s="8"/>
      <c r="G39" s="8"/>
      <c r="H39" s="8"/>
      <c r="I39" s="8"/>
    </row>
    <row r="40" spans="1:10" x14ac:dyDescent="0.25">
      <c r="A40" s="8"/>
      <c r="B40" s="8"/>
      <c r="C40" s="8"/>
      <c r="D40" s="8"/>
      <c r="E40" s="8"/>
      <c r="F40" s="8"/>
      <c r="G40" s="8"/>
      <c r="H40" s="8"/>
      <c r="I40" s="8"/>
    </row>
    <row r="43" spans="1:10" x14ac:dyDescent="0.25">
      <c r="H43" s="3" t="s">
        <v>139</v>
      </c>
      <c r="I43" s="3">
        <f>SUM(I7:I40)</f>
        <v>1.3583511074222223</v>
      </c>
      <c r="J43" s="3" t="s">
        <v>165</v>
      </c>
    </row>
    <row r="44" spans="1:10" x14ac:dyDescent="0.25">
      <c r="H44" s="3" t="s">
        <v>140</v>
      </c>
      <c r="I44" s="3">
        <v>40</v>
      </c>
      <c r="J44" s="3" t="s">
        <v>141</v>
      </c>
    </row>
    <row r="45" spans="1:10" x14ac:dyDescent="0.25">
      <c r="H45" s="3" t="s">
        <v>144</v>
      </c>
      <c r="I45" s="3">
        <f>(I44/I43)*(24)</f>
        <v>706.73921842035122</v>
      </c>
      <c r="J45" s="3" t="s">
        <v>145</v>
      </c>
    </row>
    <row r="46" spans="1:10" x14ac:dyDescent="0.25">
      <c r="H46" s="11" t="s">
        <v>142</v>
      </c>
      <c r="I46" s="11">
        <f>I44/I43</f>
        <v>29.447467434181302</v>
      </c>
      <c r="J46" s="3" t="s">
        <v>143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F8" sqref="F8"/>
    </sheetView>
  </sheetViews>
  <sheetFormatPr defaultRowHeight="15" x14ac:dyDescent="0.25"/>
  <cols>
    <col min="3" max="3" width="25.42578125" customWidth="1"/>
    <col min="4" max="4" width="18.28515625" customWidth="1"/>
    <col min="5" max="5" width="27.42578125" customWidth="1"/>
    <col min="6" max="6" width="27.28515625" customWidth="1"/>
  </cols>
  <sheetData>
    <row r="2" spans="2:6" x14ac:dyDescent="0.25">
      <c r="B2" t="s">
        <v>175</v>
      </c>
      <c r="C2" t="s">
        <v>176</v>
      </c>
      <c r="D2" t="s">
        <v>179</v>
      </c>
      <c r="E2" t="s">
        <v>183</v>
      </c>
      <c r="F2" t="s">
        <v>177</v>
      </c>
    </row>
    <row r="3" spans="2:6" x14ac:dyDescent="0.25">
      <c r="B3">
        <v>1</v>
      </c>
      <c r="C3" t="s">
        <v>178</v>
      </c>
      <c r="D3" t="s">
        <v>180</v>
      </c>
      <c r="E3" t="s">
        <v>184</v>
      </c>
      <c r="F3" t="s">
        <v>188</v>
      </c>
    </row>
    <row r="4" spans="2:6" x14ac:dyDescent="0.25">
      <c r="D4" t="s">
        <v>181</v>
      </c>
      <c r="E4" t="s">
        <v>184</v>
      </c>
      <c r="F4" t="s">
        <v>189</v>
      </c>
    </row>
    <row r="6" spans="2:6" x14ac:dyDescent="0.25">
      <c r="B6">
        <v>2</v>
      </c>
      <c r="C6" t="s">
        <v>182</v>
      </c>
      <c r="D6" t="s">
        <v>185</v>
      </c>
      <c r="E6" t="s">
        <v>184</v>
      </c>
      <c r="F6" t="s">
        <v>190</v>
      </c>
    </row>
    <row r="8" spans="2:6" x14ac:dyDescent="0.25">
      <c r="B8">
        <v>3</v>
      </c>
      <c r="C8" t="s">
        <v>186</v>
      </c>
      <c r="D8" t="s">
        <v>187</v>
      </c>
      <c r="E8" t="s">
        <v>184</v>
      </c>
      <c r="F8" t="s">
        <v>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1"/>
  <sheetViews>
    <sheetView tabSelected="1" topLeftCell="B1" workbookViewId="0">
      <pane ySplit="2" topLeftCell="A3" activePane="bottomLeft" state="frozen"/>
      <selection activeCell="B1" sqref="B1"/>
      <selection pane="bottomLeft" activeCell="J54" sqref="J54"/>
    </sheetView>
  </sheetViews>
  <sheetFormatPr defaultRowHeight="15" x14ac:dyDescent="0.25"/>
  <cols>
    <col min="2" max="2" width="18.28515625" customWidth="1"/>
    <col min="3" max="3" width="12.7109375" customWidth="1"/>
    <col min="4" max="4" width="19.85546875" customWidth="1"/>
    <col min="5" max="5" width="17.5703125" customWidth="1"/>
    <col min="6" max="6" width="21.140625" customWidth="1"/>
    <col min="7" max="7" width="14" customWidth="1"/>
    <col min="8" max="8" width="11.28515625" customWidth="1"/>
    <col min="9" max="9" width="27.5703125" customWidth="1"/>
    <col min="10" max="10" width="31.28515625" customWidth="1"/>
    <col min="11" max="11" width="15.42578125" customWidth="1"/>
  </cols>
  <sheetData>
    <row r="2" spans="2:10" x14ac:dyDescent="0.25">
      <c r="B2" s="16"/>
      <c r="C2" s="16" t="s">
        <v>218</v>
      </c>
      <c r="D2" s="16" t="s">
        <v>223</v>
      </c>
      <c r="E2" s="16" t="s">
        <v>222</v>
      </c>
      <c r="F2" s="16" t="s">
        <v>215</v>
      </c>
      <c r="G2" s="16" t="s">
        <v>214</v>
      </c>
      <c r="H2" s="16" t="s">
        <v>216</v>
      </c>
      <c r="I2" s="16" t="s">
        <v>217</v>
      </c>
      <c r="J2" s="16" t="s">
        <v>220</v>
      </c>
    </row>
    <row r="4" spans="2:10" x14ac:dyDescent="0.25">
      <c r="B4" t="s">
        <v>213</v>
      </c>
      <c r="C4" t="s">
        <v>219</v>
      </c>
      <c r="D4">
        <v>250</v>
      </c>
      <c r="E4">
        <v>48</v>
      </c>
      <c r="F4">
        <f>(1/(D4*1000))*E4</f>
        <v>1.92E-4</v>
      </c>
      <c r="G4">
        <f>24*60*60</f>
        <v>86400</v>
      </c>
      <c r="H4">
        <f>(F4*G4)</f>
        <v>16.588799999999999</v>
      </c>
      <c r="I4">
        <v>400</v>
      </c>
      <c r="J4">
        <f>(H4*I4)</f>
        <v>6635.5199999999995</v>
      </c>
    </row>
    <row r="7" spans="2:10" x14ac:dyDescent="0.25">
      <c r="B7" t="s">
        <v>221</v>
      </c>
      <c r="C7" t="s">
        <v>219</v>
      </c>
      <c r="D7">
        <v>250</v>
      </c>
      <c r="E7">
        <v>16</v>
      </c>
      <c r="F7">
        <f>(1/(D7*1000))*E7</f>
        <v>6.3999999999999997E-5</v>
      </c>
      <c r="G7">
        <v>30</v>
      </c>
      <c r="H7">
        <f>F7*G7</f>
        <v>1.9199999999999998E-3</v>
      </c>
      <c r="I7">
        <v>400</v>
      </c>
      <c r="J7">
        <f>H7*I7</f>
        <v>0.7679999999999999</v>
      </c>
    </row>
    <row r="10" spans="2:10" x14ac:dyDescent="0.25">
      <c r="B10" t="s">
        <v>224</v>
      </c>
      <c r="C10" t="s">
        <v>219</v>
      </c>
      <c r="D10">
        <v>250</v>
      </c>
      <c r="E10">
        <v>16</v>
      </c>
      <c r="F10">
        <f>(1/(D10*1000))*E10</f>
        <v>6.3999999999999997E-5</v>
      </c>
      <c r="G10">
        <v>30</v>
      </c>
      <c r="H10">
        <f>F10*G10</f>
        <v>1.9199999999999998E-3</v>
      </c>
      <c r="I10">
        <v>400</v>
      </c>
      <c r="J10">
        <f>H10*I10</f>
        <v>0.7679999999999999</v>
      </c>
    </row>
    <row r="13" spans="2:10" x14ac:dyDescent="0.25">
      <c r="B13" t="s">
        <v>225</v>
      </c>
      <c r="C13" t="s">
        <v>219</v>
      </c>
      <c r="D13">
        <v>250</v>
      </c>
      <c r="E13">
        <v>32</v>
      </c>
      <c r="F13">
        <f>(1/(D13*1000))*E13</f>
        <v>1.2799999999999999E-4</v>
      </c>
      <c r="G13">
        <v>30</v>
      </c>
      <c r="H13">
        <f>F13*G13</f>
        <v>3.8399999999999997E-3</v>
      </c>
      <c r="I13">
        <v>400</v>
      </c>
      <c r="J13">
        <f>H13*I13</f>
        <v>1.5359999999999998</v>
      </c>
    </row>
    <row r="16" spans="2:10" x14ac:dyDescent="0.25">
      <c r="B16" t="s">
        <v>239</v>
      </c>
      <c r="C16" t="s">
        <v>240</v>
      </c>
      <c r="H16">
        <v>27</v>
      </c>
      <c r="I16">
        <v>200</v>
      </c>
      <c r="J16">
        <f>(H16*I16)</f>
        <v>5400</v>
      </c>
    </row>
    <row r="19" spans="2:10" x14ac:dyDescent="0.25">
      <c r="B19" t="s">
        <v>241</v>
      </c>
      <c r="H19">
        <v>24</v>
      </c>
      <c r="I19">
        <v>178</v>
      </c>
      <c r="J19">
        <f>(H19*I19)</f>
        <v>4272</v>
      </c>
    </row>
    <row r="22" spans="2:10" x14ac:dyDescent="0.25">
      <c r="B22" t="s">
        <v>242</v>
      </c>
      <c r="H22">
        <f>10*4</f>
        <v>40</v>
      </c>
      <c r="I22">
        <v>0.5</v>
      </c>
      <c r="J22">
        <f>H22*I22</f>
        <v>20</v>
      </c>
    </row>
    <row r="25" spans="2:10" x14ac:dyDescent="0.25">
      <c r="B25" s="17" t="s">
        <v>226</v>
      </c>
      <c r="C25" s="17" t="s">
        <v>227</v>
      </c>
      <c r="D25" s="17" t="s">
        <v>228</v>
      </c>
      <c r="E25" s="17"/>
      <c r="F25" s="17"/>
    </row>
    <row r="26" spans="2:10" x14ac:dyDescent="0.25">
      <c r="B26" s="17"/>
      <c r="C26" s="17"/>
      <c r="D26" s="17"/>
      <c r="E26" s="17"/>
      <c r="F26" s="17"/>
    </row>
    <row r="27" spans="2:10" x14ac:dyDescent="0.25">
      <c r="B27" s="17"/>
      <c r="C27" s="17"/>
      <c r="D27" s="17" t="s">
        <v>229</v>
      </c>
      <c r="E27" s="17" t="s">
        <v>230</v>
      </c>
      <c r="F27" s="17"/>
    </row>
    <row r="28" spans="2:10" x14ac:dyDescent="0.25">
      <c r="B28" s="17"/>
      <c r="C28" s="17"/>
      <c r="D28" s="17"/>
      <c r="E28" s="17"/>
      <c r="F28" s="17"/>
    </row>
    <row r="29" spans="2:10" x14ac:dyDescent="0.25">
      <c r="B29" s="17"/>
      <c r="C29" s="17"/>
      <c r="D29" s="17" t="s">
        <v>251</v>
      </c>
      <c r="E29" s="17">
        <f>(1/(250*1000))*460800</f>
        <v>1.8431999999999999</v>
      </c>
      <c r="F29" s="17" t="s">
        <v>238</v>
      </c>
      <c r="H29">
        <v>24</v>
      </c>
      <c r="I29">
        <v>13000</v>
      </c>
      <c r="J29">
        <f>H29*I29</f>
        <v>312000</v>
      </c>
    </row>
    <row r="30" spans="2:10" x14ac:dyDescent="0.25">
      <c r="B30" s="17"/>
      <c r="C30" s="17"/>
      <c r="D30" s="17"/>
      <c r="E30" s="17"/>
      <c r="F30" s="17"/>
    </row>
    <row r="31" spans="2:10" x14ac:dyDescent="0.25">
      <c r="B31" s="17"/>
      <c r="C31" s="17"/>
      <c r="D31" s="17" t="s">
        <v>231</v>
      </c>
      <c r="E31" s="17" t="s">
        <v>232</v>
      </c>
      <c r="F31" s="17"/>
    </row>
    <row r="32" spans="2:10" x14ac:dyDescent="0.25">
      <c r="B32" s="17"/>
      <c r="C32" s="17"/>
      <c r="D32" s="17"/>
      <c r="E32" s="17"/>
      <c r="F32" s="17"/>
    </row>
    <row r="33" spans="2:10" x14ac:dyDescent="0.25">
      <c r="B33" s="17"/>
      <c r="C33" s="17" t="s">
        <v>233</v>
      </c>
      <c r="D33" s="17" t="s">
        <v>228</v>
      </c>
      <c r="E33" s="17"/>
      <c r="F33" s="17"/>
    </row>
    <row r="34" spans="2:10" x14ac:dyDescent="0.25">
      <c r="B34" s="17"/>
      <c r="C34" s="17"/>
      <c r="D34" s="17"/>
      <c r="E34" s="17"/>
      <c r="F34" s="17"/>
    </row>
    <row r="35" spans="2:10" x14ac:dyDescent="0.25">
      <c r="B35" s="17"/>
      <c r="C35" s="17"/>
      <c r="D35" s="17" t="s">
        <v>234</v>
      </c>
      <c r="E35" s="17"/>
      <c r="F35" s="17"/>
    </row>
    <row r="36" spans="2:10" x14ac:dyDescent="0.25">
      <c r="B36" s="17"/>
      <c r="C36" s="17"/>
      <c r="D36" s="17"/>
      <c r="E36" s="17"/>
      <c r="F36" s="17"/>
    </row>
    <row r="37" spans="2:10" x14ac:dyDescent="0.25">
      <c r="B37" s="17"/>
      <c r="C37" s="17"/>
      <c r="D37" s="17" t="s">
        <v>251</v>
      </c>
      <c r="E37" s="17">
        <f>(1/250)*50</f>
        <v>0.2</v>
      </c>
      <c r="F37" s="17" t="s">
        <v>237</v>
      </c>
      <c r="H37">
        <v>1</v>
      </c>
      <c r="I37">
        <v>13000</v>
      </c>
      <c r="J37">
        <f>H37*I37</f>
        <v>13000</v>
      </c>
    </row>
    <row r="38" spans="2:10" x14ac:dyDescent="0.25">
      <c r="B38" s="17"/>
      <c r="C38" s="17"/>
      <c r="D38" s="17"/>
      <c r="E38" s="17"/>
      <c r="F38" s="17"/>
    </row>
    <row r="39" spans="2:10" x14ac:dyDescent="0.25">
      <c r="B39" s="17"/>
      <c r="C39" s="17" t="s">
        <v>235</v>
      </c>
      <c r="D39" s="17" t="s">
        <v>236</v>
      </c>
      <c r="E39" s="17"/>
      <c r="F39" s="17"/>
    </row>
    <row r="40" spans="2:10" x14ac:dyDescent="0.25">
      <c r="B40" s="17"/>
      <c r="C40" s="17"/>
      <c r="D40" s="17" t="s">
        <v>252</v>
      </c>
      <c r="E40" s="17">
        <f>(130/1000000)*12</f>
        <v>1.5599999999999998E-3</v>
      </c>
      <c r="F40" s="17" t="s">
        <v>237</v>
      </c>
      <c r="H40">
        <v>1</v>
      </c>
      <c r="I40">
        <v>7000</v>
      </c>
      <c r="J40">
        <f>H40*I40</f>
        <v>7000</v>
      </c>
    </row>
    <row r="44" spans="2:10" x14ac:dyDescent="0.25">
      <c r="B44" t="s">
        <v>245</v>
      </c>
      <c r="H44">
        <f>H4+H7+H10+H13+H16+H19+H22+H29+H37+H40</f>
        <v>133.59647999999999</v>
      </c>
      <c r="I44">
        <v>2.2999999999999998</v>
      </c>
      <c r="J44">
        <f>(H44*I44)</f>
        <v>307.27190399999995</v>
      </c>
    </row>
    <row r="46" spans="2:10" x14ac:dyDescent="0.25">
      <c r="B46" t="s">
        <v>243</v>
      </c>
      <c r="H46">
        <v>86400</v>
      </c>
      <c r="I46">
        <v>0.2</v>
      </c>
      <c r="J46">
        <f>(H46*I46)</f>
        <v>17280</v>
      </c>
    </row>
    <row r="48" spans="2:10" x14ac:dyDescent="0.25">
      <c r="B48" t="s">
        <v>244</v>
      </c>
      <c r="H48">
        <v>86400</v>
      </c>
      <c r="I48">
        <v>0.8</v>
      </c>
      <c r="J48">
        <f>H48*I48</f>
        <v>69120</v>
      </c>
    </row>
    <row r="51" spans="2:10" x14ac:dyDescent="0.25">
      <c r="I51" s="16" t="s">
        <v>248</v>
      </c>
      <c r="J51" s="16">
        <f>J4+J7+J10+J13+J16+J19+J22+J29+J37+J40+J44+J46+J48</f>
        <v>435037.86390400003</v>
      </c>
    </row>
    <row r="54" spans="2:10" x14ac:dyDescent="0.25">
      <c r="H54">
        <f>(24*3600)-H44</f>
        <v>86266.403520000007</v>
      </c>
      <c r="I54">
        <v>0.8</v>
      </c>
      <c r="J54" s="16">
        <f>H54*I54</f>
        <v>69013.122816000003</v>
      </c>
    </row>
    <row r="55" spans="2:10" x14ac:dyDescent="0.25">
      <c r="B55" t="s">
        <v>246</v>
      </c>
    </row>
    <row r="57" spans="2:10" x14ac:dyDescent="0.25">
      <c r="I57" s="16" t="s">
        <v>249</v>
      </c>
      <c r="J57" s="16">
        <f>J51+J54</f>
        <v>504050.98672000004</v>
      </c>
    </row>
    <row r="58" spans="2:10" x14ac:dyDescent="0.25">
      <c r="I58" s="16"/>
      <c r="J58" s="16"/>
    </row>
    <row r="59" spans="2:10" x14ac:dyDescent="0.25">
      <c r="I59" s="16" t="s">
        <v>247</v>
      </c>
      <c r="J59" s="16">
        <f>J57/1000</f>
        <v>504.05098672000003</v>
      </c>
    </row>
    <row r="60" spans="2:10" x14ac:dyDescent="0.25">
      <c r="I60" s="16"/>
      <c r="J60" s="16"/>
    </row>
    <row r="61" spans="2:10" x14ac:dyDescent="0.25">
      <c r="I61" s="16" t="s">
        <v>250</v>
      </c>
      <c r="J61" s="16">
        <f>J59/3600</f>
        <v>0.14001416297777777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B17" sqref="B17"/>
    </sheetView>
  </sheetViews>
  <sheetFormatPr defaultRowHeight="15" x14ac:dyDescent="0.25"/>
  <cols>
    <col min="1" max="1" width="37.7109375" customWidth="1"/>
    <col min="2" max="2" width="12.140625" customWidth="1"/>
    <col min="3" max="3" width="8.5703125" customWidth="1"/>
    <col min="4" max="4" width="13.85546875" bestFit="1" customWidth="1"/>
    <col min="7" max="7" width="16.42578125" bestFit="1" customWidth="1"/>
  </cols>
  <sheetData>
    <row r="1" spans="1:17" x14ac:dyDescent="0.25">
      <c r="H1" s="1" t="s">
        <v>209</v>
      </c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t="s">
        <v>171</v>
      </c>
      <c r="B2">
        <v>1</v>
      </c>
      <c r="C2" t="s">
        <v>61</v>
      </c>
    </row>
    <row r="3" spans="1:17" x14ac:dyDescent="0.25">
      <c r="A3" t="s">
        <v>174</v>
      </c>
      <c r="B3">
        <v>500</v>
      </c>
      <c r="C3" t="s">
        <v>172</v>
      </c>
      <c r="H3" s="1"/>
      <c r="I3" s="1"/>
      <c r="J3" s="1"/>
      <c r="K3" s="1"/>
      <c r="L3" s="1"/>
      <c r="M3" s="1"/>
      <c r="N3" s="1" t="s">
        <v>0</v>
      </c>
      <c r="O3" s="1"/>
      <c r="P3" s="1"/>
      <c r="Q3" s="1"/>
    </row>
    <row r="4" spans="1:17" x14ac:dyDescent="0.25">
      <c r="A4" t="s">
        <v>192</v>
      </c>
      <c r="B4">
        <v>500</v>
      </c>
      <c r="C4" t="s">
        <v>172</v>
      </c>
      <c r="H4" s="1" t="s">
        <v>1</v>
      </c>
      <c r="I4" s="1"/>
      <c r="J4" s="1" t="s">
        <v>2</v>
      </c>
      <c r="K4" s="1"/>
      <c r="L4" s="1"/>
      <c r="M4" s="1"/>
      <c r="N4" s="1"/>
      <c r="O4" s="1" t="s">
        <v>3</v>
      </c>
      <c r="P4" s="1" t="s">
        <v>4</v>
      </c>
      <c r="Q4" s="1"/>
    </row>
    <row r="5" spans="1:17" x14ac:dyDescent="0.25">
      <c r="H5" s="1"/>
      <c r="I5" s="1"/>
      <c r="J5" s="1"/>
      <c r="K5" s="1"/>
      <c r="L5" s="1"/>
      <c r="M5" s="1"/>
      <c r="N5" s="1"/>
      <c r="O5" s="1">
        <v>7.81</v>
      </c>
      <c r="P5" s="1">
        <v>64</v>
      </c>
      <c r="Q5" s="1" t="s">
        <v>5</v>
      </c>
    </row>
    <row r="6" spans="1:17" x14ac:dyDescent="0.25">
      <c r="A6" t="s">
        <v>173</v>
      </c>
      <c r="B6">
        <f>(12*3600)</f>
        <v>43200</v>
      </c>
      <c r="C6" t="s">
        <v>61</v>
      </c>
      <c r="H6" s="1" t="s">
        <v>6</v>
      </c>
      <c r="I6" s="1">
        <v>500</v>
      </c>
      <c r="J6" s="1" t="s">
        <v>5</v>
      </c>
      <c r="K6" s="1"/>
      <c r="L6" s="1"/>
      <c r="M6" s="1"/>
      <c r="N6" s="1"/>
      <c r="O6" s="1">
        <v>15.63</v>
      </c>
      <c r="P6" s="1">
        <v>32</v>
      </c>
      <c r="Q6" s="1" t="s">
        <v>5</v>
      </c>
    </row>
    <row r="7" spans="1:17" x14ac:dyDescent="0.25">
      <c r="A7" t="s">
        <v>193</v>
      </c>
      <c r="B7">
        <f>B6</f>
        <v>43200</v>
      </c>
      <c r="C7" t="s">
        <v>61</v>
      </c>
      <c r="H7" s="1" t="s">
        <v>7</v>
      </c>
      <c r="I7" s="1">
        <v>1.8</v>
      </c>
      <c r="J7" s="1" t="s">
        <v>5</v>
      </c>
      <c r="K7" s="1"/>
      <c r="L7" s="1"/>
      <c r="M7" s="1"/>
      <c r="N7" s="1"/>
      <c r="O7" s="1">
        <v>31.25</v>
      </c>
      <c r="P7" s="1">
        <v>16</v>
      </c>
      <c r="Q7" s="1" t="s">
        <v>5</v>
      </c>
    </row>
    <row r="8" spans="1:17" x14ac:dyDescent="0.25">
      <c r="H8" s="1" t="s">
        <v>8</v>
      </c>
      <c r="I8" s="1">
        <v>1.3</v>
      </c>
      <c r="J8" s="1" t="s">
        <v>5</v>
      </c>
      <c r="K8" s="1"/>
      <c r="L8" s="1"/>
      <c r="M8" s="1"/>
      <c r="N8" s="1"/>
      <c r="O8" s="1">
        <v>62.5</v>
      </c>
      <c r="P8" s="1">
        <v>8</v>
      </c>
      <c r="Q8" s="1" t="s">
        <v>5</v>
      </c>
    </row>
    <row r="9" spans="1:17" x14ac:dyDescent="0.25">
      <c r="A9" t="s">
        <v>195</v>
      </c>
      <c r="B9">
        <v>1E-3</v>
      </c>
      <c r="C9" t="s">
        <v>51</v>
      </c>
      <c r="H9" s="1"/>
      <c r="I9" s="1"/>
      <c r="J9" s="1"/>
      <c r="K9" s="1" t="s">
        <v>9</v>
      </c>
      <c r="L9" s="1"/>
      <c r="M9" s="1"/>
      <c r="N9" s="1"/>
      <c r="O9" s="1">
        <v>125</v>
      </c>
      <c r="P9" s="1">
        <v>4</v>
      </c>
      <c r="Q9" s="1" t="s">
        <v>5</v>
      </c>
    </row>
    <row r="10" spans="1:17" x14ac:dyDescent="0.25">
      <c r="A10" t="s">
        <v>194</v>
      </c>
      <c r="B10">
        <v>6.4999999999999997E-3</v>
      </c>
      <c r="C10" t="s">
        <v>51</v>
      </c>
      <c r="H10" s="1" t="s">
        <v>10</v>
      </c>
      <c r="I10" s="1">
        <v>257.79910000000001</v>
      </c>
      <c r="J10" s="1" t="s">
        <v>5</v>
      </c>
      <c r="K10" s="1">
        <v>7.81</v>
      </c>
      <c r="L10" s="1"/>
      <c r="M10" s="1"/>
      <c r="N10" s="1"/>
      <c r="O10" s="1">
        <v>250</v>
      </c>
      <c r="P10" s="1">
        <v>2</v>
      </c>
      <c r="Q10" s="1" t="s">
        <v>5</v>
      </c>
    </row>
    <row r="11" spans="1:17" x14ac:dyDescent="0.25">
      <c r="H11" s="1" t="s">
        <v>11</v>
      </c>
      <c r="I11" s="1">
        <v>257.29910000000001</v>
      </c>
      <c r="J11" s="1" t="s">
        <v>5</v>
      </c>
      <c r="K11" s="1">
        <v>7.81</v>
      </c>
      <c r="L11" s="1"/>
      <c r="M11" s="1"/>
      <c r="N11" s="1"/>
      <c r="O11" s="1">
        <v>500</v>
      </c>
      <c r="P11" s="1">
        <v>1</v>
      </c>
      <c r="Q11" s="1" t="s">
        <v>5</v>
      </c>
    </row>
    <row r="12" spans="1:17" x14ac:dyDescent="0.25">
      <c r="A12" t="s">
        <v>196</v>
      </c>
      <c r="B12">
        <f>(B6*B9)</f>
        <v>43.2</v>
      </c>
      <c r="C12" t="s">
        <v>57</v>
      </c>
      <c r="H12" s="1" t="s">
        <v>12</v>
      </c>
      <c r="I12" s="1">
        <v>129.79910000000001</v>
      </c>
      <c r="J12" s="1" t="s">
        <v>5</v>
      </c>
      <c r="K12" s="1">
        <v>15.63</v>
      </c>
      <c r="L12" s="1"/>
      <c r="M12" s="1"/>
      <c r="N12" s="1"/>
      <c r="O12" s="1"/>
      <c r="P12" s="1"/>
      <c r="Q12" s="1"/>
    </row>
    <row r="13" spans="1:17" x14ac:dyDescent="0.25">
      <c r="A13" t="s">
        <v>197</v>
      </c>
      <c r="B13">
        <f>(B7*B10)</f>
        <v>280.8</v>
      </c>
      <c r="C13" t="s">
        <v>57</v>
      </c>
      <c r="H13" s="1" t="s">
        <v>13</v>
      </c>
      <c r="I13" s="1">
        <v>129.29910000000001</v>
      </c>
      <c r="J13" s="1" t="s">
        <v>5</v>
      </c>
      <c r="K13" s="1">
        <v>15.63</v>
      </c>
      <c r="L13" s="1"/>
      <c r="M13" s="1"/>
      <c r="N13" s="1"/>
      <c r="O13" s="1"/>
      <c r="P13" s="1"/>
      <c r="Q13" s="1"/>
    </row>
    <row r="14" spans="1:17" x14ac:dyDescent="0.25">
      <c r="H14" s="1" t="s">
        <v>14</v>
      </c>
      <c r="I14" s="1">
        <v>65.799099999999996</v>
      </c>
      <c r="J14" s="1" t="s">
        <v>5</v>
      </c>
      <c r="K14" s="1">
        <v>31.25</v>
      </c>
      <c r="L14" s="1"/>
      <c r="M14" s="1"/>
      <c r="N14" s="1"/>
      <c r="O14" s="1"/>
      <c r="P14" s="1"/>
      <c r="Q14" s="1"/>
    </row>
    <row r="15" spans="1:17" x14ac:dyDescent="0.25">
      <c r="A15" t="s">
        <v>198</v>
      </c>
      <c r="B15">
        <f>(B12+B13)</f>
        <v>324</v>
      </c>
      <c r="C15" t="s">
        <v>53</v>
      </c>
      <c r="H15" s="1" t="s">
        <v>15</v>
      </c>
      <c r="I15" s="1">
        <v>65.299099999999996</v>
      </c>
      <c r="J15" s="1" t="s">
        <v>5</v>
      </c>
      <c r="K15" s="1">
        <v>31.25</v>
      </c>
      <c r="L15" s="1"/>
      <c r="M15" s="1"/>
      <c r="N15" s="1"/>
      <c r="O15" s="1"/>
      <c r="P15" s="1"/>
      <c r="Q15" s="1"/>
    </row>
    <row r="16" spans="1:17" x14ac:dyDescent="0.25">
      <c r="H16" s="1" t="s">
        <v>16</v>
      </c>
      <c r="I16" s="1">
        <v>130</v>
      </c>
      <c r="J16" s="1" t="s">
        <v>17</v>
      </c>
      <c r="K16" s="1" t="s">
        <v>18</v>
      </c>
      <c r="L16" s="1"/>
      <c r="M16" s="1"/>
      <c r="N16" s="1" t="s">
        <v>19</v>
      </c>
      <c r="O16" s="1"/>
      <c r="P16" s="1"/>
      <c r="Q16" s="1"/>
    </row>
    <row r="17" spans="1:17" x14ac:dyDescent="0.25">
      <c r="A17" t="s">
        <v>208</v>
      </c>
      <c r="B17">
        <f>(B15/3600)</f>
        <v>0.09</v>
      </c>
      <c r="C17" t="s">
        <v>165</v>
      </c>
      <c r="H17" s="1" t="s">
        <v>20</v>
      </c>
      <c r="I17" s="1">
        <v>2.1</v>
      </c>
      <c r="J17" s="1" t="s">
        <v>17</v>
      </c>
      <c r="K17" s="1" t="s">
        <v>21</v>
      </c>
      <c r="L17" s="1"/>
      <c r="M17" s="1"/>
      <c r="N17" s="1"/>
      <c r="O17" s="1"/>
      <c r="P17" s="1" t="s">
        <v>6</v>
      </c>
      <c r="Q17" s="1"/>
    </row>
    <row r="18" spans="1:17" x14ac:dyDescent="0.25">
      <c r="H18" s="1" t="s">
        <v>22</v>
      </c>
      <c r="I18" s="1">
        <v>1</v>
      </c>
      <c r="J18" s="1" t="s">
        <v>17</v>
      </c>
      <c r="K18" s="1" t="s">
        <v>23</v>
      </c>
      <c r="L18" s="1"/>
      <c r="M18" s="1"/>
      <c r="N18" s="1"/>
      <c r="O18" s="1"/>
      <c r="P18" s="1">
        <v>0.5</v>
      </c>
      <c r="Q18" s="1" t="s">
        <v>5</v>
      </c>
    </row>
    <row r="19" spans="1:17" x14ac:dyDescent="0.25">
      <c r="H19" s="1" t="s">
        <v>24</v>
      </c>
      <c r="I19" s="1">
        <v>6.5</v>
      </c>
      <c r="J19" s="1" t="s">
        <v>17</v>
      </c>
      <c r="K19" s="1" t="s">
        <v>25</v>
      </c>
      <c r="L19" s="1"/>
      <c r="M19" s="1"/>
      <c r="N19" s="1"/>
      <c r="O19" s="1"/>
      <c r="P19" s="1">
        <v>1</v>
      </c>
      <c r="Q19" s="1" t="s">
        <v>5</v>
      </c>
    </row>
    <row r="20" spans="1:17" x14ac:dyDescent="0.25">
      <c r="H20" s="1" t="s">
        <v>26</v>
      </c>
      <c r="I20" s="1">
        <v>66</v>
      </c>
      <c r="J20" s="1" t="s">
        <v>17</v>
      </c>
      <c r="K20" s="1" t="s">
        <v>27</v>
      </c>
      <c r="L20" s="1"/>
      <c r="M20" s="1"/>
      <c r="N20" s="1"/>
      <c r="O20" s="1"/>
      <c r="P20" s="1">
        <v>2</v>
      </c>
      <c r="Q20" s="1" t="s">
        <v>5</v>
      </c>
    </row>
    <row r="21" spans="1:17" x14ac:dyDescent="0.25">
      <c r="H21" s="1" t="s">
        <v>28</v>
      </c>
      <c r="I21" s="1">
        <v>62</v>
      </c>
      <c r="J21" s="1" t="s">
        <v>17</v>
      </c>
      <c r="K21" s="1" t="s">
        <v>29</v>
      </c>
      <c r="L21" s="1"/>
      <c r="M21" s="1"/>
      <c r="N21" s="1"/>
      <c r="O21" s="1"/>
      <c r="P21" s="1">
        <v>4</v>
      </c>
      <c r="Q21" s="1" t="s">
        <v>5</v>
      </c>
    </row>
    <row r="22" spans="1:17" x14ac:dyDescent="0.25">
      <c r="H22" s="1"/>
      <c r="I22" s="1"/>
      <c r="J22" s="1"/>
      <c r="K22" s="1"/>
      <c r="L22" s="1"/>
      <c r="M22" s="1"/>
      <c r="N22" s="1"/>
      <c r="O22" s="1"/>
      <c r="P22" s="1">
        <v>6</v>
      </c>
      <c r="Q22" s="1" t="s">
        <v>5</v>
      </c>
    </row>
    <row r="23" spans="1:17" x14ac:dyDescent="0.25">
      <c r="H23" s="1"/>
      <c r="I23" s="1"/>
      <c r="J23" s="1"/>
      <c r="K23" s="1"/>
      <c r="L23" s="1"/>
      <c r="M23" s="1"/>
      <c r="N23" s="1"/>
      <c r="O23" s="1"/>
      <c r="P23" s="1">
        <v>10</v>
      </c>
      <c r="Q23" s="1" t="s">
        <v>5</v>
      </c>
    </row>
    <row r="24" spans="1:17" x14ac:dyDescent="0.25">
      <c r="H24" s="1" t="s">
        <v>30</v>
      </c>
      <c r="I24" s="1"/>
      <c r="J24" s="1"/>
      <c r="K24" s="1"/>
      <c r="L24" s="1"/>
      <c r="M24" s="1"/>
      <c r="N24" s="1"/>
      <c r="O24" s="1"/>
      <c r="P24" s="1">
        <v>25</v>
      </c>
      <c r="Q24" s="1" t="s">
        <v>5</v>
      </c>
    </row>
    <row r="25" spans="1:17" x14ac:dyDescent="0.25">
      <c r="H25" s="1" t="s">
        <v>31</v>
      </c>
      <c r="I25" s="1">
        <v>45.610878925562204</v>
      </c>
      <c r="J25" s="1" t="s">
        <v>17</v>
      </c>
      <c r="K25" s="1">
        <v>4.5610878925562204E-2</v>
      </c>
      <c r="L25" s="1" t="s">
        <v>32</v>
      </c>
      <c r="M25" s="1"/>
      <c r="N25" s="1"/>
      <c r="O25" s="1"/>
      <c r="P25" s="1">
        <v>50</v>
      </c>
      <c r="Q25" s="1" t="s">
        <v>5</v>
      </c>
    </row>
    <row r="26" spans="1:17" x14ac:dyDescent="0.25">
      <c r="H26" s="1" t="s">
        <v>33</v>
      </c>
      <c r="I26" s="1">
        <v>85.133227263004144</v>
      </c>
      <c r="J26" s="1" t="s">
        <v>17</v>
      </c>
      <c r="K26" s="1">
        <v>8.5133227263004138E-2</v>
      </c>
      <c r="L26" s="1" t="s">
        <v>32</v>
      </c>
      <c r="M26" s="1"/>
      <c r="N26" s="1"/>
      <c r="O26" s="1"/>
      <c r="P26" s="1">
        <v>100</v>
      </c>
      <c r="Q26" s="1" t="s">
        <v>5</v>
      </c>
    </row>
    <row r="27" spans="1:17" x14ac:dyDescent="0.25">
      <c r="H27" s="1" t="s">
        <v>34</v>
      </c>
      <c r="I27" s="1">
        <v>28.459683413329749</v>
      </c>
      <c r="J27" s="1" t="s">
        <v>17</v>
      </c>
      <c r="K27" s="1">
        <v>2.8459683413329748E-2</v>
      </c>
      <c r="L27" s="1" t="s">
        <v>32</v>
      </c>
      <c r="M27" s="1"/>
      <c r="N27" s="1"/>
      <c r="O27" s="1"/>
      <c r="P27" s="1">
        <v>500</v>
      </c>
      <c r="Q27" s="1" t="s">
        <v>5</v>
      </c>
    </row>
    <row r="28" spans="1:17" x14ac:dyDescent="0.25">
      <c r="H28" s="1" t="s">
        <v>35</v>
      </c>
      <c r="I28" s="1">
        <v>76.014530665413787</v>
      </c>
      <c r="J28" s="1" t="s">
        <v>17</v>
      </c>
      <c r="K28" s="1">
        <v>7.601453066541379E-2</v>
      </c>
      <c r="L28" s="1" t="s">
        <v>32</v>
      </c>
      <c r="M28" s="1"/>
      <c r="N28" s="1"/>
      <c r="O28" s="1"/>
      <c r="P28" s="1">
        <v>1</v>
      </c>
      <c r="Q28" s="1" t="s">
        <v>36</v>
      </c>
    </row>
    <row r="29" spans="1:17" x14ac:dyDescent="0.25">
      <c r="H29" s="1" t="s">
        <v>37</v>
      </c>
      <c r="I29" s="1">
        <v>16.974016042089854</v>
      </c>
      <c r="J29" s="1" t="s">
        <v>17</v>
      </c>
      <c r="K29" s="1">
        <v>1.6974016042089854E-2</v>
      </c>
      <c r="L29" s="1" t="s">
        <v>32</v>
      </c>
      <c r="M29" s="1"/>
      <c r="N29" s="1"/>
      <c r="O29" s="1"/>
      <c r="P29" s="1"/>
      <c r="Q29" s="1"/>
    </row>
    <row r="30" spans="1:17" x14ac:dyDescent="0.25">
      <c r="H30" s="1" t="s">
        <v>38</v>
      </c>
      <c r="I30" s="1">
        <v>69.907999146693598</v>
      </c>
      <c r="J30" s="1" t="s">
        <v>17</v>
      </c>
      <c r="K30" s="1">
        <v>6.99079991466936E-2</v>
      </c>
      <c r="L30" s="1" t="s">
        <v>32</v>
      </c>
      <c r="M30" s="1"/>
      <c r="N30" s="1"/>
      <c r="O30" s="1"/>
      <c r="P30" s="1"/>
      <c r="Q30" s="1"/>
    </row>
    <row r="33" spans="8:9" ht="135" x14ac:dyDescent="0.25">
      <c r="H33" s="1" t="s">
        <v>39</v>
      </c>
      <c r="I33" s="2" t="s">
        <v>40</v>
      </c>
    </row>
    <row r="34" spans="8:9" x14ac:dyDescent="0.25">
      <c r="H34" s="1" t="s">
        <v>41</v>
      </c>
      <c r="I34" s="1" t="s">
        <v>42</v>
      </c>
    </row>
    <row r="35" spans="8:9" x14ac:dyDescent="0.25">
      <c r="H35" s="1" t="s">
        <v>43</v>
      </c>
      <c r="I35" s="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C4" sqref="C4"/>
    </sheetView>
  </sheetViews>
  <sheetFormatPr defaultRowHeight="15" x14ac:dyDescent="0.25"/>
  <cols>
    <col min="2" max="2" width="28.140625" bestFit="1" customWidth="1"/>
    <col min="3" max="3" width="18.28515625" customWidth="1"/>
    <col min="7" max="7" width="26.7109375" customWidth="1"/>
    <col min="8" max="8" width="18.140625" customWidth="1"/>
  </cols>
  <sheetData>
    <row r="2" spans="2:6" x14ac:dyDescent="0.25">
      <c r="B2" t="s">
        <v>95</v>
      </c>
      <c r="C2" t="s">
        <v>97</v>
      </c>
    </row>
    <row r="4" spans="2:6" x14ac:dyDescent="0.25">
      <c r="B4" t="s">
        <v>58</v>
      </c>
      <c r="C4">
        <v>10</v>
      </c>
      <c r="D4" t="s">
        <v>54</v>
      </c>
    </row>
    <row r="5" spans="2:6" x14ac:dyDescent="0.25">
      <c r="B5" t="s">
        <v>59</v>
      </c>
      <c r="C5">
        <v>50</v>
      </c>
      <c r="D5" t="s">
        <v>51</v>
      </c>
    </row>
    <row r="7" spans="2:6" x14ac:dyDescent="0.25">
      <c r="B7" t="s">
        <v>78</v>
      </c>
      <c r="C7">
        <f>C4*C5</f>
        <v>500</v>
      </c>
      <c r="D7" t="s">
        <v>53</v>
      </c>
    </row>
    <row r="10" spans="2:6" x14ac:dyDescent="0.25">
      <c r="B10" t="s">
        <v>55</v>
      </c>
      <c r="C10">
        <f>(24*3600)-C4</f>
        <v>86390</v>
      </c>
      <c r="D10" t="s">
        <v>61</v>
      </c>
    </row>
    <row r="11" spans="2:6" x14ac:dyDescent="0.25">
      <c r="B11" t="s">
        <v>56</v>
      </c>
      <c r="C11">
        <v>1E-3</v>
      </c>
      <c r="D11" t="s">
        <v>51</v>
      </c>
      <c r="F11" t="s">
        <v>94</v>
      </c>
    </row>
    <row r="13" spans="2:6" x14ac:dyDescent="0.25">
      <c r="B13" t="s">
        <v>77</v>
      </c>
      <c r="C13">
        <f>C10*C11</f>
        <v>86.39</v>
      </c>
      <c r="D13" t="s">
        <v>79</v>
      </c>
    </row>
    <row r="16" spans="2:6" x14ac:dyDescent="0.25">
      <c r="B16" t="s">
        <v>80</v>
      </c>
      <c r="C16">
        <f>C7+C13</f>
        <v>586.39</v>
      </c>
      <c r="D16" t="s">
        <v>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C6" sqref="C6"/>
    </sheetView>
  </sheetViews>
  <sheetFormatPr defaultRowHeight="15" x14ac:dyDescent="0.25"/>
  <cols>
    <col min="2" max="2" width="28.7109375" bestFit="1" customWidth="1"/>
  </cols>
  <sheetData>
    <row r="2" spans="2:5" x14ac:dyDescent="0.25">
      <c r="B2" t="s">
        <v>95</v>
      </c>
      <c r="C2" t="s">
        <v>96</v>
      </c>
    </row>
    <row r="4" spans="2:5" x14ac:dyDescent="0.25">
      <c r="B4" t="s">
        <v>58</v>
      </c>
      <c r="C4">
        <v>30</v>
      </c>
      <c r="D4" t="s">
        <v>54</v>
      </c>
    </row>
    <row r="5" spans="2:5" x14ac:dyDescent="0.25">
      <c r="B5" t="s">
        <v>59</v>
      </c>
      <c r="C5">
        <f>10*2</f>
        <v>20</v>
      </c>
      <c r="D5" t="s">
        <v>51</v>
      </c>
      <c r="E5" t="s">
        <v>76</v>
      </c>
    </row>
    <row r="7" spans="2:5" x14ac:dyDescent="0.25">
      <c r="B7" t="s">
        <v>81</v>
      </c>
      <c r="C7">
        <f>C4*C5</f>
        <v>600</v>
      </c>
      <c r="D7" t="s">
        <v>53</v>
      </c>
    </row>
    <row r="9" spans="2:5" x14ac:dyDescent="0.25">
      <c r="B9" t="s">
        <v>90</v>
      </c>
      <c r="C9">
        <f>24*3600 -C4</f>
        <v>86370</v>
      </c>
      <c r="D9" t="s">
        <v>91</v>
      </c>
    </row>
    <row r="10" spans="2:5" x14ac:dyDescent="0.25">
      <c r="B10" t="s">
        <v>85</v>
      </c>
      <c r="C10">
        <v>0.01</v>
      </c>
      <c r="D10" t="s">
        <v>51</v>
      </c>
    </row>
    <row r="11" spans="2:5" x14ac:dyDescent="0.25">
      <c r="B11" t="s">
        <v>92</v>
      </c>
      <c r="C11">
        <f>C9*C10</f>
        <v>863.7</v>
      </c>
      <c r="D11" t="s">
        <v>53</v>
      </c>
    </row>
    <row r="13" spans="2:5" x14ac:dyDescent="0.25">
      <c r="B13" t="s">
        <v>93</v>
      </c>
      <c r="C13">
        <f>C11+C7</f>
        <v>1463.7</v>
      </c>
      <c r="D13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workbookViewId="0">
      <selection activeCell="C6" sqref="C6"/>
    </sheetView>
  </sheetViews>
  <sheetFormatPr defaultRowHeight="15" x14ac:dyDescent="0.25"/>
  <cols>
    <col min="2" max="2" width="25.140625" bestFit="1" customWidth="1"/>
    <col min="3" max="3" width="18.28515625" customWidth="1"/>
  </cols>
  <sheetData>
    <row r="1" spans="2:4" x14ac:dyDescent="0.25">
      <c r="B1" t="s">
        <v>89</v>
      </c>
      <c r="C1" t="s">
        <v>88</v>
      </c>
    </row>
    <row r="3" spans="2:4" x14ac:dyDescent="0.25">
      <c r="B3" t="s">
        <v>95</v>
      </c>
      <c r="C3" t="s">
        <v>96</v>
      </c>
    </row>
    <row r="5" spans="2:4" x14ac:dyDescent="0.25">
      <c r="B5" t="s">
        <v>86</v>
      </c>
      <c r="C5">
        <v>30</v>
      </c>
      <c r="D5" t="s">
        <v>61</v>
      </c>
    </row>
    <row r="6" spans="2:4" x14ac:dyDescent="0.25">
      <c r="B6" t="s">
        <v>84</v>
      </c>
      <c r="C6">
        <v>2.5</v>
      </c>
      <c r="D6" t="s">
        <v>32</v>
      </c>
    </row>
    <row r="8" spans="2:4" x14ac:dyDescent="0.25">
      <c r="B8" t="s">
        <v>82</v>
      </c>
      <c r="C8">
        <f>C5*C6</f>
        <v>75</v>
      </c>
      <c r="D8" t="s">
        <v>60</v>
      </c>
    </row>
    <row r="11" spans="2:4" x14ac:dyDescent="0.25">
      <c r="B11" t="s">
        <v>90</v>
      </c>
      <c r="C11">
        <f>(24*3600)-C5</f>
        <v>86370</v>
      </c>
      <c r="D11" t="s">
        <v>61</v>
      </c>
    </row>
    <row r="12" spans="2:4" x14ac:dyDescent="0.25">
      <c r="B12" t="s">
        <v>85</v>
      </c>
      <c r="C12">
        <v>3.0000000000000001E-3</v>
      </c>
      <c r="D12" t="s">
        <v>51</v>
      </c>
    </row>
    <row r="14" spans="2:4" x14ac:dyDescent="0.25">
      <c r="B14" t="s">
        <v>83</v>
      </c>
      <c r="C14">
        <f>C11*C12</f>
        <v>259.11</v>
      </c>
      <c r="D14" t="s">
        <v>57</v>
      </c>
    </row>
    <row r="16" spans="2:4" x14ac:dyDescent="0.25">
      <c r="B16" t="s">
        <v>87</v>
      </c>
      <c r="C16">
        <f>C14+C8</f>
        <v>334.11</v>
      </c>
      <c r="D16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C9" sqref="C9"/>
    </sheetView>
  </sheetViews>
  <sheetFormatPr defaultRowHeight="15" x14ac:dyDescent="0.25"/>
  <cols>
    <col min="2" max="2" width="25.7109375" bestFit="1" customWidth="1"/>
    <col min="3" max="3" width="18.42578125" customWidth="1"/>
  </cols>
  <sheetData>
    <row r="3" spans="2:4" x14ac:dyDescent="0.25">
      <c r="B3" t="s">
        <v>62</v>
      </c>
      <c r="C3" t="s">
        <v>63</v>
      </c>
    </row>
    <row r="6" spans="2:4" x14ac:dyDescent="0.25">
      <c r="B6" t="s">
        <v>95</v>
      </c>
      <c r="C6" t="s">
        <v>96</v>
      </c>
    </row>
    <row r="8" spans="2:4" x14ac:dyDescent="0.25">
      <c r="B8" t="s">
        <v>86</v>
      </c>
      <c r="C8">
        <v>30</v>
      </c>
      <c r="D8" t="s">
        <v>61</v>
      </c>
    </row>
    <row r="9" spans="2:4" x14ac:dyDescent="0.25">
      <c r="B9" t="s">
        <v>84</v>
      </c>
      <c r="C9">
        <v>7.6999999999999999E-2</v>
      </c>
      <c r="D9" t="s">
        <v>51</v>
      </c>
    </row>
    <row r="11" spans="2:4" x14ac:dyDescent="0.25">
      <c r="B11" t="s">
        <v>82</v>
      </c>
      <c r="C11">
        <f>C8*C9</f>
        <v>2.31</v>
      </c>
      <c r="D11" t="s">
        <v>57</v>
      </c>
    </row>
    <row r="13" spans="2:4" x14ac:dyDescent="0.25">
      <c r="B13" t="s">
        <v>90</v>
      </c>
      <c r="C13">
        <f>(24*3600)-C8</f>
        <v>86370</v>
      </c>
      <c r="D13" t="s">
        <v>61</v>
      </c>
    </row>
    <row r="14" spans="2:4" x14ac:dyDescent="0.25">
      <c r="B14" t="s">
        <v>85</v>
      </c>
      <c r="C14">
        <v>7.0000000000000001E-3</v>
      </c>
      <c r="D14" t="s">
        <v>51</v>
      </c>
    </row>
    <row r="16" spans="2:4" x14ac:dyDescent="0.25">
      <c r="B16" t="s">
        <v>83</v>
      </c>
      <c r="C16">
        <f>C13*C14</f>
        <v>604.59</v>
      </c>
      <c r="D16" t="s">
        <v>57</v>
      </c>
    </row>
    <row r="18" spans="2:4" x14ac:dyDescent="0.25">
      <c r="B18" t="s">
        <v>87</v>
      </c>
      <c r="C18">
        <f>C11+C16</f>
        <v>606.9</v>
      </c>
      <c r="D18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C7" sqref="C7"/>
    </sheetView>
  </sheetViews>
  <sheetFormatPr defaultRowHeight="15" x14ac:dyDescent="0.25"/>
  <cols>
    <col min="2" max="2" width="25.7109375" bestFit="1" customWidth="1"/>
    <col min="3" max="3" width="18.140625" customWidth="1"/>
    <col min="4" max="4" width="8.85546875" customWidth="1"/>
  </cols>
  <sheetData>
    <row r="1" spans="2:4" x14ac:dyDescent="0.25">
      <c r="B1" t="s">
        <v>152</v>
      </c>
      <c r="C1" t="s">
        <v>151</v>
      </c>
    </row>
    <row r="3" spans="2:4" x14ac:dyDescent="0.25">
      <c r="B3" t="s">
        <v>89</v>
      </c>
      <c r="C3" t="s">
        <v>153</v>
      </c>
    </row>
    <row r="5" spans="2:4" x14ac:dyDescent="0.25">
      <c r="B5" t="s">
        <v>95</v>
      </c>
      <c r="C5" t="s">
        <v>96</v>
      </c>
    </row>
    <row r="7" spans="2:4" x14ac:dyDescent="0.25">
      <c r="B7" t="s">
        <v>86</v>
      </c>
      <c r="C7">
        <v>30</v>
      </c>
      <c r="D7" t="s">
        <v>61</v>
      </c>
    </row>
    <row r="8" spans="2:4" x14ac:dyDescent="0.25">
      <c r="B8" t="s">
        <v>84</v>
      </c>
      <c r="C8">
        <v>0.06</v>
      </c>
      <c r="D8" t="s">
        <v>32</v>
      </c>
    </row>
    <row r="10" spans="2:4" x14ac:dyDescent="0.25">
      <c r="B10" t="s">
        <v>82</v>
      </c>
      <c r="C10">
        <f>C7*C8</f>
        <v>1.7999999999999998</v>
      </c>
      <c r="D10" t="s">
        <v>60</v>
      </c>
    </row>
    <row r="12" spans="2:4" x14ac:dyDescent="0.25">
      <c r="B12" t="s">
        <v>90</v>
      </c>
      <c r="C12">
        <f>(24*3600)-C7</f>
        <v>86370</v>
      </c>
      <c r="D12" t="s">
        <v>61</v>
      </c>
    </row>
    <row r="13" spans="2:4" x14ac:dyDescent="0.25">
      <c r="B13" t="s">
        <v>85</v>
      </c>
      <c r="C13">
        <v>2E-3</v>
      </c>
      <c r="D13" t="s">
        <v>32</v>
      </c>
    </row>
    <row r="15" spans="2:4" x14ac:dyDescent="0.25">
      <c r="B15" t="s">
        <v>83</v>
      </c>
      <c r="C15">
        <f>C12*C13</f>
        <v>172.74</v>
      </c>
      <c r="D15" t="s">
        <v>60</v>
      </c>
    </row>
    <row r="17" spans="2:4" x14ac:dyDescent="0.25">
      <c r="B17" t="s">
        <v>87</v>
      </c>
      <c r="C17">
        <f>C15+C10</f>
        <v>174.54000000000002</v>
      </c>
      <c r="D17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5" sqref="B5"/>
    </sheetView>
  </sheetViews>
  <sheetFormatPr defaultRowHeight="15" x14ac:dyDescent="0.25"/>
  <cols>
    <col min="1" max="1" width="28.85546875" bestFit="1" customWidth="1"/>
    <col min="3" max="3" width="17.140625" customWidth="1"/>
    <col min="4" max="4" width="49" bestFit="1" customWidth="1"/>
    <col min="6" max="6" width="31" bestFit="1" customWidth="1"/>
    <col min="7" max="7" width="10" bestFit="1" customWidth="1"/>
  </cols>
  <sheetData>
    <row r="1" spans="1:8" x14ac:dyDescent="0.25">
      <c r="D1" t="s">
        <v>206</v>
      </c>
    </row>
    <row r="2" spans="1:8" x14ac:dyDescent="0.25">
      <c r="A2" t="s">
        <v>45</v>
      </c>
      <c r="B2">
        <v>8</v>
      </c>
      <c r="F2" t="s">
        <v>45</v>
      </c>
      <c r="G2">
        <v>8</v>
      </c>
    </row>
    <row r="3" spans="1:8" x14ac:dyDescent="0.25">
      <c r="A3" t="s">
        <v>118</v>
      </c>
      <c r="B3">
        <f>B2*3600*24</f>
        <v>691200</v>
      </c>
      <c r="F3" t="s">
        <v>46</v>
      </c>
      <c r="G3">
        <f>G2*3600*24</f>
        <v>691200</v>
      </c>
    </row>
    <row r="5" spans="1:8" x14ac:dyDescent="0.25">
      <c r="A5" t="s">
        <v>47</v>
      </c>
      <c r="B5">
        <v>172</v>
      </c>
      <c r="D5" t="s">
        <v>211</v>
      </c>
      <c r="F5" t="s">
        <v>47</v>
      </c>
      <c r="G5">
        <f>G3/4096</f>
        <v>168.75</v>
      </c>
    </row>
    <row r="6" spans="1:8" x14ac:dyDescent="0.25">
      <c r="A6" t="s">
        <v>48</v>
      </c>
      <c r="B6">
        <v>5</v>
      </c>
      <c r="C6" t="s">
        <v>5</v>
      </c>
      <c r="F6" t="s">
        <v>109</v>
      </c>
      <c r="G6">
        <v>5</v>
      </c>
      <c r="H6" t="s">
        <v>5</v>
      </c>
    </row>
    <row r="8" spans="1:8" x14ac:dyDescent="0.25">
      <c r="A8" t="s">
        <v>117</v>
      </c>
      <c r="B8">
        <f>(4096/256)*B6</f>
        <v>80</v>
      </c>
      <c r="C8" t="s">
        <v>5</v>
      </c>
      <c r="F8" t="s">
        <v>110</v>
      </c>
      <c r="G8">
        <f>(4096/256)*5</f>
        <v>80</v>
      </c>
      <c r="H8" t="s">
        <v>5</v>
      </c>
    </row>
    <row r="9" spans="1:8" x14ac:dyDescent="0.25">
      <c r="A9" t="s">
        <v>159</v>
      </c>
      <c r="B9">
        <v>300</v>
      </c>
      <c r="C9" t="s">
        <v>160</v>
      </c>
      <c r="F9" t="s">
        <v>159</v>
      </c>
      <c r="G9">
        <v>300</v>
      </c>
      <c r="H9" t="s">
        <v>160</v>
      </c>
    </row>
    <row r="10" spans="1:8" x14ac:dyDescent="0.25">
      <c r="A10" t="s">
        <v>161</v>
      </c>
      <c r="B10">
        <v>80.3</v>
      </c>
      <c r="C10" t="s">
        <v>5</v>
      </c>
      <c r="F10" t="s">
        <v>161</v>
      </c>
      <c r="G10">
        <v>80.3</v>
      </c>
      <c r="H10" t="s">
        <v>5</v>
      </c>
    </row>
    <row r="11" spans="1:8" x14ac:dyDescent="0.25">
      <c r="A11" t="s">
        <v>49</v>
      </c>
      <c r="B11">
        <f>B10*168.75+(B5*0.00015)</f>
        <v>13550.650799999999</v>
      </c>
      <c r="C11" t="s">
        <v>5</v>
      </c>
      <c r="D11" t="s">
        <v>210</v>
      </c>
      <c r="F11" t="s">
        <v>111</v>
      </c>
      <c r="G11">
        <f>G10*168.75</f>
        <v>13550.625</v>
      </c>
      <c r="H11" t="s">
        <v>5</v>
      </c>
    </row>
    <row r="13" spans="1:8" x14ac:dyDescent="0.25">
      <c r="A13" t="s">
        <v>50</v>
      </c>
      <c r="B13">
        <v>30</v>
      </c>
      <c r="C13" t="s">
        <v>51</v>
      </c>
      <c r="F13" t="s">
        <v>112</v>
      </c>
      <c r="G13">
        <v>30</v>
      </c>
      <c r="H13" t="s">
        <v>51</v>
      </c>
    </row>
    <row r="14" spans="1:8" x14ac:dyDescent="0.25">
      <c r="A14" t="s">
        <v>52</v>
      </c>
      <c r="B14">
        <f>B13*B11/1000</f>
        <v>406.51952399999999</v>
      </c>
      <c r="C14" t="s">
        <v>53</v>
      </c>
      <c r="F14" t="s">
        <v>113</v>
      </c>
      <c r="G14">
        <f>G13*G11/1000</f>
        <v>406.51875000000001</v>
      </c>
      <c r="H14" t="s">
        <v>53</v>
      </c>
    </row>
    <row r="16" spans="1:8" x14ac:dyDescent="0.25">
      <c r="A16" t="s">
        <v>90</v>
      </c>
      <c r="B16">
        <f>24*3600-((B11+G11)/1000)</f>
        <v>86372.8987242</v>
      </c>
      <c r="C16" t="s">
        <v>61</v>
      </c>
    </row>
    <row r="17" spans="1:4" x14ac:dyDescent="0.25">
      <c r="A17" t="s">
        <v>85</v>
      </c>
      <c r="B17">
        <v>1E-3</v>
      </c>
      <c r="C17" t="s">
        <v>51</v>
      </c>
      <c r="D17" t="s">
        <v>212</v>
      </c>
    </row>
    <row r="18" spans="1:4" x14ac:dyDescent="0.25">
      <c r="A18" t="s">
        <v>92</v>
      </c>
      <c r="B18">
        <f>B16*B17</f>
        <v>86.372898724199999</v>
      </c>
      <c r="C18" t="s">
        <v>53</v>
      </c>
    </row>
    <row r="20" spans="1:4" x14ac:dyDescent="0.25">
      <c r="A20" t="s">
        <v>87</v>
      </c>
      <c r="B20">
        <f>B18+B14</f>
        <v>492.8924227242</v>
      </c>
      <c r="C20" t="s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0"/>
  <sheetViews>
    <sheetView topLeftCell="B31" workbookViewId="0">
      <selection activeCell="B4" sqref="B4"/>
    </sheetView>
  </sheetViews>
  <sheetFormatPr defaultRowHeight="15" x14ac:dyDescent="0.25"/>
  <cols>
    <col min="2" max="2" width="50.140625" customWidth="1"/>
    <col min="3" max="3" width="18.5703125" customWidth="1"/>
    <col min="4" max="4" width="21.42578125" bestFit="1" customWidth="1"/>
    <col min="8" max="8" width="14.140625" customWidth="1"/>
    <col min="9" max="9" width="24.5703125" bestFit="1" customWidth="1"/>
  </cols>
  <sheetData>
    <row r="2" spans="2:11" x14ac:dyDescent="0.25">
      <c r="C2" t="s">
        <v>148</v>
      </c>
      <c r="D2" t="s">
        <v>154</v>
      </c>
      <c r="I2" t="s">
        <v>205</v>
      </c>
      <c r="K2" t="s">
        <v>206</v>
      </c>
    </row>
    <row r="4" spans="2:11" x14ac:dyDescent="0.25">
      <c r="B4" t="s">
        <v>119</v>
      </c>
      <c r="C4">
        <v>0.8</v>
      </c>
      <c r="D4">
        <f>(24*3600)-D8</f>
        <v>80907</v>
      </c>
      <c r="I4" s="14">
        <f>(C4*D4)/1000</f>
        <v>64.7256</v>
      </c>
    </row>
    <row r="5" spans="2:11" x14ac:dyDescent="0.25">
      <c r="B5" t="s">
        <v>120</v>
      </c>
      <c r="C5">
        <v>400</v>
      </c>
      <c r="D5">
        <f>0.0000106*100</f>
        <v>1.06E-3</v>
      </c>
      <c r="I5" s="14">
        <f>(C5*D5)/1000</f>
        <v>4.2400000000000001E-4</v>
      </c>
      <c r="K5" s="14" t="s">
        <v>207</v>
      </c>
    </row>
    <row r="6" spans="2:11" x14ac:dyDescent="0.25">
      <c r="F6">
        <f>24*3600</f>
        <v>86400</v>
      </c>
      <c r="I6" s="14">
        <f>SUM(I4:I5)</f>
        <v>64.726023999999995</v>
      </c>
      <c r="K6" t="s">
        <v>204</v>
      </c>
    </row>
    <row r="8" spans="2:11" x14ac:dyDescent="0.25">
      <c r="B8" t="s">
        <v>121</v>
      </c>
      <c r="C8">
        <v>2.2999999999999998</v>
      </c>
      <c r="D8">
        <f>D16</f>
        <v>5493</v>
      </c>
    </row>
    <row r="14" spans="2:11" x14ac:dyDescent="0.25">
      <c r="B14" t="s">
        <v>122</v>
      </c>
      <c r="C14">
        <v>300</v>
      </c>
      <c r="D14">
        <f>D16</f>
        <v>5493</v>
      </c>
      <c r="I14">
        <f>(C14*D14)/1000</f>
        <v>1647.9</v>
      </c>
    </row>
    <row r="16" spans="2:11" x14ac:dyDescent="0.25">
      <c r="B16" t="s">
        <v>199</v>
      </c>
      <c r="C16">
        <v>2400</v>
      </c>
      <c r="D16">
        <f>(D18+D20+D32+D22+D24+D28+5400)</f>
        <v>5493</v>
      </c>
      <c r="I16">
        <f>(C16*D16)/1000</f>
        <v>13183.2</v>
      </c>
    </row>
    <row r="18" spans="2:11" x14ac:dyDescent="0.25">
      <c r="B18" t="s">
        <v>123</v>
      </c>
      <c r="C18">
        <v>16000</v>
      </c>
      <c r="D18">
        <v>12</v>
      </c>
      <c r="E18">
        <f>D18*C18</f>
        <v>192000</v>
      </c>
      <c r="I18">
        <f>(C18*D18)/1000</f>
        <v>192</v>
      </c>
    </row>
    <row r="20" spans="2:11" x14ac:dyDescent="0.25">
      <c r="B20" t="s">
        <v>124</v>
      </c>
      <c r="C20">
        <v>7000</v>
      </c>
      <c r="D20">
        <v>12</v>
      </c>
      <c r="I20">
        <f>(C20*D20)/1000</f>
        <v>84</v>
      </c>
    </row>
    <row r="22" spans="2:11" x14ac:dyDescent="0.25">
      <c r="B22" t="s">
        <v>125</v>
      </c>
      <c r="C22">
        <v>13000</v>
      </c>
      <c r="D22">
        <v>1</v>
      </c>
      <c r="I22">
        <f>(C22*D22)/1000</f>
        <v>13</v>
      </c>
      <c r="K22" s="12"/>
    </row>
    <row r="23" spans="2:11" x14ac:dyDescent="0.25">
      <c r="K23" s="12"/>
    </row>
    <row r="24" spans="2:11" x14ac:dyDescent="0.25">
      <c r="B24" t="s">
        <v>126</v>
      </c>
      <c r="C24">
        <v>250</v>
      </c>
      <c r="D24">
        <v>1</v>
      </c>
      <c r="I24">
        <f>(C24*D24)/1000</f>
        <v>0.25</v>
      </c>
      <c r="K24" t="s">
        <v>200</v>
      </c>
    </row>
    <row r="26" spans="2:11" x14ac:dyDescent="0.25">
      <c r="B26" t="s">
        <v>127</v>
      </c>
      <c r="C26">
        <v>220</v>
      </c>
      <c r="K26" s="14" t="s">
        <v>162</v>
      </c>
    </row>
    <row r="27" spans="2:11" x14ac:dyDescent="0.25">
      <c r="E27" t="s">
        <v>157</v>
      </c>
    </row>
    <row r="28" spans="2:11" x14ac:dyDescent="0.25">
      <c r="B28" t="s">
        <v>128</v>
      </c>
      <c r="C28">
        <v>200</v>
      </c>
      <c r="D28">
        <v>27</v>
      </c>
      <c r="E28">
        <v>27</v>
      </c>
      <c r="I28">
        <f>(C28*D28)/1000</f>
        <v>5.4</v>
      </c>
    </row>
    <row r="29" spans="2:11" x14ac:dyDescent="0.25">
      <c r="E29" t="s">
        <v>155</v>
      </c>
      <c r="F29" t="s">
        <v>156</v>
      </c>
      <c r="G29" t="s">
        <v>170</v>
      </c>
    </row>
    <row r="30" spans="2:11" x14ac:dyDescent="0.25">
      <c r="B30" t="s">
        <v>129</v>
      </c>
      <c r="C30">
        <v>400</v>
      </c>
      <c r="D30">
        <f>SUM(E30:G30)</f>
        <v>14460</v>
      </c>
      <c r="E30">
        <v>30</v>
      </c>
      <c r="F30">
        <v>30</v>
      </c>
      <c r="G30">
        <f>Accel!B7/3</f>
        <v>14400</v>
      </c>
      <c r="I30">
        <f>(C30*D30)/1000</f>
        <v>5784</v>
      </c>
      <c r="K30" t="s">
        <v>203</v>
      </c>
    </row>
    <row r="32" spans="2:11" x14ac:dyDescent="0.25">
      <c r="B32" t="s">
        <v>130</v>
      </c>
      <c r="C32">
        <v>0.5</v>
      </c>
      <c r="D32">
        <f>4*10</f>
        <v>40</v>
      </c>
      <c r="I32">
        <f>(C32*D32)</f>
        <v>20</v>
      </c>
      <c r="K32" t="s">
        <v>201</v>
      </c>
    </row>
    <row r="33" spans="2:11" x14ac:dyDescent="0.25">
      <c r="B33" t="s">
        <v>131</v>
      </c>
    </row>
    <row r="34" spans="2:11" x14ac:dyDescent="0.25">
      <c r="B34" t="s">
        <v>132</v>
      </c>
      <c r="C34">
        <v>178</v>
      </c>
      <c r="D34">
        <v>24</v>
      </c>
      <c r="I34">
        <f>(178*24)/1000</f>
        <v>4.2720000000000002</v>
      </c>
      <c r="K34" s="14" t="s">
        <v>163</v>
      </c>
    </row>
    <row r="35" spans="2:11" x14ac:dyDescent="0.25">
      <c r="B35" t="s">
        <v>131</v>
      </c>
    </row>
    <row r="36" spans="2:11" x14ac:dyDescent="0.25">
      <c r="B36" t="s">
        <v>133</v>
      </c>
      <c r="C36">
        <v>0.2</v>
      </c>
      <c r="D36">
        <f>24*3600</f>
        <v>86400</v>
      </c>
      <c r="I36">
        <f>(0.2*86400)/1000</f>
        <v>17.28</v>
      </c>
    </row>
    <row r="38" spans="2:11" x14ac:dyDescent="0.25">
      <c r="B38" t="s">
        <v>134</v>
      </c>
      <c r="C38">
        <v>185</v>
      </c>
      <c r="K38" t="s">
        <v>147</v>
      </c>
    </row>
    <row r="40" spans="2:11" x14ac:dyDescent="0.25">
      <c r="B40" t="s">
        <v>135</v>
      </c>
      <c r="C40">
        <v>300</v>
      </c>
      <c r="D40">
        <v>1</v>
      </c>
      <c r="K40" t="s">
        <v>202</v>
      </c>
    </row>
    <row r="42" spans="2:11" x14ac:dyDescent="0.25">
      <c r="B42" t="s">
        <v>136</v>
      </c>
      <c r="C42">
        <v>400</v>
      </c>
      <c r="K42" t="s">
        <v>147</v>
      </c>
    </row>
    <row r="44" spans="2:11" x14ac:dyDescent="0.25">
      <c r="B44" t="s">
        <v>137</v>
      </c>
      <c r="C44">
        <v>1</v>
      </c>
      <c r="K44" t="s">
        <v>147</v>
      </c>
    </row>
    <row r="46" spans="2:11" x14ac:dyDescent="0.25">
      <c r="B46" t="s">
        <v>138</v>
      </c>
      <c r="C46">
        <v>250</v>
      </c>
      <c r="I46">
        <f>(250*3)/1000</f>
        <v>0.75</v>
      </c>
      <c r="K46" t="s">
        <v>147</v>
      </c>
    </row>
    <row r="47" spans="2:11" x14ac:dyDescent="0.25">
      <c r="H47" t="s">
        <v>168</v>
      </c>
      <c r="I47" s="12">
        <f>SUM(I8:I46)</f>
        <v>20952.052</v>
      </c>
    </row>
    <row r="48" spans="2:11" x14ac:dyDescent="0.25">
      <c r="B48" t="s">
        <v>149</v>
      </c>
      <c r="C48">
        <f>SUM(C8:C46)/1000</f>
        <v>41.087000000000003</v>
      </c>
      <c r="D48" t="s">
        <v>51</v>
      </c>
    </row>
    <row r="49" spans="8:11" x14ac:dyDescent="0.25">
      <c r="H49" t="s">
        <v>169</v>
      </c>
      <c r="I49" s="12">
        <f>(I6+I47)</f>
        <v>21016.778023999999</v>
      </c>
      <c r="J49" t="s">
        <v>57</v>
      </c>
      <c r="K49" s="12" t="s">
        <v>164</v>
      </c>
    </row>
    <row r="50" spans="8:11" x14ac:dyDescent="0.25">
      <c r="I50" s="12">
        <f>(I49/3600)</f>
        <v>5.837993895555555</v>
      </c>
      <c r="J50" t="s">
        <v>141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Chart</vt:lpstr>
      <vt:lpstr>Accel</vt:lpstr>
      <vt:lpstr>VIBRATOR</vt:lpstr>
      <vt:lpstr>LED</vt:lpstr>
      <vt:lpstr>LED Microcontroller</vt:lpstr>
      <vt:lpstr>Proximity</vt:lpstr>
      <vt:lpstr>Fuel</vt:lpstr>
      <vt:lpstr>Nor Flash</vt:lpstr>
      <vt:lpstr>Nordic</vt:lpstr>
      <vt:lpstr>GPIO_LIST</vt:lpstr>
      <vt:lpstr>Nordic_new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MY</cp:lastModifiedBy>
  <dcterms:created xsi:type="dcterms:W3CDTF">2013-09-07T11:40:59Z</dcterms:created>
  <dcterms:modified xsi:type="dcterms:W3CDTF">2013-09-21T11:49:31Z</dcterms:modified>
</cp:coreProperties>
</file>