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724969\Documents\OptiVision Consulting\COE\Estimating\"/>
    </mc:Choice>
  </mc:AlternateContent>
  <bookViews>
    <workbookView xWindow="0" yWindow="0" windowWidth="288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5" i="1"/>
  <c r="R26" i="1"/>
  <c r="R23" i="1"/>
  <c r="R27" i="1"/>
  <c r="T5" i="1"/>
  <c r="S26" i="1"/>
  <c r="S25" i="1"/>
  <c r="S24" i="1"/>
  <c r="S23" i="1"/>
  <c r="S27" i="1" s="1"/>
  <c r="O23" i="1"/>
  <c r="H27" i="1"/>
  <c r="I27" i="1"/>
  <c r="K27" i="1"/>
  <c r="F23" i="1"/>
  <c r="L24" i="1"/>
  <c r="K24" i="1"/>
  <c r="J24" i="1"/>
  <c r="I24" i="1"/>
  <c r="H24" i="1"/>
  <c r="H25" i="1"/>
  <c r="H26" i="1"/>
  <c r="H23" i="1"/>
  <c r="I23" i="1"/>
  <c r="C25" i="1" l="1"/>
  <c r="C7" i="1"/>
  <c r="B28" i="1"/>
  <c r="D25" i="1"/>
  <c r="E25" i="1" s="1"/>
  <c r="I25" i="1" s="1"/>
  <c r="D24" i="1"/>
  <c r="F24" i="1" s="1"/>
  <c r="C23" i="1"/>
  <c r="D23" i="1" s="1"/>
  <c r="E24" i="1" l="1"/>
  <c r="F25" i="1"/>
  <c r="E23" i="1"/>
  <c r="C5" i="1"/>
  <c r="F7" i="1"/>
  <c r="G7" i="1" s="1"/>
  <c r="B10" i="1"/>
  <c r="D6" i="1" l="1"/>
  <c r="D5" i="1"/>
  <c r="D7" i="1"/>
  <c r="E7" i="1" s="1"/>
  <c r="G5" i="1" l="1"/>
  <c r="I5" i="1" s="1"/>
  <c r="E5" i="1"/>
  <c r="E6" i="1"/>
  <c r="G6" i="1" s="1"/>
  <c r="M6" i="1" s="1"/>
  <c r="M5" i="1"/>
  <c r="M7" i="1"/>
  <c r="I7" i="1"/>
  <c r="K7" i="1"/>
  <c r="K5" i="1"/>
  <c r="D8" i="1" l="1"/>
  <c r="D26" i="1" s="1"/>
  <c r="K6" i="1"/>
  <c r="N6" i="1" s="1"/>
  <c r="I6" i="1"/>
  <c r="N7" i="1"/>
  <c r="N5" i="1"/>
  <c r="J23" i="1" s="1"/>
  <c r="F26" i="1" l="1"/>
  <c r="F27" i="1" s="1"/>
  <c r="D27" i="1"/>
  <c r="L23" i="1"/>
  <c r="K23" i="1"/>
  <c r="Q7" i="1"/>
  <c r="J25" i="1"/>
  <c r="Q6" i="1"/>
  <c r="E8" i="1"/>
  <c r="E26" i="1" s="1"/>
  <c r="D9" i="1"/>
  <c r="I8" i="1"/>
  <c r="I9" i="1" s="1"/>
  <c r="G8" i="1"/>
  <c r="U7" i="1"/>
  <c r="T7" i="1"/>
  <c r="Q5" i="1"/>
  <c r="O24" i="1" l="1"/>
  <c r="T6" i="1"/>
  <c r="U6" i="1"/>
  <c r="O25" i="1"/>
  <c r="L25" i="1"/>
  <c r="K25" i="1"/>
  <c r="I26" i="1"/>
  <c r="E27" i="1"/>
  <c r="U5" i="1"/>
  <c r="G9" i="1"/>
  <c r="M8" i="1"/>
  <c r="K8" i="1"/>
  <c r="M9" i="1" l="1"/>
  <c r="N8" i="1"/>
  <c r="J26" i="1" s="1"/>
  <c r="K9" i="1"/>
  <c r="J27" i="1" l="1"/>
  <c r="O26" i="1"/>
  <c r="O27" i="1" s="1"/>
  <c r="Q8" i="1"/>
  <c r="N9" i="1"/>
  <c r="L27" i="1" l="1"/>
  <c r="N12" i="1"/>
  <c r="N16" i="1"/>
  <c r="N14" i="1"/>
  <c r="U8" i="1"/>
  <c r="U9" i="1" s="1"/>
  <c r="T8" i="1"/>
  <c r="T9" i="1" s="1"/>
  <c r="Q9" i="1"/>
</calcChain>
</file>

<file path=xl/sharedStrings.xml><?xml version="1.0" encoding="utf-8"?>
<sst xmlns="http://schemas.openxmlformats.org/spreadsheetml/2006/main" count="62" uniqueCount="38">
  <si>
    <t>US Labor</t>
  </si>
  <si>
    <t>US Software</t>
  </si>
  <si>
    <t>BR Labor</t>
  </si>
  <si>
    <t>Import Tax%</t>
  </si>
  <si>
    <t>IPI</t>
  </si>
  <si>
    <t>ICMS</t>
  </si>
  <si>
    <t>PISCOFI</t>
  </si>
  <si>
    <t>ISS/IR</t>
  </si>
  <si>
    <t>Contingency</t>
  </si>
  <si>
    <t>Local Margin</t>
  </si>
  <si>
    <t>Landed Cost US$</t>
  </si>
  <si>
    <t>Qty</t>
  </si>
  <si>
    <t>$ Cost/Unit</t>
  </si>
  <si>
    <t>US$</t>
  </si>
  <si>
    <t>R$</t>
  </si>
  <si>
    <t>Exchange Rate (USD)</t>
  </si>
  <si>
    <t>Total Price All Taxes</t>
  </si>
  <si>
    <t>Xfer Cost 
FOB US$</t>
  </si>
  <si>
    <t>Net Sales 
FOB US$</t>
  </si>
  <si>
    <t>Net Sales 
CIF US$</t>
  </si>
  <si>
    <t>Labor Tax</t>
  </si>
  <si>
    <t>Product Tax</t>
  </si>
  <si>
    <t>WTW Cost</t>
  </si>
  <si>
    <t>Markup</t>
  </si>
  <si>
    <t>BR WTW</t>
  </si>
  <si>
    <t>US$ After
Labor Taxes</t>
  </si>
  <si>
    <t>WTW</t>
  </si>
  <si>
    <t>Warranty</t>
  </si>
  <si>
    <t>Total Hours</t>
  </si>
  <si>
    <t>PS R$/H</t>
  </si>
  <si>
    <t>Default 
Local GM%</t>
  </si>
  <si>
    <t>Transfer Cost</t>
  </si>
  <si>
    <t>WTW Margin</t>
  </si>
  <si>
    <t xml:space="preserve"> </t>
  </si>
  <si>
    <t>Sell Price w/Import Tax</t>
  </si>
  <si>
    <t>Landed Cost</t>
  </si>
  <si>
    <t>Import Tax $</t>
  </si>
  <si>
    <t>Pratheep's Calcs (after discussions with Brazil 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</si>
</sst>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_([$$-409]* #,##0_);_([$$-409]* \(#,##0\);_([$$-409]* &quot;-&quot;??_);_(@_)"/>
    <numFmt numFmtId="166" formatCode="_(&quot;$&quot;* #,##0_);_(&quot;$&quot;* \(#,##0\);_(&quot;$&quot;* &quot;-&quot;??_);_(@_)"/>
    <numFmt numFmtId="167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1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4" fontId="3" fillId="0" borderId="0" xfId="0" applyNumberFormat="1" applyFont="1"/>
    <xf numFmtId="44" fontId="0" fillId="0" borderId="1" xfId="0" applyNumberFormat="1" applyBorder="1"/>
    <xf numFmtId="10" fontId="3" fillId="0" borderId="0" xfId="2" applyNumberFormat="1" applyFont="1" applyAlignment="1">
      <alignment horizontal="center"/>
    </xf>
    <xf numFmtId="0" fontId="3" fillId="0" borderId="0" xfId="0" applyFont="1"/>
    <xf numFmtId="44" fontId="0" fillId="2" borderId="0" xfId="1" applyFont="1" applyFill="1"/>
    <xf numFmtId="165" fontId="0" fillId="0" borderId="0" xfId="0" applyNumberFormat="1"/>
    <xf numFmtId="44" fontId="0" fillId="0" borderId="0" xfId="1" applyFont="1" applyFill="1"/>
    <xf numFmtId="10" fontId="2" fillId="0" borderId="0" xfId="2" applyNumberFormat="1" applyFont="1" applyAlignment="1">
      <alignment horizontal="center"/>
    </xf>
    <xf numFmtId="0" fontId="4" fillId="0" borderId="0" xfId="0" applyFont="1" applyFill="1"/>
    <xf numFmtId="164" fontId="4" fillId="0" borderId="0" xfId="2" applyNumberFormat="1" applyFont="1" applyFill="1"/>
    <xf numFmtId="1" fontId="4" fillId="0" borderId="0" xfId="0" applyNumberFormat="1" applyFont="1" applyFill="1"/>
    <xf numFmtId="44" fontId="2" fillId="0" borderId="0" xfId="1" applyFont="1" applyFill="1"/>
    <xf numFmtId="0" fontId="2" fillId="0" borderId="0" xfId="0" applyFont="1" applyFill="1"/>
    <xf numFmtId="44" fontId="5" fillId="0" borderId="0" xfId="1" applyFont="1"/>
    <xf numFmtId="0" fontId="5" fillId="0" borderId="0" xfId="0" applyFont="1"/>
    <xf numFmtId="0" fontId="3" fillId="2" borderId="0" xfId="0" applyFont="1" applyFill="1" applyAlignment="1">
      <alignment horizontal="center" wrapText="1"/>
    </xf>
    <xf numFmtId="9" fontId="2" fillId="2" borderId="0" xfId="2" applyFont="1" applyFill="1"/>
    <xf numFmtId="9" fontId="0" fillId="2" borderId="0" xfId="2" applyFont="1" applyFill="1"/>
    <xf numFmtId="9" fontId="0" fillId="2" borderId="0" xfId="2" applyFont="1" applyFill="1" applyBorder="1"/>
    <xf numFmtId="44" fontId="0" fillId="2" borderId="1" xfId="1" applyFont="1" applyFill="1" applyBorder="1"/>
    <xf numFmtId="44" fontId="0" fillId="2" borderId="0" xfId="0" applyNumberFormat="1" applyFill="1"/>
    <xf numFmtId="44" fontId="3" fillId="2" borderId="0" xfId="0" applyNumberFormat="1" applyFont="1" applyFill="1"/>
    <xf numFmtId="0" fontId="3" fillId="0" borderId="0" xfId="0" applyFont="1" applyAlignment="1">
      <alignment horizontal="center"/>
    </xf>
    <xf numFmtId="166" fontId="0" fillId="0" borderId="0" xfId="0" applyNumberFormat="1"/>
    <xf numFmtId="166" fontId="2" fillId="0" borderId="0" xfId="1" applyNumberFormat="1" applyFont="1" applyFill="1"/>
    <xf numFmtId="166" fontId="0" fillId="0" borderId="0" xfId="1" applyNumberFormat="1" applyFont="1"/>
    <xf numFmtId="166" fontId="0" fillId="0" borderId="0" xfId="1" applyNumberFormat="1" applyFont="1" applyFill="1"/>
    <xf numFmtId="9" fontId="0" fillId="3" borderId="0" xfId="2" applyFont="1" applyFill="1"/>
    <xf numFmtId="0" fontId="3" fillId="0" borderId="0" xfId="0" applyFont="1" applyFill="1" applyAlignment="1">
      <alignment horizontal="center"/>
    </xf>
    <xf numFmtId="9" fontId="0" fillId="0" borderId="0" xfId="2" applyFont="1" applyFill="1"/>
    <xf numFmtId="0" fontId="3" fillId="0" borderId="0" xfId="0" applyFont="1" applyAlignment="1">
      <alignment horizontal="center"/>
    </xf>
    <xf numFmtId="167" fontId="2" fillId="0" borderId="0" xfId="1" applyNumberFormat="1" applyFont="1" applyAlignment="1">
      <alignment horizontal="center"/>
    </xf>
    <xf numFmtId="166" fontId="0" fillId="3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9</xdr:row>
      <xdr:rowOff>47625</xdr:rowOff>
    </xdr:from>
    <xdr:to>
      <xdr:col>11</xdr:col>
      <xdr:colOff>819150</xdr:colOff>
      <xdr:row>11</xdr:row>
      <xdr:rowOff>95250</xdr:rowOff>
    </xdr:to>
    <xdr:cxnSp macro="">
      <xdr:nvCxnSpPr>
        <xdr:cNvPr id="5" name="Elbow Connector 4"/>
        <xdr:cNvCxnSpPr/>
      </xdr:nvCxnSpPr>
      <xdr:spPr>
        <a:xfrm>
          <a:off x="7305675" y="1962150"/>
          <a:ext cx="1362075" cy="428625"/>
        </a:xfrm>
        <a:prstGeom prst="bentConnector3">
          <a:avLst>
            <a:gd name="adj1" fmla="val -3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8</xdr:row>
      <xdr:rowOff>180975</xdr:rowOff>
    </xdr:from>
    <xdr:to>
      <xdr:col>12</xdr:col>
      <xdr:colOff>38100</xdr:colOff>
      <xdr:row>15</xdr:row>
      <xdr:rowOff>104775</xdr:rowOff>
    </xdr:to>
    <xdr:cxnSp macro="">
      <xdr:nvCxnSpPr>
        <xdr:cNvPr id="8" name="Elbow Connector 7"/>
        <xdr:cNvCxnSpPr/>
      </xdr:nvCxnSpPr>
      <xdr:spPr>
        <a:xfrm>
          <a:off x="2552700" y="1905000"/>
          <a:ext cx="6781800" cy="1257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9</xdr:row>
      <xdr:rowOff>47625</xdr:rowOff>
    </xdr:from>
    <xdr:to>
      <xdr:col>11</xdr:col>
      <xdr:colOff>828675</xdr:colOff>
      <xdr:row>13</xdr:row>
      <xdr:rowOff>95250</xdr:rowOff>
    </xdr:to>
    <xdr:cxnSp macro="">
      <xdr:nvCxnSpPr>
        <xdr:cNvPr id="13" name="Elbow Connector 12"/>
        <xdr:cNvCxnSpPr/>
      </xdr:nvCxnSpPr>
      <xdr:spPr>
        <a:xfrm>
          <a:off x="5467350" y="1962150"/>
          <a:ext cx="3209925" cy="809625"/>
        </a:xfrm>
        <a:prstGeom prst="bentConnector3">
          <a:avLst>
            <a:gd name="adj1" fmla="val 1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A21" sqref="A21"/>
    </sheetView>
  </sheetViews>
  <sheetFormatPr defaultRowHeight="15" x14ac:dyDescent="0.25"/>
  <cols>
    <col min="1" max="1" width="12.7109375" customWidth="1"/>
    <col min="2" max="2" width="7.28515625" customWidth="1"/>
    <col min="3" max="3" width="11.5703125" bestFit="1" customWidth="1"/>
    <col min="4" max="6" width="12.5703125" bestFit="1" customWidth="1"/>
    <col min="7" max="9" width="21.42578125" bestFit="1" customWidth="1"/>
    <col min="10" max="10" width="21.85546875" bestFit="1" customWidth="1"/>
    <col min="11" max="11" width="16.85546875" customWidth="1"/>
    <col min="12" max="12" width="15.5703125" bestFit="1" customWidth="1"/>
    <col min="13" max="13" width="23" bestFit="1" customWidth="1"/>
    <col min="14" max="15" width="12.5703125" bestFit="1" customWidth="1"/>
    <col min="16" max="16" width="7.5703125" customWidth="1"/>
    <col min="17" max="17" width="14.7109375" bestFit="1" customWidth="1"/>
    <col min="18" max="18" width="14.28515625" bestFit="1" customWidth="1"/>
    <col min="19" max="19" width="12.5703125" bestFit="1" customWidth="1"/>
    <col min="20" max="20" width="14.28515625" bestFit="1" customWidth="1"/>
    <col min="21" max="21" width="12.5703125" bestFit="1" customWidth="1"/>
  </cols>
  <sheetData>
    <row r="1" spans="1:21" x14ac:dyDescent="0.25">
      <c r="A1" s="12" t="s">
        <v>15</v>
      </c>
      <c r="C1" s="17">
        <v>3.1911999999999998</v>
      </c>
      <c r="E1" s="17"/>
    </row>
    <row r="2" spans="1:21" x14ac:dyDescent="0.25">
      <c r="A2" s="12" t="s">
        <v>27</v>
      </c>
      <c r="C2" s="18">
        <v>2.5000000000000001E-2</v>
      </c>
      <c r="E2" s="18"/>
    </row>
    <row r="3" spans="1:21" x14ac:dyDescent="0.25">
      <c r="A3" s="12" t="s">
        <v>29</v>
      </c>
      <c r="B3" s="12"/>
      <c r="C3" s="19">
        <v>200</v>
      </c>
      <c r="E3" s="19"/>
      <c r="O3" s="39" t="s">
        <v>20</v>
      </c>
      <c r="P3" s="39"/>
      <c r="R3" s="39" t="s">
        <v>21</v>
      </c>
      <c r="S3" s="39"/>
      <c r="T3" s="39" t="s">
        <v>16</v>
      </c>
      <c r="U3" s="39"/>
    </row>
    <row r="4" spans="1:21" ht="30" x14ac:dyDescent="0.25">
      <c r="B4" s="6" t="s">
        <v>11</v>
      </c>
      <c r="C4" s="6" t="s">
        <v>12</v>
      </c>
      <c r="D4" s="6" t="s">
        <v>13</v>
      </c>
      <c r="E4" s="6" t="s">
        <v>31</v>
      </c>
      <c r="F4" s="6" t="s">
        <v>14</v>
      </c>
      <c r="G4" s="7" t="s">
        <v>17</v>
      </c>
      <c r="H4" s="24" t="s">
        <v>23</v>
      </c>
      <c r="I4" s="24" t="s">
        <v>22</v>
      </c>
      <c r="J4" s="6" t="s">
        <v>3</v>
      </c>
      <c r="K4" s="6" t="s">
        <v>10</v>
      </c>
      <c r="L4" s="7" t="s">
        <v>30</v>
      </c>
      <c r="M4" s="7" t="s">
        <v>18</v>
      </c>
      <c r="N4" s="7" t="s">
        <v>19</v>
      </c>
      <c r="O4" s="6" t="s">
        <v>6</v>
      </c>
      <c r="P4" s="6" t="s">
        <v>7</v>
      </c>
      <c r="Q4" s="7" t="s">
        <v>25</v>
      </c>
      <c r="R4" s="6" t="s">
        <v>4</v>
      </c>
      <c r="S4" s="6" t="s">
        <v>5</v>
      </c>
      <c r="T4" s="6" t="s">
        <v>14</v>
      </c>
      <c r="U4" s="6" t="s">
        <v>13</v>
      </c>
    </row>
    <row r="5" spans="1:21" x14ac:dyDescent="0.25">
      <c r="A5" s="12" t="s">
        <v>1</v>
      </c>
      <c r="B5" s="21">
        <v>1</v>
      </c>
      <c r="C5" s="20">
        <f>90569.75</f>
        <v>90569.75</v>
      </c>
      <c r="D5" s="3">
        <f>B5*C5</f>
        <v>90569.75</v>
      </c>
      <c r="E5" s="20">
        <f>D5</f>
        <v>90569.75</v>
      </c>
      <c r="F5" s="3"/>
      <c r="G5" s="3">
        <f>D5</f>
        <v>90569.75</v>
      </c>
      <c r="H5" s="25">
        <v>0.75</v>
      </c>
      <c r="I5" s="13">
        <f>G5*H5</f>
        <v>67927.3125</v>
      </c>
      <c r="J5" s="16">
        <v>0</v>
      </c>
      <c r="K5" s="3">
        <f>G5*(1+J5)</f>
        <v>90569.75</v>
      </c>
      <c r="L5" s="16">
        <v>0.33</v>
      </c>
      <c r="M5" s="3">
        <f>G5/(1-L5)</f>
        <v>135178.73134328361</v>
      </c>
      <c r="N5" s="3">
        <f>K5/(1-L5)</f>
        <v>135178.73134328361</v>
      </c>
      <c r="O5" s="16">
        <v>9.2499999999999999E-2</v>
      </c>
      <c r="P5" s="16">
        <v>0.05</v>
      </c>
      <c r="Q5" s="4">
        <f>(N5/(1-(O5+P5)))</f>
        <v>157642.83538575348</v>
      </c>
      <c r="R5" s="16">
        <v>0</v>
      </c>
      <c r="S5" s="16">
        <v>0</v>
      </c>
      <c r="T5" s="3">
        <f>Q5*C1</f>
        <v>503069.81628301647</v>
      </c>
      <c r="U5" s="3">
        <f>Q5</f>
        <v>157642.83538575348</v>
      </c>
    </row>
    <row r="6" spans="1:21" x14ac:dyDescent="0.25">
      <c r="A6" s="12" t="s">
        <v>0</v>
      </c>
      <c r="B6" s="21">
        <v>520</v>
      </c>
      <c r="C6" s="20">
        <v>150</v>
      </c>
      <c r="D6" s="3">
        <f>B6*C6</f>
        <v>78000</v>
      </c>
      <c r="E6" s="20">
        <f>D6*1.1</f>
        <v>85800</v>
      </c>
      <c r="F6" s="3"/>
      <c r="G6" s="3">
        <f>E6</f>
        <v>85800</v>
      </c>
      <c r="H6" s="26">
        <v>0</v>
      </c>
      <c r="I6" s="13">
        <f>G6+(G6*J6)</f>
        <v>94380</v>
      </c>
      <c r="J6" s="16">
        <v>0.1</v>
      </c>
      <c r="K6" s="3">
        <f t="shared" ref="K6:K8" si="0">G6*(1+J6)</f>
        <v>94380.000000000015</v>
      </c>
      <c r="L6" s="16">
        <v>0.33</v>
      </c>
      <c r="M6" s="3">
        <f t="shared" ref="M6:M8" si="1">G6/(1-L6)</f>
        <v>128059.70149253732</v>
      </c>
      <c r="N6" s="3">
        <f t="shared" ref="N6:N8" si="2">K6/(1-L6)</f>
        <v>140865.67164179109</v>
      </c>
      <c r="O6" s="16">
        <v>9.2499999999999999E-2</v>
      </c>
      <c r="P6" s="16">
        <v>0.05</v>
      </c>
      <c r="Q6" s="4">
        <f>(N6/(1-(O6+P6)))</f>
        <v>164274.83573386719</v>
      </c>
      <c r="R6" s="16">
        <v>0</v>
      </c>
      <c r="S6" s="16">
        <v>0</v>
      </c>
      <c r="T6" s="3">
        <f>Q6*C1</f>
        <v>524233.85579391697</v>
      </c>
      <c r="U6" s="3">
        <f t="shared" ref="U6:U8" si="3">Q6</f>
        <v>164274.83573386719</v>
      </c>
    </row>
    <row r="7" spans="1:21" x14ac:dyDescent="0.25">
      <c r="A7" s="12" t="s">
        <v>2</v>
      </c>
      <c r="B7" s="21">
        <v>1120</v>
      </c>
      <c r="C7" s="15">
        <f>C3/C1</f>
        <v>62.67234895963901</v>
      </c>
      <c r="D7" s="3">
        <f>B7*C7</f>
        <v>70193.030834795689</v>
      </c>
      <c r="E7" s="15">
        <f>D7</f>
        <v>70193.030834795689</v>
      </c>
      <c r="F7" s="14">
        <f>B7*C3</f>
        <v>224000</v>
      </c>
      <c r="G7" s="3">
        <f>F7/C1</f>
        <v>70193.030834795689</v>
      </c>
      <c r="H7" s="26">
        <v>0</v>
      </c>
      <c r="I7" s="13">
        <f>G7</f>
        <v>70193.030834795689</v>
      </c>
      <c r="J7" s="16">
        <v>0</v>
      </c>
      <c r="K7" s="3">
        <f t="shared" si="0"/>
        <v>70193.030834795689</v>
      </c>
      <c r="L7" s="16">
        <v>0.2</v>
      </c>
      <c r="M7" s="3">
        <f t="shared" si="1"/>
        <v>87741.288543494607</v>
      </c>
      <c r="N7" s="3">
        <f t="shared" si="2"/>
        <v>87741.288543494607</v>
      </c>
      <c r="O7" s="16">
        <v>9.2499999999999999E-2</v>
      </c>
      <c r="P7" s="16">
        <v>0.05</v>
      </c>
      <c r="Q7" s="4">
        <f t="shared" ref="Q7:Q8" si="4">(N7/(1-(O7+P7)))</f>
        <v>102322.20238308409</v>
      </c>
      <c r="R7" s="16">
        <v>0</v>
      </c>
      <c r="S7" s="16">
        <v>0</v>
      </c>
      <c r="T7" s="3">
        <f>Q7*C1</f>
        <v>326530.61224489793</v>
      </c>
      <c r="U7" s="3">
        <f t="shared" si="3"/>
        <v>102322.20238308409</v>
      </c>
    </row>
    <row r="8" spans="1:21" ht="15.75" thickBot="1" x14ac:dyDescent="0.3">
      <c r="A8" s="12" t="s">
        <v>8</v>
      </c>
      <c r="C8" s="3"/>
      <c r="D8" s="3">
        <f>SUM(K5:K7)*C2</f>
        <v>6378.5695208698926</v>
      </c>
      <c r="E8" s="3">
        <f>D8</f>
        <v>6378.5695208698926</v>
      </c>
      <c r="F8" s="3"/>
      <c r="G8" s="5">
        <f>D8</f>
        <v>6378.5695208698926</v>
      </c>
      <c r="H8" s="27">
        <v>0</v>
      </c>
      <c r="I8" s="28">
        <f>D8</f>
        <v>6378.5695208698926</v>
      </c>
      <c r="J8" s="16">
        <v>0</v>
      </c>
      <c r="K8" s="5">
        <f t="shared" si="0"/>
        <v>6378.5695208698926</v>
      </c>
      <c r="L8" s="16">
        <v>0</v>
      </c>
      <c r="M8" s="5">
        <f t="shared" si="1"/>
        <v>6378.5695208698926</v>
      </c>
      <c r="N8" s="5">
        <f t="shared" si="2"/>
        <v>6378.5695208698926</v>
      </c>
      <c r="O8" s="16">
        <v>9.2499999999999999E-2</v>
      </c>
      <c r="P8" s="16">
        <v>0.05</v>
      </c>
      <c r="Q8" s="10">
        <f t="shared" si="4"/>
        <v>7438.565038915327</v>
      </c>
      <c r="R8" s="16">
        <v>0</v>
      </c>
      <c r="S8" s="16">
        <v>0</v>
      </c>
      <c r="T8" s="5">
        <f>Q8*C1</f>
        <v>23737.948752186589</v>
      </c>
      <c r="U8" s="5">
        <f t="shared" si="3"/>
        <v>7438.565038915327</v>
      </c>
    </row>
    <row r="9" spans="1:21" x14ac:dyDescent="0.25">
      <c r="D9" s="4">
        <f>SUM(D5:D8)</f>
        <v>245141.35035566558</v>
      </c>
      <c r="G9" s="9">
        <f>SUM(G5:G8)</f>
        <v>252941.35035566558</v>
      </c>
      <c r="H9" s="29"/>
      <c r="I9" s="30">
        <f>(I6+I7+I8)+G5/(1+H5)</f>
        <v>222705.74321280845</v>
      </c>
      <c r="K9" s="9">
        <f>SUM(K5:K8)</f>
        <v>261521.35035566558</v>
      </c>
      <c r="M9" s="9">
        <f>SUM(M5:M8)</f>
        <v>357358.29090018541</v>
      </c>
      <c r="N9" s="9">
        <f>SUM(N5:N8)</f>
        <v>370164.26104943914</v>
      </c>
      <c r="Q9" s="9">
        <f>SUM(Q5:Q8)</f>
        <v>431678.4385416201</v>
      </c>
      <c r="T9" s="9">
        <f>SUM(T5:T8)</f>
        <v>1377572.2330740178</v>
      </c>
      <c r="U9" s="9">
        <f>SUM(U5:U8)</f>
        <v>431678.4385416201</v>
      </c>
    </row>
    <row r="10" spans="1:21" x14ac:dyDescent="0.25">
      <c r="A10" s="12" t="s">
        <v>28</v>
      </c>
      <c r="B10" s="12">
        <f>SUM(B6:B7)</f>
        <v>1640</v>
      </c>
      <c r="M10" s="22">
        <v>345202</v>
      </c>
      <c r="N10" s="22">
        <v>357143.79</v>
      </c>
      <c r="T10" s="22">
        <v>1329166.3400000001</v>
      </c>
      <c r="U10" s="22">
        <v>416494.22</v>
      </c>
    </row>
    <row r="12" spans="1:21" x14ac:dyDescent="0.25">
      <c r="M12" s="6" t="s">
        <v>9</v>
      </c>
      <c r="N12" s="11">
        <f>1-(K9/N9)</f>
        <v>0.2934991897536624</v>
      </c>
      <c r="O12" s="23">
        <v>29.24</v>
      </c>
    </row>
    <row r="13" spans="1:21" x14ac:dyDescent="0.25">
      <c r="N13" s="2"/>
    </row>
    <row r="14" spans="1:21" x14ac:dyDescent="0.25">
      <c r="G14" s="6"/>
      <c r="M14" s="6" t="s">
        <v>24</v>
      </c>
      <c r="N14" s="11">
        <f>1-(I9/N9)</f>
        <v>0.39835968339724759</v>
      </c>
      <c r="O14" s="23">
        <v>40.11</v>
      </c>
    </row>
    <row r="15" spans="1:21" x14ac:dyDescent="0.25">
      <c r="N15" s="2"/>
    </row>
    <row r="16" spans="1:21" x14ac:dyDescent="0.25">
      <c r="M16" s="11" t="s">
        <v>26</v>
      </c>
      <c r="N16" s="11">
        <f>1-(D9/N9)</f>
        <v>0.33774981501273427</v>
      </c>
      <c r="O16" s="23">
        <v>31.42</v>
      </c>
    </row>
    <row r="21" spans="1:19" x14ac:dyDescent="0.25">
      <c r="A21" t="s">
        <v>37</v>
      </c>
      <c r="L21" s="39" t="s">
        <v>20</v>
      </c>
      <c r="M21" s="39"/>
      <c r="P21" s="39" t="s">
        <v>21</v>
      </c>
      <c r="Q21" s="39"/>
      <c r="R21" s="39" t="s">
        <v>16</v>
      </c>
      <c r="S21" s="39"/>
    </row>
    <row r="22" spans="1:19" ht="30" x14ac:dyDescent="0.25">
      <c r="B22" s="8" t="s">
        <v>11</v>
      </c>
      <c r="C22" s="8" t="s">
        <v>12</v>
      </c>
      <c r="D22" s="8" t="s">
        <v>13</v>
      </c>
      <c r="E22" s="8" t="s">
        <v>31</v>
      </c>
      <c r="F22" s="8" t="s">
        <v>22</v>
      </c>
      <c r="G22" s="8" t="s">
        <v>3</v>
      </c>
      <c r="H22" s="31" t="s">
        <v>36</v>
      </c>
      <c r="I22" s="8" t="s">
        <v>35</v>
      </c>
      <c r="J22" s="8" t="s">
        <v>34</v>
      </c>
      <c r="K22" s="42" t="s">
        <v>32</v>
      </c>
      <c r="L22" s="37" t="s">
        <v>9</v>
      </c>
      <c r="M22" s="8" t="s">
        <v>6</v>
      </c>
      <c r="N22" s="8" t="s">
        <v>7</v>
      </c>
      <c r="O22" s="7" t="s">
        <v>25</v>
      </c>
      <c r="P22" s="31" t="s">
        <v>4</v>
      </c>
      <c r="Q22" s="31" t="s">
        <v>5</v>
      </c>
      <c r="R22" s="31" t="s">
        <v>14</v>
      </c>
      <c r="S22" s="31" t="s">
        <v>13</v>
      </c>
    </row>
    <row r="23" spans="1:19" x14ac:dyDescent="0.25">
      <c r="A23" s="12" t="s">
        <v>1</v>
      </c>
      <c r="B23" s="21">
        <v>1</v>
      </c>
      <c r="C23" s="33">
        <f>90569.75</f>
        <v>90569.75</v>
      </c>
      <c r="D23" s="34">
        <f>B23*C23</f>
        <v>90569.75</v>
      </c>
      <c r="E23" s="33">
        <f>D23</f>
        <v>90569.75</v>
      </c>
      <c r="F23" s="41">
        <f>D23*0.2</f>
        <v>18113.95</v>
      </c>
      <c r="G23" s="16">
        <v>0</v>
      </c>
      <c r="H23" s="40">
        <f>G23*E23</f>
        <v>0</v>
      </c>
      <c r="I23" s="34">
        <f>E23*(1+G23)</f>
        <v>90569.75</v>
      </c>
      <c r="J23" s="32">
        <f>N5</f>
        <v>135178.73134328361</v>
      </c>
      <c r="K23" s="36">
        <f>(J23-F23)/J23</f>
        <v>0.8660000000000001</v>
      </c>
      <c r="L23" s="38">
        <f>(J23-I23)/J23</f>
        <v>0.33000000000000013</v>
      </c>
      <c r="M23" s="16">
        <v>9.2499999999999999E-2</v>
      </c>
      <c r="N23" s="16">
        <v>0.05</v>
      </c>
      <c r="O23" s="4">
        <f>(J23/(1-(M23+N23)))</f>
        <v>157642.83538575348</v>
      </c>
      <c r="P23" s="16">
        <v>0</v>
      </c>
      <c r="Q23" s="16">
        <v>0</v>
      </c>
      <c r="R23" s="3">
        <f>O23*$C$1</f>
        <v>503069.81628301647</v>
      </c>
      <c r="S23" s="3">
        <f>O23</f>
        <v>157642.83538575348</v>
      </c>
    </row>
    <row r="24" spans="1:19" x14ac:dyDescent="0.25">
      <c r="A24" s="12" t="s">
        <v>0</v>
      </c>
      <c r="B24" s="21">
        <v>520</v>
      </c>
      <c r="C24" s="33">
        <v>150</v>
      </c>
      <c r="D24" s="34">
        <f>B24*C24</f>
        <v>78000</v>
      </c>
      <c r="E24" s="33">
        <f>D24*1.1</f>
        <v>85800</v>
      </c>
      <c r="F24" s="32">
        <f>D24</f>
        <v>78000</v>
      </c>
      <c r="G24" s="16">
        <v>0.1</v>
      </c>
      <c r="H24" s="40">
        <f t="shared" ref="H24:H26" si="5">G24*E24</f>
        <v>8580</v>
      </c>
      <c r="I24" s="34">
        <f>E24*(1+G24)</f>
        <v>94380.000000000015</v>
      </c>
      <c r="J24" s="32">
        <f>N6</f>
        <v>140865.67164179109</v>
      </c>
      <c r="K24" s="36">
        <f>(J24-(F24+H24))/J24</f>
        <v>0.38537190082644651</v>
      </c>
      <c r="L24" s="38">
        <f>(J24-I24)/J24</f>
        <v>0.33000000000000013</v>
      </c>
      <c r="M24" s="16">
        <v>9.2499999999999999E-2</v>
      </c>
      <c r="N24" s="16">
        <v>0.05</v>
      </c>
      <c r="O24" s="4">
        <f t="shared" ref="O24:O26" si="6">(J24/(1-(M24+N24)))</f>
        <v>164274.83573386719</v>
      </c>
      <c r="P24" s="16">
        <v>0</v>
      </c>
      <c r="Q24" s="16">
        <v>0</v>
      </c>
      <c r="R24" s="3">
        <f t="shared" ref="R24:R26" si="7">O24*$C$1</f>
        <v>524233.85579391697</v>
      </c>
      <c r="S24" s="3">
        <f t="shared" ref="S24:S26" si="8">O24</f>
        <v>164274.83573386719</v>
      </c>
    </row>
    <row r="25" spans="1:19" x14ac:dyDescent="0.25">
      <c r="A25" s="12" t="s">
        <v>2</v>
      </c>
      <c r="B25" s="21">
        <v>1120</v>
      </c>
      <c r="C25" s="35">
        <f>C3/C1</f>
        <v>62.67234895963901</v>
      </c>
      <c r="D25" s="34">
        <f>B25*C25</f>
        <v>70193.030834795689</v>
      </c>
      <c r="E25" s="35">
        <f>D25</f>
        <v>70193.030834795689</v>
      </c>
      <c r="F25" s="32">
        <f>D25</f>
        <v>70193.030834795689</v>
      </c>
      <c r="G25" s="16">
        <v>0</v>
      </c>
      <c r="H25" s="40">
        <f t="shared" si="5"/>
        <v>0</v>
      </c>
      <c r="I25" s="34">
        <f>E25*(1+G25)</f>
        <v>70193.030834795689</v>
      </c>
      <c r="J25" s="32">
        <f>N7</f>
        <v>87741.288543494607</v>
      </c>
      <c r="K25" s="36">
        <f>(J25-F25)/J25</f>
        <v>0.19999999999999996</v>
      </c>
      <c r="L25" s="38">
        <f t="shared" ref="L24:L25" si="9">(J25-I25)/J25</f>
        <v>0.19999999999999996</v>
      </c>
      <c r="M25" s="16">
        <v>9.2499999999999999E-2</v>
      </c>
      <c r="N25" s="16">
        <v>0.05</v>
      </c>
      <c r="O25" s="4">
        <f t="shared" si="6"/>
        <v>102322.20238308409</v>
      </c>
      <c r="P25" s="16">
        <v>0</v>
      </c>
      <c r="Q25" s="16">
        <v>0</v>
      </c>
      <c r="R25" s="3">
        <f t="shared" si="7"/>
        <v>326530.61224489793</v>
      </c>
      <c r="S25" s="3">
        <f t="shared" si="8"/>
        <v>102322.20238308409</v>
      </c>
    </row>
    <row r="26" spans="1:19" ht="15.75" thickBot="1" x14ac:dyDescent="0.3">
      <c r="A26" s="12" t="s">
        <v>8</v>
      </c>
      <c r="C26" s="34"/>
      <c r="D26" s="34">
        <f>D8</f>
        <v>6378.5695208698926</v>
      </c>
      <c r="E26" s="34">
        <f>E8</f>
        <v>6378.5695208698926</v>
      </c>
      <c r="F26" s="32">
        <f>D26</f>
        <v>6378.5695208698926</v>
      </c>
      <c r="G26" s="16">
        <v>0</v>
      </c>
      <c r="H26" s="40">
        <f t="shared" si="5"/>
        <v>0</v>
      </c>
      <c r="I26" s="34">
        <f>E26*(1+G26)</f>
        <v>6378.5695208698926</v>
      </c>
      <c r="J26" s="32">
        <f>N8</f>
        <v>6378.5695208698926</v>
      </c>
      <c r="K26" s="43"/>
      <c r="L26" s="38" t="s">
        <v>33</v>
      </c>
      <c r="M26" s="16">
        <v>9.2499999999999999E-2</v>
      </c>
      <c r="N26" s="16">
        <v>0.05</v>
      </c>
      <c r="O26" s="4">
        <f t="shared" si="6"/>
        <v>7438.565038915327</v>
      </c>
      <c r="P26" s="16">
        <v>0</v>
      </c>
      <c r="Q26" s="16">
        <v>0</v>
      </c>
      <c r="R26" s="3">
        <f t="shared" si="7"/>
        <v>23737.948752186589</v>
      </c>
      <c r="S26" s="5">
        <f t="shared" si="8"/>
        <v>7438.565038915327</v>
      </c>
    </row>
    <row r="27" spans="1:19" x14ac:dyDescent="0.25">
      <c r="C27" s="32"/>
      <c r="D27" s="32">
        <f>SUM(D23:D26)</f>
        <v>245141.35035566558</v>
      </c>
      <c r="E27" s="32">
        <f>SUM(E23:E26)</f>
        <v>252941.35035566558</v>
      </c>
      <c r="F27" s="32">
        <f>SUM(F23:F26)</f>
        <v>172685.55035566559</v>
      </c>
      <c r="G27" s="4"/>
      <c r="H27" s="32">
        <f>SUM(H23:H26)</f>
        <v>8580</v>
      </c>
      <c r="I27" s="32">
        <f>SUM(I23:I26)</f>
        <v>261521.35035566558</v>
      </c>
      <c r="J27" s="32">
        <f>SUM(J23:J26)</f>
        <v>370164.26104943914</v>
      </c>
      <c r="K27" s="36">
        <f>(J27-(F27+H27))/J27</f>
        <v>0.51031050420219859</v>
      </c>
      <c r="L27" s="38">
        <f>(J27-I27)/J27</f>
        <v>0.2934991897536624</v>
      </c>
      <c r="O27" s="9">
        <f>SUM(O23:O26)</f>
        <v>431678.4385416201</v>
      </c>
      <c r="R27" s="9">
        <f>SUM(R23:R26)</f>
        <v>1377572.2330740178</v>
      </c>
      <c r="S27" s="9">
        <f>SUM(S23:S26)</f>
        <v>431678.4385416201</v>
      </c>
    </row>
    <row r="28" spans="1:19" x14ac:dyDescent="0.25">
      <c r="A28" s="12" t="s">
        <v>28</v>
      </c>
      <c r="B28" s="12">
        <f>SUM(B24:B25)</f>
        <v>1640</v>
      </c>
      <c r="R28" s="22">
        <v>1329166.3400000001</v>
      </c>
      <c r="S28" s="22">
        <v>416494.22</v>
      </c>
    </row>
    <row r="29" spans="1:19" x14ac:dyDescent="0.25">
      <c r="D29" s="1"/>
    </row>
  </sheetData>
  <mergeCells count="6">
    <mergeCell ref="T3:U3"/>
    <mergeCell ref="O3:P3"/>
    <mergeCell ref="R3:S3"/>
    <mergeCell ref="L21:M21"/>
    <mergeCell ref="P21:Q21"/>
    <mergeCell ref="R21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Takeute</dc:creator>
  <cp:lastModifiedBy>E724969</cp:lastModifiedBy>
  <dcterms:created xsi:type="dcterms:W3CDTF">2017-01-12T16:40:18Z</dcterms:created>
  <dcterms:modified xsi:type="dcterms:W3CDTF">2017-01-24T17:17:03Z</dcterms:modified>
</cp:coreProperties>
</file>