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liveconcordia.sharepoint.com/teams/HVACProject659/Shared Documents/General/"/>
    </mc:Choice>
  </mc:AlternateContent>
  <xr:revisionPtr revIDLastSave="1197" documentId="11_F25DC773A252ABDACC10483A499C65F05BDE58E9" xr6:coauthVersionLast="47" xr6:coauthVersionMax="47" xr10:uidLastSave="{40F05352-873B-430A-AA30-0CE674536807}"/>
  <bookViews>
    <workbookView xWindow="-108" yWindow="-108" windowWidth="23256" windowHeight="12456" firstSheet="4" activeTab="10" xr2:uid="{00000000-000D-0000-FFFF-FFFF00000000}"/>
  </bookViews>
  <sheets>
    <sheet name="Conference room" sheetId="1" r:id="rId1"/>
    <sheet name=" Admin" sheetId="2" r:id="rId2"/>
    <sheet name="Lunch Area" sheetId="3" r:id="rId3"/>
    <sheet name="Board room" sheetId="4" r:id="rId4"/>
    <sheet name="Washrooms" sheetId="5" r:id="rId5"/>
    <sheet name="Common Working Space" sheetId="6" r:id="rId6"/>
    <sheet name="Cabin 1" sheetId="8" r:id="rId7"/>
    <sheet name="Cabin 2" sheetId="7" r:id="rId8"/>
    <sheet name="Lobby" sheetId="9" r:id="rId9"/>
    <sheet name="Total" sheetId="10" r:id="rId10"/>
    <sheet name="Duct Design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O4" i="5"/>
  <c r="P3" i="11"/>
  <c r="P4" i="11"/>
  <c r="F3" i="11"/>
  <c r="L3" i="11" s="1"/>
  <c r="M3" i="11" s="1"/>
  <c r="O3" i="11" s="1"/>
  <c r="E4" i="11"/>
  <c r="E5" i="11" s="1"/>
  <c r="C12" i="11"/>
  <c r="D16" i="10"/>
  <c r="D12" i="10"/>
  <c r="E12" i="10"/>
  <c r="F12" i="10"/>
  <c r="C12" i="10"/>
  <c r="I3" i="10" s="1"/>
  <c r="G8" i="6"/>
  <c r="I8" i="6" s="1"/>
  <c r="R8" i="6" s="1"/>
  <c r="G7" i="6"/>
  <c r="I7" i="6" s="1"/>
  <c r="R7" i="6" s="1"/>
  <c r="J28" i="9"/>
  <c r="L28" i="9" s="1"/>
  <c r="J25" i="9"/>
  <c r="L25" i="9" s="1"/>
  <c r="I24" i="9"/>
  <c r="L24" i="9" s="1"/>
  <c r="H24" i="9"/>
  <c r="K24" i="9" s="1"/>
  <c r="I23" i="9"/>
  <c r="L23" i="9" s="1"/>
  <c r="H23" i="9"/>
  <c r="K23" i="9" s="1"/>
  <c r="I22" i="9"/>
  <c r="L22" i="9" s="1"/>
  <c r="H22" i="9"/>
  <c r="K22" i="9" s="1"/>
  <c r="G22" i="9"/>
  <c r="J22" i="9" s="1"/>
  <c r="L21" i="9"/>
  <c r="K21" i="9"/>
  <c r="J21" i="9"/>
  <c r="J20" i="9"/>
  <c r="L20" i="9" s="1"/>
  <c r="L30" i="9" s="1"/>
  <c r="L19" i="9"/>
  <c r="K19" i="9"/>
  <c r="J19" i="9"/>
  <c r="I13" i="9"/>
  <c r="H13" i="9"/>
  <c r="G8" i="9"/>
  <c r="I8" i="9" s="1"/>
  <c r="G7" i="9"/>
  <c r="R7" i="9" s="1"/>
  <c r="Q6" i="9"/>
  <c r="P6" i="9"/>
  <c r="O6" i="9"/>
  <c r="G6" i="9"/>
  <c r="Q5" i="9"/>
  <c r="P5" i="9"/>
  <c r="O5" i="9"/>
  <c r="G5" i="9"/>
  <c r="Q4" i="9"/>
  <c r="P4" i="9"/>
  <c r="O4" i="9"/>
  <c r="D18" i="9"/>
  <c r="J30" i="8"/>
  <c r="J28" i="8"/>
  <c r="L28" i="8" s="1"/>
  <c r="J25" i="8"/>
  <c r="L25" i="8" s="1"/>
  <c r="I23" i="8"/>
  <c r="L23" i="8" s="1"/>
  <c r="H23" i="8"/>
  <c r="K23" i="8" s="1"/>
  <c r="I22" i="8"/>
  <c r="I24" i="8" s="1"/>
  <c r="H22" i="8"/>
  <c r="K22" i="8" s="1"/>
  <c r="G22" i="8"/>
  <c r="G23" i="8" s="1"/>
  <c r="G24" i="8" s="1"/>
  <c r="L21" i="8"/>
  <c r="K21" i="8"/>
  <c r="J21" i="8"/>
  <c r="J20" i="8"/>
  <c r="L20" i="8" s="1"/>
  <c r="L30" i="8" s="1"/>
  <c r="L19" i="8"/>
  <c r="K19" i="8"/>
  <c r="J19" i="8"/>
  <c r="I13" i="8"/>
  <c r="H13" i="8"/>
  <c r="E13" i="8"/>
  <c r="G13" i="8" s="1"/>
  <c r="G8" i="8"/>
  <c r="I8" i="8" s="1"/>
  <c r="S8" i="8" s="1"/>
  <c r="G7" i="8"/>
  <c r="R7" i="8" s="1"/>
  <c r="T7" i="8" s="1"/>
  <c r="Q6" i="8"/>
  <c r="P6" i="8"/>
  <c r="O6" i="8"/>
  <c r="G6" i="8"/>
  <c r="Q5" i="8"/>
  <c r="P5" i="8"/>
  <c r="O5" i="8"/>
  <c r="G5" i="8"/>
  <c r="Q4" i="8"/>
  <c r="P4" i="8"/>
  <c r="O4" i="8"/>
  <c r="G4" i="8"/>
  <c r="D18" i="8" s="1"/>
  <c r="J28" i="7"/>
  <c r="L28" i="7" s="1"/>
  <c r="J25" i="7"/>
  <c r="L25" i="7" s="1"/>
  <c r="I23" i="7"/>
  <c r="L23" i="7" s="1"/>
  <c r="H23" i="7"/>
  <c r="K23" i="7" s="1"/>
  <c r="I22" i="7"/>
  <c r="I24" i="7" s="1"/>
  <c r="H22" i="7"/>
  <c r="H24" i="7" s="1"/>
  <c r="G22" i="7"/>
  <c r="J22" i="7" s="1"/>
  <c r="L21" i="7"/>
  <c r="K21" i="7"/>
  <c r="J21" i="7"/>
  <c r="J20" i="7"/>
  <c r="L20" i="7" s="1"/>
  <c r="L30" i="7" s="1"/>
  <c r="L19" i="7"/>
  <c r="K19" i="7"/>
  <c r="J19" i="7"/>
  <c r="I13" i="7"/>
  <c r="H13" i="7"/>
  <c r="E13" i="7"/>
  <c r="G13" i="7" s="1"/>
  <c r="G8" i="7"/>
  <c r="I8" i="7" s="1"/>
  <c r="G7" i="7"/>
  <c r="R7" i="7" s="1"/>
  <c r="T7" i="7" s="1"/>
  <c r="Q6" i="7"/>
  <c r="P6" i="7"/>
  <c r="O6" i="7"/>
  <c r="G6" i="7"/>
  <c r="I6" i="7" s="1"/>
  <c r="Q5" i="7"/>
  <c r="P5" i="7"/>
  <c r="O5" i="7"/>
  <c r="G5" i="7"/>
  <c r="I5" i="7" s="1"/>
  <c r="Q4" i="7"/>
  <c r="P4" i="7"/>
  <c r="O4" i="7"/>
  <c r="G4" i="7"/>
  <c r="I4" i="7" s="1"/>
  <c r="Q6" i="5"/>
  <c r="P6" i="5"/>
  <c r="O6" i="5"/>
  <c r="Q5" i="5"/>
  <c r="P5" i="5"/>
  <c r="O5" i="5"/>
  <c r="Q4" i="5"/>
  <c r="P4" i="5"/>
  <c r="H13" i="5"/>
  <c r="J30" i="6"/>
  <c r="L30" i="6" s="1"/>
  <c r="J27" i="6"/>
  <c r="L27" i="6" s="1"/>
  <c r="I25" i="6"/>
  <c r="L25" i="6" s="1"/>
  <c r="H25" i="6"/>
  <c r="K25" i="6" s="1"/>
  <c r="I24" i="6"/>
  <c r="I26" i="6" s="1"/>
  <c r="H24" i="6"/>
  <c r="H26" i="6" s="1"/>
  <c r="G24" i="6"/>
  <c r="G25" i="6" s="1"/>
  <c r="L23" i="6"/>
  <c r="K23" i="6"/>
  <c r="J23" i="6"/>
  <c r="J22" i="6"/>
  <c r="L22" i="6" s="1"/>
  <c r="L32" i="6" s="1"/>
  <c r="L21" i="6"/>
  <c r="K21" i="6"/>
  <c r="J21" i="6"/>
  <c r="I15" i="6"/>
  <c r="H15" i="6"/>
  <c r="E15" i="6"/>
  <c r="G15" i="6" s="1"/>
  <c r="G10" i="6"/>
  <c r="I10" i="6" s="1"/>
  <c r="G9" i="6"/>
  <c r="R9" i="6" s="1"/>
  <c r="Q6" i="6"/>
  <c r="P6" i="6"/>
  <c r="O6" i="6"/>
  <c r="G6" i="6"/>
  <c r="I6" i="6" s="1"/>
  <c r="Q5" i="6"/>
  <c r="P5" i="6"/>
  <c r="O5" i="6"/>
  <c r="G5" i="6"/>
  <c r="I5" i="6" s="1"/>
  <c r="Q4" i="6"/>
  <c r="P4" i="6"/>
  <c r="O4" i="6"/>
  <c r="G4" i="6"/>
  <c r="I4" i="6" s="1"/>
  <c r="J28" i="5"/>
  <c r="L28" i="5" s="1"/>
  <c r="J25" i="5"/>
  <c r="L25" i="5" s="1"/>
  <c r="I23" i="5"/>
  <c r="L23" i="5" s="1"/>
  <c r="H23" i="5"/>
  <c r="K23" i="5" s="1"/>
  <c r="I22" i="5"/>
  <c r="L22" i="5" s="1"/>
  <c r="H22" i="5"/>
  <c r="K22" i="5" s="1"/>
  <c r="G22" i="5"/>
  <c r="J22" i="5" s="1"/>
  <c r="L21" i="5"/>
  <c r="K21" i="5"/>
  <c r="J21" i="5"/>
  <c r="J20" i="5"/>
  <c r="L20" i="5" s="1"/>
  <c r="L30" i="5" s="1"/>
  <c r="L19" i="5"/>
  <c r="K19" i="5"/>
  <c r="J19" i="5"/>
  <c r="I13" i="5"/>
  <c r="E13" i="5"/>
  <c r="G13" i="5" s="1"/>
  <c r="G8" i="5"/>
  <c r="I8" i="5" s="1"/>
  <c r="R8" i="5" s="1"/>
  <c r="G7" i="5"/>
  <c r="R7" i="5" s="1"/>
  <c r="G6" i="5"/>
  <c r="I6" i="5" s="1"/>
  <c r="G5" i="5"/>
  <c r="I5" i="5" s="1"/>
  <c r="G4" i="5"/>
  <c r="D18" i="5" s="1"/>
  <c r="J28" i="4"/>
  <c r="L28" i="4" s="1"/>
  <c r="J25" i="4"/>
  <c r="K25" i="4" s="1"/>
  <c r="I23" i="4"/>
  <c r="L23" i="4" s="1"/>
  <c r="H23" i="4"/>
  <c r="K23" i="4" s="1"/>
  <c r="I22" i="4"/>
  <c r="I24" i="4" s="1"/>
  <c r="H22" i="4"/>
  <c r="K22" i="4" s="1"/>
  <c r="G22" i="4"/>
  <c r="J22" i="4" s="1"/>
  <c r="L21" i="4"/>
  <c r="K21" i="4"/>
  <c r="J21" i="4"/>
  <c r="J20" i="4"/>
  <c r="L20" i="4" s="1"/>
  <c r="L30" i="4" s="1"/>
  <c r="L19" i="4"/>
  <c r="K19" i="4"/>
  <c r="J19" i="4"/>
  <c r="I13" i="4"/>
  <c r="H13" i="4"/>
  <c r="E13" i="4"/>
  <c r="G13" i="4" s="1"/>
  <c r="G8" i="4"/>
  <c r="I8" i="4" s="1"/>
  <c r="T8" i="4" s="1"/>
  <c r="G7" i="4"/>
  <c r="R7" i="4" s="1"/>
  <c r="G6" i="4"/>
  <c r="I6" i="4" s="1"/>
  <c r="T6" i="4" s="1"/>
  <c r="Q5" i="4"/>
  <c r="P5" i="4"/>
  <c r="O5" i="4"/>
  <c r="G5" i="4"/>
  <c r="Q4" i="4"/>
  <c r="P4" i="4"/>
  <c r="O4" i="4"/>
  <c r="G4" i="4"/>
  <c r="D18" i="4" s="1"/>
  <c r="J28" i="3"/>
  <c r="K28" i="3" s="1"/>
  <c r="J25" i="3"/>
  <c r="L25" i="3" s="1"/>
  <c r="I23" i="3"/>
  <c r="L23" i="3" s="1"/>
  <c r="H23" i="3"/>
  <c r="K23" i="3" s="1"/>
  <c r="I22" i="3"/>
  <c r="L22" i="3" s="1"/>
  <c r="H22" i="3"/>
  <c r="K22" i="3" s="1"/>
  <c r="G22" i="3"/>
  <c r="J22" i="3" s="1"/>
  <c r="L21" i="3"/>
  <c r="K21" i="3"/>
  <c r="J21" i="3"/>
  <c r="J20" i="3"/>
  <c r="L20" i="3" s="1"/>
  <c r="L19" i="3"/>
  <c r="K19" i="3"/>
  <c r="J19" i="3"/>
  <c r="I13" i="3"/>
  <c r="H13" i="3"/>
  <c r="E13" i="3"/>
  <c r="G13" i="3" s="1"/>
  <c r="G8" i="3"/>
  <c r="I8" i="3" s="1"/>
  <c r="G7" i="3"/>
  <c r="Q6" i="3"/>
  <c r="P6" i="3"/>
  <c r="O6" i="3"/>
  <c r="G6" i="3"/>
  <c r="I6" i="3" s="1"/>
  <c r="Q5" i="3"/>
  <c r="P5" i="3"/>
  <c r="O5" i="3"/>
  <c r="G5" i="3"/>
  <c r="Q4" i="3"/>
  <c r="P4" i="3"/>
  <c r="O4" i="3"/>
  <c r="G4" i="3"/>
  <c r="I4" i="3" s="1"/>
  <c r="I23" i="2"/>
  <c r="L23" i="2" s="1"/>
  <c r="H23" i="2"/>
  <c r="K23" i="2" s="1"/>
  <c r="I22" i="2"/>
  <c r="L22" i="2" s="1"/>
  <c r="H22" i="2"/>
  <c r="K22" i="2" s="1"/>
  <c r="G22" i="2"/>
  <c r="G23" i="2" s="1"/>
  <c r="J23" i="2" s="1"/>
  <c r="L21" i="2"/>
  <c r="K21" i="2"/>
  <c r="J21" i="2"/>
  <c r="J20" i="2"/>
  <c r="L20" i="2" s="1"/>
  <c r="L25" i="2" s="1"/>
  <c r="L19" i="2"/>
  <c r="K19" i="2"/>
  <c r="J19" i="2"/>
  <c r="I13" i="2"/>
  <c r="H13" i="2"/>
  <c r="E13" i="2"/>
  <c r="G13" i="2" s="1"/>
  <c r="J13" i="2" s="1"/>
  <c r="G8" i="2"/>
  <c r="I8" i="2" s="1"/>
  <c r="G7" i="2"/>
  <c r="I7" i="2" s="1"/>
  <c r="Q6" i="2"/>
  <c r="P6" i="2"/>
  <c r="O6" i="2"/>
  <c r="G6" i="2"/>
  <c r="Q5" i="2"/>
  <c r="P5" i="2"/>
  <c r="O5" i="2"/>
  <c r="G5" i="2"/>
  <c r="Q4" i="2"/>
  <c r="P4" i="2"/>
  <c r="O4" i="2"/>
  <c r="G4" i="2"/>
  <c r="I4" i="2" s="1"/>
  <c r="L21" i="1"/>
  <c r="K21" i="1"/>
  <c r="J21" i="1"/>
  <c r="I23" i="1"/>
  <c r="L23" i="1" s="1"/>
  <c r="I22" i="1"/>
  <c r="L22" i="1" s="1"/>
  <c r="H23" i="1"/>
  <c r="K23" i="1" s="1"/>
  <c r="H22" i="1"/>
  <c r="K22" i="1" s="1"/>
  <c r="G22" i="1"/>
  <c r="J22" i="1" s="1"/>
  <c r="J20" i="1"/>
  <c r="L20" i="1" s="1"/>
  <c r="L25" i="1" s="1"/>
  <c r="L19" i="1"/>
  <c r="K19" i="1"/>
  <c r="J19" i="1"/>
  <c r="I13" i="1"/>
  <c r="H13" i="1"/>
  <c r="E13" i="1"/>
  <c r="G13" i="1" s="1"/>
  <c r="Q6" i="1"/>
  <c r="T6" i="1" s="1"/>
  <c r="P6" i="1"/>
  <c r="S6" i="1" s="1"/>
  <c r="Q5" i="1"/>
  <c r="P5" i="1"/>
  <c r="Q4" i="1"/>
  <c r="P4" i="1"/>
  <c r="O6" i="1"/>
  <c r="R6" i="1" s="1"/>
  <c r="O5" i="1"/>
  <c r="O4" i="1"/>
  <c r="G8" i="1"/>
  <c r="I8" i="1" s="1"/>
  <c r="G7" i="1"/>
  <c r="I7" i="1" s="1"/>
  <c r="G6" i="1"/>
  <c r="G5" i="1"/>
  <c r="I5" i="1" s="1"/>
  <c r="G4" i="1"/>
  <c r="I4" i="1" s="1"/>
  <c r="T7" i="6" l="1"/>
  <c r="S7" i="6"/>
  <c r="T8" i="6"/>
  <c r="S8" i="6"/>
  <c r="I5" i="8"/>
  <c r="T5" i="8" s="1"/>
  <c r="J22" i="8"/>
  <c r="L22" i="8"/>
  <c r="J30" i="7"/>
  <c r="G23" i="7"/>
  <c r="G24" i="7" s="1"/>
  <c r="G26" i="7" s="1"/>
  <c r="I7" i="7"/>
  <c r="K25" i="9"/>
  <c r="H26" i="9"/>
  <c r="H27" i="9" s="1"/>
  <c r="K27" i="9" s="1"/>
  <c r="I26" i="9"/>
  <c r="I27" i="9" s="1"/>
  <c r="L27" i="9" s="1"/>
  <c r="G23" i="9"/>
  <c r="G24" i="9" s="1"/>
  <c r="J24" i="9" s="1"/>
  <c r="G23" i="5"/>
  <c r="G24" i="5" s="1"/>
  <c r="G26" i="5" s="1"/>
  <c r="H24" i="5"/>
  <c r="K24" i="5" s="1"/>
  <c r="I24" i="5"/>
  <c r="L24" i="5" s="1"/>
  <c r="H26" i="5"/>
  <c r="H27" i="5" s="1"/>
  <c r="K27" i="5" s="1"/>
  <c r="I26" i="5"/>
  <c r="L26" i="5" s="1"/>
  <c r="J30" i="4"/>
  <c r="R6" i="4"/>
  <c r="S6" i="4"/>
  <c r="I5" i="4"/>
  <c r="J30" i="3"/>
  <c r="I6" i="2"/>
  <c r="R6" i="2" s="1"/>
  <c r="I5" i="2"/>
  <c r="J25" i="1"/>
  <c r="F4" i="11"/>
  <c r="G3" i="11"/>
  <c r="F5" i="11"/>
  <c r="E6" i="11"/>
  <c r="K13" i="1"/>
  <c r="J13" i="1"/>
  <c r="G23" i="1"/>
  <c r="J23" i="1" s="1"/>
  <c r="D18" i="1"/>
  <c r="K20" i="1"/>
  <c r="K25" i="1" s="1"/>
  <c r="R7" i="1"/>
  <c r="T7" i="1" s="1"/>
  <c r="J32" i="6"/>
  <c r="J30" i="9"/>
  <c r="I5" i="9"/>
  <c r="R5" i="9" s="1"/>
  <c r="I6" i="9"/>
  <c r="R6" i="9" s="1"/>
  <c r="S7" i="9"/>
  <c r="T7" i="9"/>
  <c r="S8" i="9"/>
  <c r="T8" i="9"/>
  <c r="R8" i="9"/>
  <c r="L18" i="9"/>
  <c r="L29" i="9" s="1"/>
  <c r="K18" i="9"/>
  <c r="K29" i="9" s="1"/>
  <c r="J18" i="9"/>
  <c r="I4" i="9"/>
  <c r="E13" i="9" s="1"/>
  <c r="G13" i="9" s="1"/>
  <c r="K13" i="9" s="1"/>
  <c r="K20" i="9"/>
  <c r="K30" i="9" s="1"/>
  <c r="I7" i="9"/>
  <c r="K28" i="9"/>
  <c r="R5" i="8"/>
  <c r="S5" i="8"/>
  <c r="I6" i="8"/>
  <c r="T6" i="8" s="1"/>
  <c r="I7" i="8"/>
  <c r="K13" i="8"/>
  <c r="D34" i="8" s="1"/>
  <c r="D35" i="8" s="1"/>
  <c r="D36" i="8" s="1"/>
  <c r="J13" i="8"/>
  <c r="R6" i="8"/>
  <c r="S6" i="8"/>
  <c r="K18" i="8"/>
  <c r="K29" i="8" s="1"/>
  <c r="J18" i="8"/>
  <c r="L18" i="8"/>
  <c r="L29" i="8" s="1"/>
  <c r="L24" i="8"/>
  <c r="I26" i="8"/>
  <c r="G26" i="8"/>
  <c r="J24" i="8"/>
  <c r="R8" i="8"/>
  <c r="J23" i="8"/>
  <c r="I4" i="8"/>
  <c r="T8" i="8"/>
  <c r="K20" i="8"/>
  <c r="K30" i="8" s="1"/>
  <c r="H24" i="8"/>
  <c r="K28" i="8"/>
  <c r="S7" i="8"/>
  <c r="K25" i="8"/>
  <c r="D18" i="7"/>
  <c r="L18" i="7" s="1"/>
  <c r="T5" i="7"/>
  <c r="K13" i="7"/>
  <c r="J13" i="7"/>
  <c r="T6" i="7"/>
  <c r="S6" i="7"/>
  <c r="R6" i="7"/>
  <c r="K24" i="7"/>
  <c r="H26" i="7"/>
  <c r="I26" i="7"/>
  <c r="L24" i="7"/>
  <c r="T4" i="7"/>
  <c r="S4" i="7"/>
  <c r="R4" i="7"/>
  <c r="T8" i="7"/>
  <c r="S8" i="7"/>
  <c r="R8" i="7"/>
  <c r="K28" i="7"/>
  <c r="S7" i="7"/>
  <c r="K25" i="7"/>
  <c r="K22" i="7"/>
  <c r="R5" i="7"/>
  <c r="L22" i="7"/>
  <c r="S5" i="7"/>
  <c r="K20" i="7"/>
  <c r="K30" i="7" s="1"/>
  <c r="D20" i="6"/>
  <c r="L20" i="6" s="1"/>
  <c r="T6" i="6"/>
  <c r="S6" i="6"/>
  <c r="R6" i="6"/>
  <c r="G26" i="6"/>
  <c r="J25" i="6"/>
  <c r="H28" i="6"/>
  <c r="K26" i="6"/>
  <c r="T9" i="6"/>
  <c r="S9" i="6"/>
  <c r="T5" i="6"/>
  <c r="S5" i="6"/>
  <c r="R5" i="6"/>
  <c r="I28" i="6"/>
  <c r="L26" i="6"/>
  <c r="T10" i="6"/>
  <c r="S10" i="6"/>
  <c r="R10" i="6"/>
  <c r="K15" i="6"/>
  <c r="D36" i="6" s="1"/>
  <c r="D37" i="6" s="1"/>
  <c r="D38" i="6" s="1"/>
  <c r="J15" i="6"/>
  <c r="T4" i="6"/>
  <c r="S4" i="6"/>
  <c r="R4" i="6"/>
  <c r="R11" i="6" s="1"/>
  <c r="I9" i="6"/>
  <c r="K30" i="6"/>
  <c r="J24" i="6"/>
  <c r="K27" i="6"/>
  <c r="K24" i="6"/>
  <c r="L24" i="6"/>
  <c r="K22" i="6"/>
  <c r="K32" i="6" s="1"/>
  <c r="J30" i="5"/>
  <c r="I7" i="5"/>
  <c r="R5" i="5"/>
  <c r="S5" i="5"/>
  <c r="T5" i="5"/>
  <c r="R6" i="5"/>
  <c r="T6" i="5"/>
  <c r="S6" i="5"/>
  <c r="K18" i="5"/>
  <c r="K29" i="5" s="1"/>
  <c r="J18" i="5"/>
  <c r="J29" i="5" s="1"/>
  <c r="L18" i="5"/>
  <c r="L29" i="5" s="1"/>
  <c r="K13" i="5"/>
  <c r="J13" i="5"/>
  <c r="T7" i="5"/>
  <c r="S7" i="5"/>
  <c r="S8" i="5"/>
  <c r="I4" i="5"/>
  <c r="R4" i="5" s="1"/>
  <c r="T8" i="5"/>
  <c r="K26" i="5"/>
  <c r="K20" i="5"/>
  <c r="K30" i="5" s="1"/>
  <c r="K28" i="5"/>
  <c r="K25" i="5"/>
  <c r="L25" i="4"/>
  <c r="L24" i="4"/>
  <c r="I26" i="4"/>
  <c r="L26" i="4" s="1"/>
  <c r="L22" i="4"/>
  <c r="G23" i="4"/>
  <c r="J23" i="4" s="1"/>
  <c r="H24" i="4"/>
  <c r="I7" i="4"/>
  <c r="R5" i="4"/>
  <c r="T5" i="4"/>
  <c r="S5" i="4"/>
  <c r="T7" i="4"/>
  <c r="S7" i="4"/>
  <c r="K13" i="4"/>
  <c r="J13" i="4"/>
  <c r="K18" i="4"/>
  <c r="J18" i="4"/>
  <c r="L18" i="4"/>
  <c r="R8" i="4"/>
  <c r="I4" i="4"/>
  <c r="K20" i="4"/>
  <c r="K30" i="4" s="1"/>
  <c r="K28" i="4"/>
  <c r="S8" i="4"/>
  <c r="L28" i="3"/>
  <c r="L30" i="3" s="1"/>
  <c r="H24" i="3"/>
  <c r="I24" i="3"/>
  <c r="K25" i="3"/>
  <c r="I5" i="3"/>
  <c r="T5" i="3" s="1"/>
  <c r="J13" i="3"/>
  <c r="R4" i="3"/>
  <c r="S4" i="3"/>
  <c r="T4" i="3"/>
  <c r="D18" i="3"/>
  <c r="L18" i="3" s="1"/>
  <c r="T8" i="3"/>
  <c r="S8" i="3"/>
  <c r="R8" i="3"/>
  <c r="R6" i="3"/>
  <c r="T6" i="3"/>
  <c r="S6" i="3"/>
  <c r="I7" i="3"/>
  <c r="G23" i="3"/>
  <c r="R7" i="3"/>
  <c r="K13" i="3"/>
  <c r="K20" i="3"/>
  <c r="K30" i="3" s="1"/>
  <c r="K13" i="2"/>
  <c r="D18" i="2"/>
  <c r="J18" i="2" s="1"/>
  <c r="T5" i="2"/>
  <c r="S5" i="2"/>
  <c r="R5" i="2"/>
  <c r="T4" i="2"/>
  <c r="S4" i="2"/>
  <c r="R4" i="2"/>
  <c r="S8" i="2"/>
  <c r="R8" i="2"/>
  <c r="T8" i="2"/>
  <c r="R7" i="2"/>
  <c r="J22" i="2"/>
  <c r="J25" i="2"/>
  <c r="D29" i="2" s="1"/>
  <c r="D30" i="2" s="1"/>
  <c r="D31" i="2" s="1"/>
  <c r="K20" i="2"/>
  <c r="K25" i="2" s="1"/>
  <c r="T4" i="1"/>
  <c r="S4" i="1"/>
  <c r="R4" i="1"/>
  <c r="S5" i="1"/>
  <c r="R5" i="1"/>
  <c r="T5" i="1"/>
  <c r="S8" i="1"/>
  <c r="T8" i="1"/>
  <c r="R8" i="1"/>
  <c r="S11" i="6" l="1"/>
  <c r="T11" i="6"/>
  <c r="D34" i="7"/>
  <c r="D35" i="7" s="1"/>
  <c r="D36" i="7" s="1"/>
  <c r="J24" i="7"/>
  <c r="J23" i="7"/>
  <c r="S5" i="9"/>
  <c r="T5" i="9"/>
  <c r="J13" i="9"/>
  <c r="J29" i="9"/>
  <c r="D34" i="9"/>
  <c r="D35" i="9" s="1"/>
  <c r="D36" i="9" s="1"/>
  <c r="G26" i="9"/>
  <c r="G27" i="9" s="1"/>
  <c r="J27" i="9" s="1"/>
  <c r="L26" i="9"/>
  <c r="K26" i="9"/>
  <c r="S6" i="9"/>
  <c r="J23" i="9"/>
  <c r="T6" i="9"/>
  <c r="J24" i="5"/>
  <c r="J23" i="5"/>
  <c r="I27" i="5"/>
  <c r="L27" i="5" s="1"/>
  <c r="L29" i="4"/>
  <c r="T6" i="2"/>
  <c r="S6" i="2"/>
  <c r="R9" i="2"/>
  <c r="D29" i="1"/>
  <c r="D30" i="1" s="1"/>
  <c r="D31" i="1" s="1"/>
  <c r="P5" i="11"/>
  <c r="G5" i="11"/>
  <c r="L5" i="11"/>
  <c r="M5" i="11" s="1"/>
  <c r="O5" i="11" s="1"/>
  <c r="L4" i="11"/>
  <c r="M4" i="11" s="1"/>
  <c r="O4" i="11" s="1"/>
  <c r="G4" i="11"/>
  <c r="F6" i="11"/>
  <c r="E7" i="11"/>
  <c r="S7" i="1"/>
  <c r="S9" i="1" s="1"/>
  <c r="C30" i="1" s="1"/>
  <c r="E30" i="1" s="1"/>
  <c r="F30" i="1" s="1"/>
  <c r="L18" i="1"/>
  <c r="L24" i="1" s="1"/>
  <c r="K18" i="1"/>
  <c r="K24" i="1" s="1"/>
  <c r="J18" i="1"/>
  <c r="J24" i="1" s="1"/>
  <c r="L31" i="6"/>
  <c r="C38" i="6" s="1"/>
  <c r="E38" i="6" s="1"/>
  <c r="F38" i="6" s="1"/>
  <c r="T4" i="9"/>
  <c r="S4" i="9"/>
  <c r="R4" i="9"/>
  <c r="S4" i="8"/>
  <c r="R4" i="8"/>
  <c r="R9" i="8" s="1"/>
  <c r="T4" i="8"/>
  <c r="G27" i="8"/>
  <c r="J27" i="8" s="1"/>
  <c r="J26" i="8"/>
  <c r="L26" i="8"/>
  <c r="I27" i="8"/>
  <c r="L27" i="8" s="1"/>
  <c r="J29" i="8"/>
  <c r="H26" i="8"/>
  <c r="K24" i="8"/>
  <c r="L29" i="7"/>
  <c r="K18" i="7"/>
  <c r="K29" i="7" s="1"/>
  <c r="J18" i="7"/>
  <c r="S9" i="7"/>
  <c r="I27" i="7"/>
  <c r="L27" i="7" s="1"/>
  <c r="L26" i="7"/>
  <c r="G27" i="7"/>
  <c r="J27" i="7" s="1"/>
  <c r="J26" i="7"/>
  <c r="R9" i="7"/>
  <c r="T9" i="7"/>
  <c r="H27" i="7"/>
  <c r="K27" i="7" s="1"/>
  <c r="K26" i="7"/>
  <c r="R9" i="5"/>
  <c r="K20" i="6"/>
  <c r="J20" i="6"/>
  <c r="J31" i="6" s="1"/>
  <c r="C36" i="6"/>
  <c r="E36" i="6" s="1"/>
  <c r="F36" i="6" s="1"/>
  <c r="I29" i="6"/>
  <c r="L29" i="6" s="1"/>
  <c r="L28" i="6"/>
  <c r="H29" i="6"/>
  <c r="K29" i="6" s="1"/>
  <c r="K28" i="6"/>
  <c r="J26" i="6"/>
  <c r="G28" i="6"/>
  <c r="D34" i="5"/>
  <c r="D35" i="5" s="1"/>
  <c r="D36" i="5" s="1"/>
  <c r="T4" i="5"/>
  <c r="S4" i="5"/>
  <c r="G27" i="5"/>
  <c r="J27" i="5" s="1"/>
  <c r="J26" i="5"/>
  <c r="I27" i="4"/>
  <c r="L27" i="4" s="1"/>
  <c r="K24" i="4"/>
  <c r="H26" i="4"/>
  <c r="G24" i="4"/>
  <c r="G26" i="4" s="1"/>
  <c r="D34" i="4"/>
  <c r="D35" i="4" s="1"/>
  <c r="D36" i="4" s="1"/>
  <c r="S4" i="4"/>
  <c r="S9" i="4" s="1"/>
  <c r="T4" i="4"/>
  <c r="T9" i="4" s="1"/>
  <c r="R4" i="4"/>
  <c r="R9" i="4" s="1"/>
  <c r="R5" i="3"/>
  <c r="R9" i="3" s="1"/>
  <c r="S5" i="3"/>
  <c r="L24" i="3"/>
  <c r="I26" i="3"/>
  <c r="K24" i="3"/>
  <c r="H26" i="3"/>
  <c r="D34" i="3"/>
  <c r="D35" i="3" s="1"/>
  <c r="D36" i="3" s="1"/>
  <c r="J23" i="3"/>
  <c r="G24" i="3"/>
  <c r="K18" i="3"/>
  <c r="J18" i="3"/>
  <c r="S7" i="3"/>
  <c r="T7" i="3"/>
  <c r="L18" i="2"/>
  <c r="L24" i="2" s="1"/>
  <c r="K18" i="2"/>
  <c r="K24" i="2" s="1"/>
  <c r="J24" i="2"/>
  <c r="T7" i="2"/>
  <c r="S7" i="2"/>
  <c r="S9" i="2" s="1"/>
  <c r="T9" i="1"/>
  <c r="R9" i="1"/>
  <c r="T9" i="8" l="1"/>
  <c r="C36" i="8" s="1"/>
  <c r="E36" i="8" s="1"/>
  <c r="S9" i="8"/>
  <c r="C35" i="8" s="1"/>
  <c r="E35" i="8" s="1"/>
  <c r="F35" i="8" s="1"/>
  <c r="C36" i="7"/>
  <c r="E36" i="7" s="1"/>
  <c r="F36" i="7" s="1"/>
  <c r="C35" i="7"/>
  <c r="E35" i="7" s="1"/>
  <c r="J29" i="7"/>
  <c r="C34" i="7" s="1"/>
  <c r="E34" i="7" s="1"/>
  <c r="F34" i="7" s="1"/>
  <c r="R9" i="9"/>
  <c r="C34" i="9" s="1"/>
  <c r="E34" i="9" s="1"/>
  <c r="F34" i="9" s="1"/>
  <c r="S9" i="9"/>
  <c r="C35" i="9" s="1"/>
  <c r="E35" i="9" s="1"/>
  <c r="T9" i="9"/>
  <c r="C36" i="9" s="1"/>
  <c r="E36" i="9" s="1"/>
  <c r="F36" i="9" s="1"/>
  <c r="J26" i="9"/>
  <c r="K26" i="3"/>
  <c r="K29" i="3" s="1"/>
  <c r="H27" i="3"/>
  <c r="K27" i="3" s="1"/>
  <c r="L26" i="3"/>
  <c r="I27" i="3"/>
  <c r="L27" i="3" s="1"/>
  <c r="T9" i="2"/>
  <c r="C31" i="2" s="1"/>
  <c r="E31" i="2" s="1"/>
  <c r="C29" i="1"/>
  <c r="E29" i="1" s="1"/>
  <c r="F29" i="1" s="1"/>
  <c r="C31" i="1"/>
  <c r="E31" i="1" s="1"/>
  <c r="P6" i="11"/>
  <c r="G6" i="11"/>
  <c r="L6" i="11"/>
  <c r="M6" i="11" s="1"/>
  <c r="O6" i="11" s="1"/>
  <c r="F7" i="11"/>
  <c r="E8" i="11"/>
  <c r="H29" i="1"/>
  <c r="F31" i="1"/>
  <c r="K31" i="6"/>
  <c r="C37" i="6" s="1"/>
  <c r="E37" i="6" s="1"/>
  <c r="H27" i="8"/>
  <c r="K27" i="8" s="1"/>
  <c r="K26" i="8"/>
  <c r="C34" i="8"/>
  <c r="E34" i="8" s="1"/>
  <c r="F34" i="8" s="1"/>
  <c r="T9" i="5"/>
  <c r="C36" i="5" s="1"/>
  <c r="E36" i="5" s="1"/>
  <c r="S9" i="5"/>
  <c r="C35" i="5" s="1"/>
  <c r="E35" i="5" s="1"/>
  <c r="F35" i="5" s="1"/>
  <c r="G29" i="6"/>
  <c r="J29" i="6" s="1"/>
  <c r="J28" i="6"/>
  <c r="C34" i="5"/>
  <c r="E34" i="5" s="1"/>
  <c r="F34" i="5" s="1"/>
  <c r="H27" i="4"/>
  <c r="K27" i="4" s="1"/>
  <c r="K26" i="4"/>
  <c r="K29" i="4" s="1"/>
  <c r="J24" i="4"/>
  <c r="C36" i="4"/>
  <c r="E36" i="4" s="1"/>
  <c r="J26" i="4"/>
  <c r="J29" i="4" s="1"/>
  <c r="G27" i="4"/>
  <c r="J27" i="4" s="1"/>
  <c r="S9" i="3"/>
  <c r="J24" i="3"/>
  <c r="G26" i="3"/>
  <c r="T9" i="3"/>
  <c r="C30" i="2"/>
  <c r="E30" i="2" s="1"/>
  <c r="F30" i="2" s="1"/>
  <c r="C29" i="2"/>
  <c r="E29" i="2" s="1"/>
  <c r="F29" i="2" s="1"/>
  <c r="F37" i="6" l="1"/>
  <c r="H36" i="6"/>
  <c r="F36" i="8"/>
  <c r="H34" i="8"/>
  <c r="F35" i="7"/>
  <c r="H34" i="7"/>
  <c r="F35" i="9"/>
  <c r="H34" i="9"/>
  <c r="F36" i="5"/>
  <c r="H34" i="5"/>
  <c r="F36" i="4"/>
  <c r="H34" i="4"/>
  <c r="L29" i="3"/>
  <c r="C35" i="3"/>
  <c r="E35" i="3" s="1"/>
  <c r="F35" i="3" s="1"/>
  <c r="C36" i="3"/>
  <c r="E36" i="3" s="1"/>
  <c r="F36" i="3" s="1"/>
  <c r="J26" i="3"/>
  <c r="G27" i="3"/>
  <c r="J27" i="3" s="1"/>
  <c r="F31" i="2"/>
  <c r="H29" i="2"/>
  <c r="P7" i="11"/>
  <c r="G7" i="11"/>
  <c r="L7" i="11"/>
  <c r="M7" i="11" s="1"/>
  <c r="O7" i="11" s="1"/>
  <c r="F8" i="11"/>
  <c r="E9" i="11"/>
  <c r="J29" i="1"/>
  <c r="I29" i="1"/>
  <c r="C35" i="4"/>
  <c r="E35" i="4" s="1"/>
  <c r="F35" i="4" s="1"/>
  <c r="C34" i="4"/>
  <c r="E34" i="4" s="1"/>
  <c r="F34" i="4" s="1"/>
  <c r="J36" i="6" l="1"/>
  <c r="I36" i="6"/>
  <c r="J34" i="8"/>
  <c r="I34" i="8"/>
  <c r="J34" i="7"/>
  <c r="I34" i="7"/>
  <c r="J34" i="9"/>
  <c r="I34" i="9"/>
  <c r="J34" i="5"/>
  <c r="I34" i="5"/>
  <c r="J34" i="4"/>
  <c r="I34" i="4"/>
  <c r="J29" i="3"/>
  <c r="C34" i="3" s="1"/>
  <c r="E34" i="3" s="1"/>
  <c r="F34" i="3" s="1"/>
  <c r="H34" i="3"/>
  <c r="J34" i="3" s="1"/>
  <c r="J29" i="2"/>
  <c r="I29" i="2"/>
  <c r="P8" i="11"/>
  <c r="G8" i="11"/>
  <c r="L8" i="11"/>
  <c r="M8" i="11" s="1"/>
  <c r="O8" i="11" s="1"/>
  <c r="F9" i="11"/>
  <c r="E10" i="11"/>
  <c r="I34" i="3" l="1"/>
  <c r="P9" i="11"/>
  <c r="L9" i="11"/>
  <c r="M9" i="11" s="1"/>
  <c r="O9" i="11" s="1"/>
  <c r="G9" i="11"/>
  <c r="F10" i="11"/>
  <c r="E11" i="11"/>
  <c r="P10" i="11" s="1"/>
  <c r="F11" i="11" l="1"/>
  <c r="L10" i="11"/>
  <c r="M10" i="11" s="1"/>
  <c r="O10" i="11" s="1"/>
  <c r="G10" i="11"/>
  <c r="G11" i="11" l="1"/>
  <c r="L11" i="11"/>
  <c r="M11" i="11" s="1"/>
  <c r="O11" i="11" s="1"/>
  <c r="O12" i="11" s="1"/>
</calcChain>
</file>

<file path=xl/sharedStrings.xml><?xml version="1.0" encoding="utf-8"?>
<sst xmlns="http://schemas.openxmlformats.org/spreadsheetml/2006/main" count="559" uniqueCount="121">
  <si>
    <t>Contents</t>
  </si>
  <si>
    <t>Length
(m)</t>
  </si>
  <si>
    <t>Width
(m)</t>
  </si>
  <si>
    <t>Height
(m)</t>
  </si>
  <si>
    <t>LM</t>
  </si>
  <si>
    <t>SC</t>
  </si>
  <si>
    <t>Corrected CLTD</t>
  </si>
  <si>
    <t>Cooling Load Q 
(W)</t>
  </si>
  <si>
    <t>Roof</t>
  </si>
  <si>
    <t>Wall 
(North)</t>
  </si>
  <si>
    <t>Wall 
(West)</t>
  </si>
  <si>
    <t>Glass Solar
(North)</t>
  </si>
  <si>
    <t>Glass Window 
(Conduction)</t>
  </si>
  <si>
    <t>CLTD/CLF for window</t>
  </si>
  <si>
    <t>Total</t>
  </si>
  <si>
    <t>ACH</t>
  </si>
  <si>
    <t xml:space="preserve">Infiltration rate </t>
  </si>
  <si>
    <t>Humidity 
Ratio
Diff.</t>
  </si>
  <si>
    <t>Q 
(sensible)
(W)</t>
  </si>
  <si>
    <t>Q
(Latent)
(W)</t>
  </si>
  <si>
    <t>Temp. 
Diff
(C)</t>
  </si>
  <si>
    <t>Infiltration</t>
  </si>
  <si>
    <t>Quantity</t>
  </si>
  <si>
    <t>Input
(W)</t>
  </si>
  <si>
    <t>Latent
Heat (W)</t>
  </si>
  <si>
    <t>Sensible
Heat (W)</t>
  </si>
  <si>
    <t>CLF</t>
  </si>
  <si>
    <t>Cooling Load (Q)
(W)</t>
  </si>
  <si>
    <t>Lights</t>
  </si>
  <si>
    <t>People
(Sensible)</t>
  </si>
  <si>
    <t>People
(Latent)</t>
  </si>
  <si>
    <t>Computer</t>
  </si>
  <si>
    <t>Large Monitor</t>
  </si>
  <si>
    <t>Water Cooler</t>
  </si>
  <si>
    <t>Total Sensible</t>
  </si>
  <si>
    <t>Total Latent</t>
  </si>
  <si>
    <t>Total Cooling Load
(W)</t>
  </si>
  <si>
    <t>Total
Latent
(W)</t>
  </si>
  <si>
    <t>Total
Sensible
(W)</t>
  </si>
  <si>
    <t>Total Cooling Load
(Tons)</t>
  </si>
  <si>
    <t>Glass Solar
(West)</t>
  </si>
  <si>
    <t>Laser printer</t>
  </si>
  <si>
    <t>Office copier</t>
  </si>
  <si>
    <t>Wall 
(South)</t>
  </si>
  <si>
    <t>Glass Solar
(South)</t>
  </si>
  <si>
    <t>Refrigerator</t>
  </si>
  <si>
    <t>Microwave 
Oven</t>
  </si>
  <si>
    <t>Water cooler</t>
  </si>
  <si>
    <t>Coffee maker
(sensible)</t>
  </si>
  <si>
    <t>Coffee maker
(latent)</t>
  </si>
  <si>
    <t>Vending
Machine</t>
  </si>
  <si>
    <t>Steam Kettle
(sensible)</t>
  </si>
  <si>
    <t>Steam Kettle
(latent)</t>
  </si>
  <si>
    <t>Wall 
(East)</t>
  </si>
  <si>
    <t>Glass Solar
(East)</t>
  </si>
  <si>
    <t>Paper shredder</t>
  </si>
  <si>
    <t>Partition Wall
(Sharing with washroom)</t>
  </si>
  <si>
    <t>Laser Printer
(Small desktop)</t>
  </si>
  <si>
    <t>Main Door</t>
  </si>
  <si>
    <t>Doors on partition wall
(Qty: 2)</t>
  </si>
  <si>
    <t>Rooms</t>
  </si>
  <si>
    <t>Sensible</t>
  </si>
  <si>
    <t>Latent</t>
  </si>
  <si>
    <t>Conference</t>
  </si>
  <si>
    <t>Admin</t>
  </si>
  <si>
    <t>Lunch area</t>
  </si>
  <si>
    <t>Board room</t>
  </si>
  <si>
    <t>Washrooms</t>
  </si>
  <si>
    <t>Common working area</t>
  </si>
  <si>
    <t>Cabin 1</t>
  </si>
  <si>
    <t>Cabin 2</t>
  </si>
  <si>
    <t>Total
(W)</t>
  </si>
  <si>
    <t>Total
(Tons)</t>
  </si>
  <si>
    <t>SHF</t>
  </si>
  <si>
    <t>q machine</t>
  </si>
  <si>
    <t>(Tons)</t>
  </si>
  <si>
    <t>(W)</t>
  </si>
  <si>
    <t>Duct diameter
(m)</t>
  </si>
  <si>
    <t>Mass flow rate
(kg/s)</t>
  </si>
  <si>
    <t>Room</t>
  </si>
  <si>
    <t>Duct Location</t>
  </si>
  <si>
    <t>Diameter
(m)</t>
  </si>
  <si>
    <t>Darcy
Factor</t>
  </si>
  <si>
    <t>Fitting Type</t>
  </si>
  <si>
    <t>C</t>
  </si>
  <si>
    <t>Length of pipe
(m)</t>
  </si>
  <si>
    <t>Equivalent length of fitting
(m)</t>
  </si>
  <si>
    <t>Length of pipe + Eq. length of fitting
(m)</t>
  </si>
  <si>
    <t>Pressure loss per m
(Pa/m)</t>
  </si>
  <si>
    <t>Pressure lose in a section
(Pa)</t>
  </si>
  <si>
    <t>Conference room</t>
  </si>
  <si>
    <t>Lunch Area</t>
  </si>
  <si>
    <t>Lobby</t>
  </si>
  <si>
    <t>0-1</t>
  </si>
  <si>
    <t>1-2</t>
  </si>
  <si>
    <t>2-3</t>
  </si>
  <si>
    <t>3-4</t>
  </si>
  <si>
    <t>4-5</t>
  </si>
  <si>
    <t>5-6</t>
  </si>
  <si>
    <t>7-8</t>
  </si>
  <si>
    <t>6-7</t>
  </si>
  <si>
    <t>8-9</t>
  </si>
  <si>
    <t>Total flow rate</t>
  </si>
  <si>
    <t>Diameter
(inches)</t>
  </si>
  <si>
    <t>Diverging Tee- Main</t>
  </si>
  <si>
    <r>
      <t>Eblow Pleated -90</t>
    </r>
    <r>
      <rPr>
        <sz val="11"/>
        <color theme="1"/>
        <rFont val="Aptos Narrow"/>
        <family val="2"/>
      </rPr>
      <t>º</t>
    </r>
  </si>
  <si>
    <t>Qs/Qc</t>
  </si>
  <si>
    <t>U 
(W/m² C)</t>
  </si>
  <si>
    <t>Area
(m²)</t>
  </si>
  <si>
    <t>Effective Area
(m²)</t>
  </si>
  <si>
    <t>SHGF
(W/m²)</t>
  </si>
  <si>
    <r>
      <t>Volume
(m</t>
    </r>
    <r>
      <rPr>
        <b/>
        <sz val="11"/>
        <color theme="1"/>
        <rFont val="Aptos Narrow"/>
        <family val="2"/>
      </rPr>
      <t>³</t>
    </r>
    <r>
      <rPr>
        <b/>
        <sz val="11"/>
        <color theme="1"/>
        <rFont val="Calibri"/>
        <family val="2"/>
        <scheme val="minor"/>
      </rPr>
      <t>)</t>
    </r>
  </si>
  <si>
    <t>Volume flow rate
(m³/s)</t>
  </si>
  <si>
    <r>
      <t>U 
(W/m</t>
    </r>
    <r>
      <rPr>
        <b/>
        <sz val="11"/>
        <color theme="1"/>
        <rFont val="Aptos Narrow"/>
        <family val="2"/>
      </rPr>
      <t>²</t>
    </r>
    <r>
      <rPr>
        <b/>
        <sz val="11"/>
        <color theme="1"/>
        <rFont val="Calibri"/>
        <family val="2"/>
        <scheme val="minor"/>
      </rPr>
      <t xml:space="preserve"> C)</t>
    </r>
  </si>
  <si>
    <t>U 
(W/m²  C)</t>
  </si>
  <si>
    <t>Area
(m² )</t>
  </si>
  <si>
    <t>Effective Area
(m² )</t>
  </si>
  <si>
    <t>SHGF
(W/m² )</t>
  </si>
  <si>
    <t>Volume
(m³)</t>
  </si>
  <si>
    <t>Volume flow rate of room
(m³/s)</t>
  </si>
  <si>
    <t>Total flow rate
m³/min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</si>
</sst>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2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20" fontId="1" fillId="0" borderId="1" xfId="0" applyNumberFormat="1" applyFont="1" applyBorder="1"/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2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0" fontId="1" fillId="0" borderId="1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8454673-52C9-41DF-A3BB-4C2117B463E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1"/>
  <sheetViews>
    <sheetView topLeftCell="A16" zoomScaleNormal="100" workbookViewId="0">
      <selection activeCell="M13" sqref="M13"/>
    </sheetView>
  </sheetViews>
  <sheetFormatPr defaultRowHeight="14.4" x14ac:dyDescent="0.3"/>
  <cols>
    <col min="2" max="2" width="13.109375" customWidth="1"/>
    <col min="3" max="3" width="10" customWidth="1"/>
    <col min="5" max="5" width="8.77734375" customWidth="1"/>
    <col min="7" max="7" width="10.5546875" customWidth="1"/>
    <col min="8" max="8" width="7.88671875" customWidth="1"/>
    <col min="10" max="10" width="9.6640625" customWidth="1"/>
  </cols>
  <sheetData>
    <row r="2" spans="2:20" ht="49.8" customHeight="1" x14ac:dyDescent="0.3">
      <c r="B2" s="1" t="s">
        <v>0</v>
      </c>
      <c r="C2" s="2" t="s">
        <v>107</v>
      </c>
      <c r="D2" s="2" t="s">
        <v>1</v>
      </c>
      <c r="E2" s="2" t="s">
        <v>2</v>
      </c>
      <c r="F2" s="2" t="s">
        <v>3</v>
      </c>
      <c r="G2" s="2" t="s">
        <v>108</v>
      </c>
      <c r="H2" s="2" t="s">
        <v>4</v>
      </c>
      <c r="I2" s="2" t="s">
        <v>109</v>
      </c>
      <c r="J2" s="2" t="s">
        <v>110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x14ac:dyDescent="0.3">
      <c r="B4" s="5" t="s">
        <v>8</v>
      </c>
      <c r="C4" s="5">
        <v>1.2090000000000001</v>
      </c>
      <c r="D4" s="5">
        <v>8.98</v>
      </c>
      <c r="E4" s="5">
        <v>7.05</v>
      </c>
      <c r="F4" s="5"/>
      <c r="G4" s="5">
        <f>D4*E4</f>
        <v>63.309000000000005</v>
      </c>
      <c r="H4" s="5">
        <v>2</v>
      </c>
      <c r="I4" s="5">
        <f>G4</f>
        <v>63.309000000000005</v>
      </c>
      <c r="J4" s="5"/>
      <c r="K4" s="5"/>
      <c r="L4" s="5">
        <v>40</v>
      </c>
      <c r="M4" s="5">
        <v>44</v>
      </c>
      <c r="N4" s="5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3392.6612528250012</v>
      </c>
      <c r="S4" s="5">
        <f>C4*I4*P4</f>
        <v>3622.2829958250009</v>
      </c>
      <c r="T4" s="5">
        <f>C4*I4*Q4</f>
        <v>3335.2558170750008</v>
      </c>
    </row>
    <row r="5" spans="2:20" ht="28.8" x14ac:dyDescent="0.3">
      <c r="B5" s="6" t="s">
        <v>9</v>
      </c>
      <c r="C5" s="5">
        <v>3.323</v>
      </c>
      <c r="D5" s="5">
        <v>8.98</v>
      </c>
      <c r="E5" s="5"/>
      <c r="F5" s="5">
        <v>4</v>
      </c>
      <c r="G5" s="5">
        <f>D5*F5</f>
        <v>35.92</v>
      </c>
      <c r="H5" s="5">
        <v>1</v>
      </c>
      <c r="I5" s="5">
        <f>G5-G7</f>
        <v>29.92</v>
      </c>
      <c r="J5" s="5"/>
      <c r="K5" s="5"/>
      <c r="L5" s="5">
        <v>5</v>
      </c>
      <c r="M5" s="5">
        <v>7.22</v>
      </c>
      <c r="N5" s="5">
        <v>9.44</v>
      </c>
      <c r="O5" s="5">
        <f>(L5+H5)*1+(25.5-22)+(43-29.4)</f>
        <v>23.1</v>
      </c>
      <c r="P5" s="5">
        <f>(M5+H5)*1+(25.5-22)+(43-29.4)</f>
        <v>25.32</v>
      </c>
      <c r="Q5" s="5">
        <f>(N5+H5)*1+(25.5-22)+(43-29.4)</f>
        <v>27.54</v>
      </c>
      <c r="R5" s="5">
        <f t="shared" ref="R5:R6" si="0">C5*I5*O5</f>
        <v>2296.6980960000001</v>
      </c>
      <c r="S5" s="5">
        <f t="shared" ref="S5:S6" si="1">C5*I5*P5</f>
        <v>2517.4197312000001</v>
      </c>
      <c r="T5" s="5">
        <f t="shared" ref="T5:T6" si="2">C5*I5*Q5</f>
        <v>2738.1413664000002</v>
      </c>
    </row>
    <row r="6" spans="2:20" ht="28.8" x14ac:dyDescent="0.3">
      <c r="B6" s="6" t="s">
        <v>10</v>
      </c>
      <c r="C6" s="5">
        <v>3.323</v>
      </c>
      <c r="D6" s="5"/>
      <c r="E6" s="5">
        <v>7.05</v>
      </c>
      <c r="F6" s="5">
        <v>4</v>
      </c>
      <c r="G6" s="5">
        <f>E6*F6</f>
        <v>28.2</v>
      </c>
      <c r="H6" s="5">
        <v>0</v>
      </c>
      <c r="I6" s="5">
        <v>28.2</v>
      </c>
      <c r="J6" s="5"/>
      <c r="K6" s="5"/>
      <c r="L6" s="5">
        <v>5</v>
      </c>
      <c r="M6" s="5">
        <v>7.77</v>
      </c>
      <c r="N6" s="5">
        <v>15</v>
      </c>
      <c r="O6" s="5">
        <f>(L6+H6)*1+(25.5-22)+(43-29.4)</f>
        <v>22.1</v>
      </c>
      <c r="P6" s="5">
        <f>(M6+H6)*1+(25.5-22)+(43-29.4)</f>
        <v>24.87</v>
      </c>
      <c r="Q6" s="5">
        <f>(N6+H6)*1+(25.5-22)+(43-29.4)</f>
        <v>32.1</v>
      </c>
      <c r="R6" s="5">
        <f t="shared" si="0"/>
        <v>2070.9600599999999</v>
      </c>
      <c r="S6" s="5">
        <f t="shared" si="1"/>
        <v>2330.532882</v>
      </c>
      <c r="T6" s="5">
        <f t="shared" si="2"/>
        <v>3008.0460599999997</v>
      </c>
    </row>
    <row r="7" spans="2:20" ht="36" customHeight="1" x14ac:dyDescent="0.3">
      <c r="B7" s="6" t="s">
        <v>12</v>
      </c>
      <c r="C7" s="5">
        <v>3.7</v>
      </c>
      <c r="D7" s="5"/>
      <c r="E7" s="5">
        <v>3</v>
      </c>
      <c r="F7" s="5">
        <v>2</v>
      </c>
      <c r="G7" s="5">
        <f>E7*F7</f>
        <v>6</v>
      </c>
      <c r="H7" s="5"/>
      <c r="I7" s="5">
        <f>G7</f>
        <v>6</v>
      </c>
      <c r="J7" s="5"/>
      <c r="K7" s="5"/>
      <c r="L7" s="5"/>
      <c r="M7" s="5"/>
      <c r="N7" s="5"/>
      <c r="O7" s="5"/>
      <c r="P7" s="5"/>
      <c r="Q7" s="5"/>
      <c r="R7" s="5">
        <f>C7*G7*(43-22)</f>
        <v>466.20000000000005</v>
      </c>
      <c r="S7" s="5">
        <f>R7</f>
        <v>466.20000000000005</v>
      </c>
      <c r="T7" s="5">
        <f>R7</f>
        <v>466.20000000000005</v>
      </c>
    </row>
    <row r="8" spans="2:20" ht="28.8" x14ac:dyDescent="0.3">
      <c r="B8" s="6" t="s">
        <v>11</v>
      </c>
      <c r="C8" s="5">
        <v>3.7</v>
      </c>
      <c r="D8" s="5"/>
      <c r="E8" s="5">
        <v>3</v>
      </c>
      <c r="F8" s="5">
        <v>2</v>
      </c>
      <c r="G8" s="5">
        <f>E8*F8</f>
        <v>6</v>
      </c>
      <c r="H8" s="5"/>
      <c r="I8" s="5">
        <f>G8</f>
        <v>6</v>
      </c>
      <c r="J8" s="5">
        <v>138.46799999999999</v>
      </c>
      <c r="K8" s="5">
        <v>0.64</v>
      </c>
      <c r="L8" s="5">
        <v>0.89</v>
      </c>
      <c r="M8" s="5">
        <v>0.86</v>
      </c>
      <c r="N8" s="5">
        <v>0.75</v>
      </c>
      <c r="O8" s="5"/>
      <c r="P8" s="5"/>
      <c r="Q8" s="5"/>
      <c r="R8" s="5">
        <f>I8*K8*J8*L8</f>
        <v>473.22823679999993</v>
      </c>
      <c r="S8" s="5">
        <f>I8*K8*J8*M8</f>
        <v>457.27672319999994</v>
      </c>
      <c r="T8" s="5">
        <f>I8*K8*J8*N8</f>
        <v>398.78783999999996</v>
      </c>
    </row>
    <row r="9" spans="2:20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7" t="s">
        <v>14</v>
      </c>
      <c r="R9" s="8">
        <f>SUM(R4:R8)</f>
        <v>8699.7476456250006</v>
      </c>
      <c r="S9" s="8">
        <f t="shared" ref="S9:T9" si="3">SUM(S4:S8)</f>
        <v>9393.7123322250027</v>
      </c>
      <c r="T9" s="8">
        <f t="shared" si="3"/>
        <v>9946.4310834750031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111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  <c r="L12" s="20"/>
    </row>
    <row r="13" spans="2:20" x14ac:dyDescent="0.3">
      <c r="B13" s="3">
        <v>8.98</v>
      </c>
      <c r="C13" s="3">
        <v>7.05</v>
      </c>
      <c r="D13" s="3">
        <v>4</v>
      </c>
      <c r="E13" s="3">
        <f>B13*C13*D13</f>
        <v>253.23600000000002</v>
      </c>
      <c r="F13" s="3">
        <v>1</v>
      </c>
      <c r="G13" s="3">
        <f>((E13*F13*1000)/3600)</f>
        <v>70.343333333333348</v>
      </c>
      <c r="H13" s="3">
        <f>(43-22)</f>
        <v>21</v>
      </c>
      <c r="I13" s="3">
        <f>(0.022-0.0065)</f>
        <v>1.55E-2</v>
      </c>
      <c r="J13" s="3">
        <f>(1.232*G13*H13)</f>
        <v>1819.9227200000003</v>
      </c>
      <c r="K13" s="3">
        <f>(3012*G13*I13)</f>
        <v>3284.0488600000008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3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3" t="s">
        <v>28</v>
      </c>
      <c r="C18" s="5"/>
      <c r="D18" s="5">
        <f>(30*G4)</f>
        <v>1899.2700000000002</v>
      </c>
      <c r="E18" s="5"/>
      <c r="F18" s="5"/>
      <c r="G18" s="5">
        <v>0.79</v>
      </c>
      <c r="H18" s="5">
        <v>0.83</v>
      </c>
      <c r="I18" s="5">
        <v>0.86</v>
      </c>
      <c r="J18" s="5">
        <f>D18*G18</f>
        <v>1500.4233000000002</v>
      </c>
      <c r="K18" s="5">
        <f>D18*H18</f>
        <v>1576.3941000000002</v>
      </c>
      <c r="L18" s="5">
        <f>D18*I18</f>
        <v>1633.3722000000002</v>
      </c>
    </row>
    <row r="19" spans="2:12" ht="28.8" x14ac:dyDescent="0.3">
      <c r="B19" s="9" t="s">
        <v>29</v>
      </c>
      <c r="C19" s="22">
        <v>14</v>
      </c>
      <c r="D19" s="5"/>
      <c r="E19" s="5"/>
      <c r="F19" s="5">
        <v>73</v>
      </c>
      <c r="G19" s="5">
        <v>0.74</v>
      </c>
      <c r="H19" s="5">
        <v>0.8</v>
      </c>
      <c r="I19" s="5">
        <v>0.85</v>
      </c>
      <c r="J19" s="5">
        <f>C19*F19*G19</f>
        <v>756.28</v>
      </c>
      <c r="K19" s="5">
        <f>C19*F19*H19</f>
        <v>817.6</v>
      </c>
      <c r="L19" s="5">
        <f>C19*F19*I19</f>
        <v>868.69999999999993</v>
      </c>
    </row>
    <row r="20" spans="2:12" ht="28.8" x14ac:dyDescent="0.3">
      <c r="B20" s="9" t="s">
        <v>30</v>
      </c>
      <c r="C20" s="22"/>
      <c r="D20" s="5"/>
      <c r="E20" s="5">
        <v>59</v>
      </c>
      <c r="F20" s="5"/>
      <c r="G20" s="5"/>
      <c r="H20" s="5"/>
      <c r="I20" s="5"/>
      <c r="J20" s="5">
        <f>C19*E20</f>
        <v>826</v>
      </c>
      <c r="K20" s="5">
        <f>J20</f>
        <v>826</v>
      </c>
      <c r="L20" s="5">
        <f>J20</f>
        <v>826</v>
      </c>
    </row>
    <row r="21" spans="2:12" x14ac:dyDescent="0.3">
      <c r="B21" s="3" t="s">
        <v>31</v>
      </c>
      <c r="C21" s="5">
        <v>14</v>
      </c>
      <c r="D21" s="5"/>
      <c r="E21" s="5"/>
      <c r="F21" s="5">
        <v>55</v>
      </c>
      <c r="G21" s="5">
        <v>0.77</v>
      </c>
      <c r="H21" s="5">
        <v>0.83</v>
      </c>
      <c r="I21" s="5">
        <v>0.87</v>
      </c>
      <c r="J21" s="5">
        <f>C21*F21*G21</f>
        <v>592.9</v>
      </c>
      <c r="K21" s="5">
        <f>C21*F21*H21</f>
        <v>639.1</v>
      </c>
      <c r="L21" s="5">
        <f>C21*F21*I21</f>
        <v>669.9</v>
      </c>
    </row>
    <row r="22" spans="2:12" x14ac:dyDescent="0.3">
      <c r="B22" s="3" t="s">
        <v>32</v>
      </c>
      <c r="C22" s="5">
        <v>1</v>
      </c>
      <c r="D22" s="5"/>
      <c r="E22" s="5"/>
      <c r="F22" s="5">
        <v>80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61.6</v>
      </c>
      <c r="K22" s="5">
        <f>C22*F22*H22</f>
        <v>66.399999999999991</v>
      </c>
      <c r="L22" s="5">
        <f>C22*F22*I22</f>
        <v>69.599999999999994</v>
      </c>
    </row>
    <row r="23" spans="2:12" x14ac:dyDescent="0.3">
      <c r="B23" s="3" t="s">
        <v>33</v>
      </c>
      <c r="C23" s="5">
        <v>1</v>
      </c>
      <c r="D23" s="5"/>
      <c r="E23" s="5"/>
      <c r="F23" s="5">
        <v>350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269.5</v>
      </c>
      <c r="K23" s="5">
        <f>C23*F23*H23</f>
        <v>290.5</v>
      </c>
      <c r="L23" s="5">
        <f>C23*F23*I23</f>
        <v>304.5</v>
      </c>
    </row>
    <row r="24" spans="2:12" ht="15" customHeight="1" x14ac:dyDescent="0.3">
      <c r="B24" s="8" t="s">
        <v>34</v>
      </c>
      <c r="C24" s="5"/>
      <c r="D24" s="5"/>
      <c r="E24" s="5"/>
      <c r="F24" s="5"/>
      <c r="G24" s="5"/>
      <c r="H24" s="5"/>
      <c r="I24" s="5"/>
      <c r="J24" s="7">
        <f>J18+J19+J21+J22+J23</f>
        <v>3180.7033000000001</v>
      </c>
      <c r="K24" s="7">
        <f t="shared" ref="K24:L24" si="4">K18+K19+K21+K22+K23</f>
        <v>3389.9941000000003</v>
      </c>
      <c r="L24" s="7">
        <f t="shared" si="4"/>
        <v>3546.0722000000001</v>
      </c>
    </row>
    <row r="25" spans="2:12" x14ac:dyDescent="0.3">
      <c r="B25" s="8" t="s">
        <v>35</v>
      </c>
      <c r="C25" s="5"/>
      <c r="D25" s="5"/>
      <c r="E25" s="5"/>
      <c r="F25" s="5"/>
      <c r="G25" s="5"/>
      <c r="H25" s="5"/>
      <c r="I25" s="5"/>
      <c r="J25" s="7">
        <f>J20</f>
        <v>826</v>
      </c>
      <c r="K25" s="7">
        <f>K20</f>
        <v>826</v>
      </c>
      <c r="L25" s="7">
        <f>L20</f>
        <v>826</v>
      </c>
    </row>
    <row r="28" spans="2:12" ht="57.6" x14ac:dyDescent="0.3">
      <c r="B28" s="3"/>
      <c r="C28" s="2" t="s">
        <v>38</v>
      </c>
      <c r="D28" s="2" t="s">
        <v>37</v>
      </c>
      <c r="E28" s="2" t="s">
        <v>36</v>
      </c>
      <c r="F28" s="2" t="s">
        <v>39</v>
      </c>
      <c r="H28" s="2" t="s">
        <v>78</v>
      </c>
      <c r="I28" s="2" t="s">
        <v>112</v>
      </c>
      <c r="J28" s="2" t="s">
        <v>77</v>
      </c>
    </row>
    <row r="29" spans="2:12" x14ac:dyDescent="0.3">
      <c r="B29" s="11">
        <v>0.5</v>
      </c>
      <c r="C29" s="3">
        <f>R9+J13+J24</f>
        <v>13700.373665625</v>
      </c>
      <c r="D29" s="3">
        <f>K13+J25</f>
        <v>4110.0488600000008</v>
      </c>
      <c r="E29" s="3">
        <f>C29+D29</f>
        <v>17810.422525624999</v>
      </c>
      <c r="F29" s="3">
        <f>(E29*0.0002843)</f>
        <v>5.0635031240351873</v>
      </c>
      <c r="H29" s="5">
        <f>(E31/(100-39))*0.001</f>
        <v>0.31840122727008208</v>
      </c>
      <c r="I29" s="5">
        <f>H29*0.845</f>
        <v>0.26904903704321936</v>
      </c>
      <c r="J29" s="5">
        <f>SQRT((4*H29)/(3.14*6.3*0.845))</f>
        <v>0.27602848955953246</v>
      </c>
    </row>
    <row r="30" spans="2:12" x14ac:dyDescent="0.3">
      <c r="B30" s="11">
        <v>0.58333333333333337</v>
      </c>
      <c r="C30" s="3">
        <f>S9+J13+K24</f>
        <v>14603.629152225003</v>
      </c>
      <c r="D30" s="3">
        <f>D29</f>
        <v>4110.0488600000008</v>
      </c>
      <c r="E30" s="3">
        <f t="shared" ref="E30:E31" si="5">C30+D30</f>
        <v>18713.678012225006</v>
      </c>
      <c r="F30" s="3">
        <f t="shared" ref="F30:F31" si="6">(E30*0.0002843)</f>
        <v>5.3202986588755694</v>
      </c>
    </row>
    <row r="31" spans="2:12" x14ac:dyDescent="0.3">
      <c r="B31" s="11">
        <v>0.66666666666666663</v>
      </c>
      <c r="C31" s="3">
        <f>T9+J13+L24</f>
        <v>15312.426003475004</v>
      </c>
      <c r="D31" s="3">
        <f>D30</f>
        <v>4110.0488600000008</v>
      </c>
      <c r="E31" s="3">
        <f t="shared" si="5"/>
        <v>19422.474863475007</v>
      </c>
      <c r="F31" s="8">
        <f t="shared" si="6"/>
        <v>5.521809603685945</v>
      </c>
    </row>
  </sheetData>
  <mergeCells count="7">
    <mergeCell ref="C19:C20"/>
    <mergeCell ref="L2:N2"/>
    <mergeCell ref="O2:Q2"/>
    <mergeCell ref="R2:T2"/>
    <mergeCell ref="B11:K11"/>
    <mergeCell ref="G16:I16"/>
    <mergeCell ref="J16:L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222D0-634B-4654-BEEC-6488A6727BF4}">
  <dimension ref="B2:I16"/>
  <sheetViews>
    <sheetView workbookViewId="0">
      <selection activeCell="B11" sqref="B11"/>
    </sheetView>
  </sheetViews>
  <sheetFormatPr defaultRowHeight="14.4" x14ac:dyDescent="0.3"/>
  <cols>
    <col min="1" max="1" width="8.88671875" style="30"/>
    <col min="2" max="2" width="14.44140625" style="30" customWidth="1"/>
    <col min="3" max="3" width="13.6640625" style="30" customWidth="1"/>
    <col min="4" max="4" width="13.88671875" style="30" customWidth="1"/>
    <col min="5" max="5" width="10.33203125" style="30" customWidth="1"/>
    <col min="6" max="16384" width="8.88671875" style="30"/>
  </cols>
  <sheetData>
    <row r="2" spans="2:9" ht="28.8" x14ac:dyDescent="0.3">
      <c r="B2" s="7" t="s">
        <v>60</v>
      </c>
      <c r="C2" s="7" t="s">
        <v>61</v>
      </c>
      <c r="D2" s="7" t="s">
        <v>62</v>
      </c>
      <c r="E2" s="10" t="s">
        <v>71</v>
      </c>
      <c r="F2" s="29" t="s">
        <v>72</v>
      </c>
    </row>
    <row r="3" spans="2:9" x14ac:dyDescent="0.3">
      <c r="B3" s="5" t="s">
        <v>63</v>
      </c>
      <c r="C3" s="5">
        <v>15312.426003475</v>
      </c>
      <c r="D3" s="5">
        <v>4110.0488600000008</v>
      </c>
      <c r="E3" s="5">
        <v>19422.474863475007</v>
      </c>
      <c r="F3" s="30">
        <v>5.521809603685945</v>
      </c>
      <c r="H3" s="31" t="s">
        <v>73</v>
      </c>
      <c r="I3" s="30">
        <f>C12/E12</f>
        <v>0.77310300434464285</v>
      </c>
    </row>
    <row r="4" spans="2:9" x14ac:dyDescent="0.3">
      <c r="B4" s="5" t="s">
        <v>64</v>
      </c>
      <c r="C4" s="5">
        <v>11947.166696795002</v>
      </c>
      <c r="D4" s="5">
        <v>2734.9548759999998</v>
      </c>
      <c r="E4" s="5">
        <v>14682.121572795002</v>
      </c>
      <c r="F4" s="30">
        <v>4.1741271631456192</v>
      </c>
    </row>
    <row r="5" spans="2:9" x14ac:dyDescent="0.3">
      <c r="B5" s="5" t="s">
        <v>65</v>
      </c>
      <c r="C5" s="5">
        <v>18280.662703098333</v>
      </c>
      <c r="D5" s="5">
        <v>5471.4162386666658</v>
      </c>
      <c r="E5" s="5">
        <v>23752.078941764998</v>
      </c>
      <c r="F5" s="30">
        <v>6.7527160431437894</v>
      </c>
    </row>
    <row r="6" spans="2:9" x14ac:dyDescent="0.3">
      <c r="B6" s="5" t="s">
        <v>66</v>
      </c>
      <c r="C6" s="5">
        <v>8111.9504670216666</v>
      </c>
      <c r="D6" s="5">
        <v>2717.1163373333334</v>
      </c>
      <c r="E6" s="5">
        <v>10829.066804354999</v>
      </c>
      <c r="F6" s="30">
        <v>3.0787036924781268</v>
      </c>
    </row>
    <row r="7" spans="2:9" x14ac:dyDescent="0.3">
      <c r="B7" s="5" t="s">
        <v>67</v>
      </c>
      <c r="C7" s="5">
        <v>7544.0452453783328</v>
      </c>
      <c r="D7" s="5">
        <v>2345.0512359999993</v>
      </c>
      <c r="E7" s="5">
        <v>9889.0964813783321</v>
      </c>
      <c r="F7" s="30">
        <v>2.8114701296558602</v>
      </c>
    </row>
    <row r="8" spans="2:9" ht="28.8" x14ac:dyDescent="0.3">
      <c r="B8" s="6" t="s">
        <v>68</v>
      </c>
      <c r="C8" s="5">
        <v>12296.963505417501</v>
      </c>
      <c r="D8" s="5">
        <v>3172.0403940000001</v>
      </c>
      <c r="E8" s="5">
        <v>15469.003899417501</v>
      </c>
      <c r="F8" s="30">
        <v>4.3978378086043959</v>
      </c>
    </row>
    <row r="9" spans="2:9" x14ac:dyDescent="0.3">
      <c r="B9" s="5" t="s">
        <v>69</v>
      </c>
      <c r="C9" s="5">
        <v>4874.71387908</v>
      </c>
      <c r="D9" s="5">
        <v>1151.327904</v>
      </c>
      <c r="E9" s="5">
        <v>6026.0417830799997</v>
      </c>
      <c r="F9" s="30">
        <v>1.7132036789296441</v>
      </c>
    </row>
    <row r="10" spans="2:9" x14ac:dyDescent="0.3">
      <c r="B10" s="5" t="s">
        <v>70</v>
      </c>
      <c r="C10" s="5">
        <v>7201.1330566799998</v>
      </c>
      <c r="D10" s="5">
        <v>1151.327904</v>
      </c>
      <c r="E10" s="5">
        <v>8352.4609606800004</v>
      </c>
      <c r="F10" s="30">
        <v>2.3746046511213241</v>
      </c>
    </row>
    <row r="11" spans="2:9" x14ac:dyDescent="0.3">
      <c r="B11" s="5" t="s">
        <v>92</v>
      </c>
      <c r="C11" s="5">
        <v>20891.708793066668</v>
      </c>
      <c r="D11" s="5">
        <v>8391.7493333333332</v>
      </c>
      <c r="E11" s="5">
        <v>29283.458126400001</v>
      </c>
      <c r="F11" s="30">
        <v>8.3252871453355208</v>
      </c>
    </row>
    <row r="12" spans="2:9" x14ac:dyDescent="0.3">
      <c r="B12" s="7" t="s">
        <v>14</v>
      </c>
      <c r="C12" s="7">
        <f>SUM(C3:C11)</f>
        <v>106460.77035001252</v>
      </c>
      <c r="D12" s="7">
        <f t="shared" ref="D12:F12" si="0">SUM(D3:D11)</f>
        <v>31245.033083333336</v>
      </c>
      <c r="E12" s="7">
        <f t="shared" si="0"/>
        <v>137705.80343334586</v>
      </c>
      <c r="F12" s="31">
        <f t="shared" si="0"/>
        <v>39.149759916100223</v>
      </c>
    </row>
    <row r="15" spans="2:9" x14ac:dyDescent="0.3">
      <c r="B15" s="5"/>
      <c r="C15" s="7" t="s">
        <v>76</v>
      </c>
      <c r="D15" s="7" t="s">
        <v>75</v>
      </c>
    </row>
    <row r="16" spans="2:9" x14ac:dyDescent="0.3">
      <c r="B16" s="7" t="s">
        <v>74</v>
      </c>
      <c r="C16" s="5">
        <v>206550</v>
      </c>
      <c r="D16" s="5">
        <f>C16*0.0002843</f>
        <v>58.722165000000004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06EB7-09F9-4A41-97B7-1BDD4998B3FF}">
  <dimension ref="B2:T21"/>
  <sheetViews>
    <sheetView tabSelected="1" workbookViewId="0">
      <selection activeCell="E15" sqref="E15"/>
    </sheetView>
  </sheetViews>
  <sheetFormatPr defaultRowHeight="14.4" x14ac:dyDescent="0.3"/>
  <cols>
    <col min="1" max="1" width="8.88671875" style="30"/>
    <col min="2" max="2" width="19.33203125" style="30" customWidth="1"/>
    <col min="3" max="3" width="13.33203125" style="30" customWidth="1"/>
    <col min="4" max="4" width="8.88671875" style="32"/>
    <col min="5" max="5" width="11" style="30" customWidth="1"/>
    <col min="6" max="8" width="8.88671875" style="30"/>
    <col min="9" max="9" width="22.33203125" style="30" customWidth="1"/>
    <col min="10" max="10" width="8.88671875" style="30"/>
    <col min="11" max="11" width="9.88671875" style="30" customWidth="1"/>
    <col min="12" max="12" width="9.77734375" style="30" customWidth="1"/>
    <col min="13" max="13" width="12.109375" style="30" customWidth="1"/>
    <col min="14" max="15" width="8.88671875" style="30"/>
    <col min="16" max="16" width="0" style="30" hidden="1" customWidth="1"/>
    <col min="17" max="17" width="12" style="30" bestFit="1" customWidth="1"/>
    <col min="18" max="18" width="6" style="30" bestFit="1" customWidth="1"/>
    <col min="19" max="16384" width="8.88671875" style="30"/>
  </cols>
  <sheetData>
    <row r="2" spans="2:20" ht="72" x14ac:dyDescent="0.3">
      <c r="B2" s="1" t="s">
        <v>79</v>
      </c>
      <c r="C2" s="2" t="s">
        <v>119</v>
      </c>
      <c r="D2" s="15" t="s">
        <v>80</v>
      </c>
      <c r="E2" s="2" t="s">
        <v>112</v>
      </c>
      <c r="F2" s="2" t="s">
        <v>81</v>
      </c>
      <c r="G2" s="2" t="s">
        <v>103</v>
      </c>
      <c r="H2" s="2" t="s">
        <v>82</v>
      </c>
      <c r="I2" s="2" t="s">
        <v>83</v>
      </c>
      <c r="J2" s="2" t="s">
        <v>84</v>
      </c>
      <c r="K2" s="2" t="s">
        <v>85</v>
      </c>
      <c r="L2" s="2" t="s">
        <v>86</v>
      </c>
      <c r="M2" s="2" t="s">
        <v>87</v>
      </c>
      <c r="N2" s="2" t="s">
        <v>88</v>
      </c>
      <c r="O2" s="2" t="s">
        <v>89</v>
      </c>
      <c r="P2" s="14" t="s">
        <v>106</v>
      </c>
      <c r="R2" s="14"/>
      <c r="S2" s="14"/>
      <c r="T2" s="14"/>
    </row>
    <row r="3" spans="2:20" x14ac:dyDescent="0.3">
      <c r="B3" s="5" t="s">
        <v>64</v>
      </c>
      <c r="C3" s="16">
        <v>0.2033834873608488</v>
      </c>
      <c r="D3" s="17" t="s">
        <v>93</v>
      </c>
      <c r="E3" s="5">
        <v>1.99847</v>
      </c>
      <c r="F3" s="5">
        <f>SQRT((4*E3)/(3.14*6.3))</f>
        <v>0.63568756127805714</v>
      </c>
      <c r="G3" s="5">
        <f>ROUND(F3*39.37,0)</f>
        <v>25</v>
      </c>
      <c r="H3" s="5">
        <v>1.4E-2</v>
      </c>
      <c r="I3" s="5" t="s">
        <v>104</v>
      </c>
      <c r="J3" s="5">
        <v>0.13</v>
      </c>
      <c r="K3" s="5">
        <v>3</v>
      </c>
      <c r="L3" s="5">
        <f>ROUND((F3*J3)/H3,1)</f>
        <v>5.9</v>
      </c>
      <c r="M3" s="5">
        <f>K3+L3</f>
        <v>8.9</v>
      </c>
      <c r="N3" s="5">
        <v>0.7</v>
      </c>
      <c r="O3" s="5">
        <f>M3*N3</f>
        <v>6.2299999999999995</v>
      </c>
      <c r="P3" s="30">
        <f>ROUND(E4/E3,1)</f>
        <v>0.9</v>
      </c>
    </row>
    <row r="4" spans="2:20" x14ac:dyDescent="0.3">
      <c r="B4" s="5" t="s">
        <v>90</v>
      </c>
      <c r="C4" s="16">
        <v>0.26904903704321936</v>
      </c>
      <c r="D4" s="17" t="s">
        <v>94</v>
      </c>
      <c r="E4" s="16">
        <f t="shared" ref="E4:E11" si="0">E3-C3</f>
        <v>1.7950865126391511</v>
      </c>
      <c r="F4" s="5">
        <f t="shared" ref="F4:F11" si="1">SQRT((4*E4)/(3.14*6.3))</f>
        <v>0.60247300025194939</v>
      </c>
      <c r="G4" s="5">
        <f>ROUND(F4*39.37,0)</f>
        <v>24</v>
      </c>
      <c r="H4" s="5">
        <v>1.4E-2</v>
      </c>
      <c r="I4" s="5" t="s">
        <v>104</v>
      </c>
      <c r="J4" s="5">
        <v>0.13</v>
      </c>
      <c r="K4" s="5">
        <v>1.5</v>
      </c>
      <c r="L4" s="5">
        <f t="shared" ref="L4:L11" si="2">ROUND((F4*J4)/H4,1)</f>
        <v>5.6</v>
      </c>
      <c r="M4" s="5">
        <f t="shared" ref="M4:M11" si="3">K4+L4</f>
        <v>7.1</v>
      </c>
      <c r="N4" s="5">
        <v>0.45</v>
      </c>
      <c r="O4" s="5">
        <f t="shared" ref="O4:O11" si="4">M4*N4</f>
        <v>3.1949999999999998</v>
      </c>
      <c r="P4" s="30">
        <f t="shared" ref="P4:P10" si="5">ROUND(E5/E4,1)</f>
        <v>0.9</v>
      </c>
    </row>
    <row r="5" spans="2:20" x14ac:dyDescent="0.3">
      <c r="B5" s="5" t="s">
        <v>91</v>
      </c>
      <c r="C5" s="16">
        <v>0.32902470009494139</v>
      </c>
      <c r="D5" s="17" t="s">
        <v>95</v>
      </c>
      <c r="E5" s="16">
        <f t="shared" si="0"/>
        <v>1.5260374755959316</v>
      </c>
      <c r="F5" s="5">
        <f t="shared" si="1"/>
        <v>0.5554916004106345</v>
      </c>
      <c r="G5" s="5">
        <f t="shared" ref="G5:G11" si="6">ROUND(F5*39.37,0)</f>
        <v>22</v>
      </c>
      <c r="H5" s="5">
        <v>1.4500000000000001E-2</v>
      </c>
      <c r="I5" s="5" t="s">
        <v>104</v>
      </c>
      <c r="J5" s="5">
        <v>0.13</v>
      </c>
      <c r="K5" s="5">
        <v>1.5</v>
      </c>
      <c r="L5" s="5">
        <f t="shared" si="2"/>
        <v>5</v>
      </c>
      <c r="M5" s="5">
        <f t="shared" si="3"/>
        <v>6.5</v>
      </c>
      <c r="N5" s="5">
        <v>0.7</v>
      </c>
      <c r="O5" s="5">
        <f t="shared" si="4"/>
        <v>4.55</v>
      </c>
      <c r="P5" s="30">
        <f t="shared" si="5"/>
        <v>0.8</v>
      </c>
    </row>
    <row r="6" spans="2:20" x14ac:dyDescent="0.3">
      <c r="B6" s="5" t="s">
        <v>92</v>
      </c>
      <c r="C6" s="16">
        <v>0.40564790355422947</v>
      </c>
      <c r="D6" s="17" t="s">
        <v>96</v>
      </c>
      <c r="E6" s="16">
        <f t="shared" si="0"/>
        <v>1.1970127755009903</v>
      </c>
      <c r="F6" s="5">
        <f t="shared" si="1"/>
        <v>0.49197642201452763</v>
      </c>
      <c r="G6" s="5">
        <f t="shared" si="6"/>
        <v>19</v>
      </c>
      <c r="H6" s="5">
        <v>1.525E-2</v>
      </c>
      <c r="I6" s="5" t="s">
        <v>104</v>
      </c>
      <c r="J6" s="5">
        <v>0.13</v>
      </c>
      <c r="K6" s="5">
        <v>7</v>
      </c>
      <c r="L6" s="5">
        <f t="shared" si="2"/>
        <v>4.2</v>
      </c>
      <c r="M6" s="5">
        <f t="shared" si="3"/>
        <v>11.2</v>
      </c>
      <c r="N6" s="5">
        <v>0.75</v>
      </c>
      <c r="O6" s="5">
        <f t="shared" si="4"/>
        <v>8.3999999999999986</v>
      </c>
      <c r="P6" s="30">
        <f t="shared" si="5"/>
        <v>0.7</v>
      </c>
    </row>
    <row r="7" spans="2:20" x14ac:dyDescent="0.3">
      <c r="B7" s="5" t="s">
        <v>66</v>
      </c>
      <c r="C7" s="16">
        <v>0.15000920409311436</v>
      </c>
      <c r="D7" s="17" t="s">
        <v>97</v>
      </c>
      <c r="E7" s="16">
        <f t="shared" si="0"/>
        <v>0.79136487194676075</v>
      </c>
      <c r="F7" s="5">
        <f t="shared" si="1"/>
        <v>0.40002145123624039</v>
      </c>
      <c r="G7" s="5">
        <f t="shared" si="6"/>
        <v>16</v>
      </c>
      <c r="H7" s="5">
        <v>1.6E-2</v>
      </c>
      <c r="I7" s="5" t="s">
        <v>104</v>
      </c>
      <c r="J7" s="5">
        <v>0.13</v>
      </c>
      <c r="K7" s="5">
        <v>3</v>
      </c>
      <c r="L7" s="5">
        <f t="shared" si="2"/>
        <v>3.3</v>
      </c>
      <c r="M7" s="5">
        <f t="shared" si="3"/>
        <v>6.3</v>
      </c>
      <c r="N7" s="5">
        <v>1.2</v>
      </c>
      <c r="O7" s="5">
        <f t="shared" si="4"/>
        <v>7.56</v>
      </c>
      <c r="P7" s="30">
        <f t="shared" si="5"/>
        <v>0.8</v>
      </c>
    </row>
    <row r="8" spans="2:20" x14ac:dyDescent="0.3">
      <c r="B8" s="5" t="s">
        <v>68</v>
      </c>
      <c r="C8" s="16">
        <v>0.21428374254111127</v>
      </c>
      <c r="D8" s="17" t="s">
        <v>98</v>
      </c>
      <c r="E8" s="16">
        <f t="shared" si="0"/>
        <v>0.64135566785364639</v>
      </c>
      <c r="F8" s="5">
        <f t="shared" si="1"/>
        <v>0.36011761518352992</v>
      </c>
      <c r="G8" s="5">
        <f t="shared" si="6"/>
        <v>14</v>
      </c>
      <c r="H8" s="5">
        <v>1.7000000000000001E-2</v>
      </c>
      <c r="I8" s="5" t="s">
        <v>104</v>
      </c>
      <c r="J8" s="5">
        <v>0.13</v>
      </c>
      <c r="K8" s="5">
        <v>4.7</v>
      </c>
      <c r="L8" s="5">
        <f t="shared" si="2"/>
        <v>2.8</v>
      </c>
      <c r="M8" s="5">
        <f t="shared" si="3"/>
        <v>7.5</v>
      </c>
      <c r="N8" s="5">
        <v>1.5</v>
      </c>
      <c r="O8" s="5">
        <f t="shared" si="4"/>
        <v>11.25</v>
      </c>
      <c r="P8" s="30">
        <f t="shared" si="5"/>
        <v>0.7</v>
      </c>
    </row>
    <row r="9" spans="2:20" x14ac:dyDescent="0.3">
      <c r="B9" s="5" t="s">
        <v>69</v>
      </c>
      <c r="C9" s="16">
        <v>8.3475496831190169E-2</v>
      </c>
      <c r="D9" s="17" t="s">
        <v>100</v>
      </c>
      <c r="E9" s="16">
        <f t="shared" si="0"/>
        <v>0.42707192531253513</v>
      </c>
      <c r="F9" s="5">
        <f t="shared" si="1"/>
        <v>0.2938633386046377</v>
      </c>
      <c r="G9" s="5">
        <f t="shared" si="6"/>
        <v>12</v>
      </c>
      <c r="H9" s="5">
        <v>1.9E-2</v>
      </c>
      <c r="I9" s="5" t="s">
        <v>104</v>
      </c>
      <c r="J9" s="5">
        <v>0.13</v>
      </c>
      <c r="K9" s="5">
        <v>1</v>
      </c>
      <c r="L9" s="5">
        <f t="shared" si="2"/>
        <v>2</v>
      </c>
      <c r="M9" s="5">
        <f t="shared" si="3"/>
        <v>3</v>
      </c>
      <c r="N9" s="5">
        <v>1.7</v>
      </c>
      <c r="O9" s="5">
        <f t="shared" si="4"/>
        <v>5.0999999999999996</v>
      </c>
      <c r="P9" s="30">
        <f t="shared" si="5"/>
        <v>0.8</v>
      </c>
    </row>
    <row r="10" spans="2:20" x14ac:dyDescent="0.3">
      <c r="B10" s="5" t="s">
        <v>67</v>
      </c>
      <c r="C10" s="16">
        <v>0.22789162601955279</v>
      </c>
      <c r="D10" s="17" t="s">
        <v>99</v>
      </c>
      <c r="E10" s="16">
        <f t="shared" si="0"/>
        <v>0.34359642848134497</v>
      </c>
      <c r="F10" s="5">
        <f t="shared" si="1"/>
        <v>0.26358410502698826</v>
      </c>
      <c r="G10" s="5">
        <f t="shared" si="6"/>
        <v>10</v>
      </c>
      <c r="H10" s="5">
        <v>2.1999999999999999E-2</v>
      </c>
      <c r="I10" s="5" t="s">
        <v>104</v>
      </c>
      <c r="J10" s="5">
        <v>0.13</v>
      </c>
      <c r="K10" s="5">
        <v>1.2</v>
      </c>
      <c r="L10" s="5">
        <f t="shared" si="2"/>
        <v>1.6</v>
      </c>
      <c r="M10" s="5">
        <f t="shared" si="3"/>
        <v>2.8</v>
      </c>
      <c r="N10" s="5">
        <v>2</v>
      </c>
      <c r="O10" s="5">
        <f t="shared" si="4"/>
        <v>5.6</v>
      </c>
      <c r="P10" s="30">
        <f t="shared" si="5"/>
        <v>0.3</v>
      </c>
    </row>
    <row r="11" spans="2:20" x14ac:dyDescent="0.3">
      <c r="B11" s="5" t="s">
        <v>70</v>
      </c>
      <c r="C11" s="16">
        <v>0.11570212314384591</v>
      </c>
      <c r="D11" s="17" t="s">
        <v>101</v>
      </c>
      <c r="E11" s="16">
        <f t="shared" si="0"/>
        <v>0.11570480246179218</v>
      </c>
      <c r="F11" s="5">
        <f t="shared" si="1"/>
        <v>0.15295743407140913</v>
      </c>
      <c r="G11" s="5">
        <f t="shared" si="6"/>
        <v>6</v>
      </c>
      <c r="H11" s="5">
        <v>2.8000000000000001E-2</v>
      </c>
      <c r="I11" s="5" t="s">
        <v>105</v>
      </c>
      <c r="J11" s="5">
        <v>0.43</v>
      </c>
      <c r="K11" s="5">
        <v>1.5</v>
      </c>
      <c r="L11" s="5">
        <f t="shared" si="2"/>
        <v>2.2999999999999998</v>
      </c>
      <c r="M11" s="5">
        <f t="shared" si="3"/>
        <v>3.8</v>
      </c>
      <c r="N11" s="5">
        <v>3</v>
      </c>
      <c r="O11" s="5">
        <f t="shared" si="4"/>
        <v>11.399999999999999</v>
      </c>
    </row>
    <row r="12" spans="2:20" ht="24.6" customHeight="1" x14ac:dyDescent="0.3">
      <c r="B12" s="1" t="s">
        <v>102</v>
      </c>
      <c r="C12" s="18">
        <f>SUM(C3:C11)</f>
        <v>1.9984673206820533</v>
      </c>
      <c r="D12" s="17"/>
      <c r="E12" s="5"/>
      <c r="F12" s="5"/>
      <c r="G12" s="5"/>
      <c r="H12" s="5"/>
      <c r="I12" s="5"/>
      <c r="J12" s="5"/>
      <c r="K12" s="5"/>
      <c r="L12" s="5"/>
      <c r="M12" s="5"/>
      <c r="N12" s="5"/>
      <c r="O12" s="1">
        <f>SUM(O3:O11)</f>
        <v>63.284999999999997</v>
      </c>
    </row>
    <row r="13" spans="2:20" ht="24.6" customHeight="1" x14ac:dyDescent="0.3">
      <c r="B13" s="49"/>
      <c r="C13" s="50"/>
      <c r="D13" s="51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3"/>
    </row>
    <row r="14" spans="2:20" ht="27.6" customHeight="1" x14ac:dyDescent="0.3">
      <c r="B14" s="19" t="s">
        <v>120</v>
      </c>
      <c r="C14" s="13">
        <f>C12*60</f>
        <v>119.9080392409232</v>
      </c>
    </row>
    <row r="19" spans="11:11" x14ac:dyDescent="0.3">
      <c r="K19"/>
    </row>
    <row r="20" spans="11:11" x14ac:dyDescent="0.3">
      <c r="K20"/>
    </row>
    <row r="21" spans="11:11" x14ac:dyDescent="0.3">
      <c r="K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8BDE-B477-4AC6-B013-5CCD5E7C2052}">
  <dimension ref="B2:T31"/>
  <sheetViews>
    <sheetView zoomScaleNormal="100" workbookViewId="0">
      <selection activeCell="C2" sqref="C2"/>
    </sheetView>
  </sheetViews>
  <sheetFormatPr defaultRowHeight="14.4" x14ac:dyDescent="0.3"/>
  <cols>
    <col min="2" max="2" width="13.109375" customWidth="1"/>
    <col min="3" max="3" width="10" customWidth="1"/>
    <col min="5" max="5" width="8.77734375" customWidth="1"/>
    <col min="7" max="7" width="10.5546875" customWidth="1"/>
    <col min="8" max="8" width="7.88671875" customWidth="1"/>
    <col min="10" max="10" width="9.6640625" customWidth="1"/>
  </cols>
  <sheetData>
    <row r="2" spans="2:20" ht="49.8" customHeight="1" x14ac:dyDescent="0.3">
      <c r="B2" s="1" t="s">
        <v>0</v>
      </c>
      <c r="C2" s="2" t="s">
        <v>113</v>
      </c>
      <c r="D2" s="2" t="s">
        <v>1</v>
      </c>
      <c r="E2" s="2" t="s">
        <v>2</v>
      </c>
      <c r="F2" s="2" t="s">
        <v>3</v>
      </c>
      <c r="G2" s="2" t="s">
        <v>108</v>
      </c>
      <c r="H2" s="2" t="s">
        <v>4</v>
      </c>
      <c r="I2" s="2" t="s">
        <v>109</v>
      </c>
      <c r="J2" s="2" t="s">
        <v>110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3"/>
      <c r="C3" s="3"/>
      <c r="D3" s="3"/>
      <c r="E3" s="3"/>
      <c r="F3" s="3"/>
      <c r="G3" s="3"/>
      <c r="H3" s="3"/>
      <c r="I3" s="3"/>
      <c r="J3" s="3"/>
      <c r="K3" s="3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x14ac:dyDescent="0.3">
      <c r="B4" s="5" t="s">
        <v>8</v>
      </c>
      <c r="C4" s="21">
        <v>1.2090000000000001</v>
      </c>
      <c r="D4" s="5">
        <v>6.81</v>
      </c>
      <c r="E4" s="5">
        <v>6.74</v>
      </c>
      <c r="F4" s="5"/>
      <c r="G4" s="5">
        <f>D4*E4</f>
        <v>45.8994</v>
      </c>
      <c r="H4" s="21">
        <v>2</v>
      </c>
      <c r="I4" s="5">
        <f>G4</f>
        <v>45.8994</v>
      </c>
      <c r="J4" s="5"/>
      <c r="K4" s="5"/>
      <c r="L4" s="21">
        <v>40</v>
      </c>
      <c r="M4" s="21">
        <v>44</v>
      </c>
      <c r="N4" s="21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2459.6995041450004</v>
      </c>
      <c r="S4" s="5">
        <f>C4*I4*P4</f>
        <v>2626.1766279450003</v>
      </c>
      <c r="T4" s="5">
        <f>C4*I4*Q4</f>
        <v>2418.0802231950006</v>
      </c>
    </row>
    <row r="5" spans="2:20" ht="28.8" hidden="1" x14ac:dyDescent="0.3">
      <c r="B5" s="6" t="s">
        <v>9</v>
      </c>
      <c r="C5" s="21">
        <v>3.323</v>
      </c>
      <c r="D5" s="5">
        <v>8.98</v>
      </c>
      <c r="E5" s="5"/>
      <c r="F5" s="5">
        <v>4</v>
      </c>
      <c r="G5" s="5">
        <f>D5*F5</f>
        <v>35.92</v>
      </c>
      <c r="H5" s="5">
        <v>1</v>
      </c>
      <c r="I5" s="5">
        <f>G5-G7</f>
        <v>31.92</v>
      </c>
      <c r="J5" s="5"/>
      <c r="K5" s="5"/>
      <c r="L5" s="5">
        <v>5</v>
      </c>
      <c r="M5" s="5">
        <v>7.22</v>
      </c>
      <c r="N5" s="5">
        <v>9.44</v>
      </c>
      <c r="O5" s="5">
        <f>(L5+H5)*1+(25.5-22)+(43-29.4)</f>
        <v>23.1</v>
      </c>
      <c r="P5" s="5">
        <f>(M5+H5)*1+(25.5-22)+(43-29.4)</f>
        <v>25.32</v>
      </c>
      <c r="Q5" s="5">
        <f>(N5+H5)*1+(25.5-22)+(43-29.4)</f>
        <v>27.54</v>
      </c>
      <c r="R5" s="5">
        <f t="shared" ref="R5:R6" si="0">C5*I5*O5</f>
        <v>2450.2206960000003</v>
      </c>
      <c r="S5" s="5">
        <f t="shared" ref="S5:S6" si="1">C5*I5*P5</f>
        <v>2685.6964512</v>
      </c>
      <c r="T5" s="5">
        <f t="shared" ref="T5:T6" si="2">C5*I5*Q5</f>
        <v>2921.1722064000001</v>
      </c>
    </row>
    <row r="6" spans="2:20" ht="28.8" x14ac:dyDescent="0.3">
      <c r="B6" s="6" t="s">
        <v>10</v>
      </c>
      <c r="C6" s="21">
        <v>3.323</v>
      </c>
      <c r="D6" s="5"/>
      <c r="E6" s="5">
        <v>6.74</v>
      </c>
      <c r="F6" s="5">
        <v>4</v>
      </c>
      <c r="G6" s="5">
        <f>E6*F6</f>
        <v>26.96</v>
      </c>
      <c r="H6" s="5">
        <v>0</v>
      </c>
      <c r="I6" s="5">
        <f>G6-G7</f>
        <v>22.96</v>
      </c>
      <c r="J6" s="5"/>
      <c r="K6" s="5"/>
      <c r="L6" s="5">
        <v>5</v>
      </c>
      <c r="M6" s="5">
        <v>7.77</v>
      </c>
      <c r="N6" s="5">
        <v>15</v>
      </c>
      <c r="O6" s="5">
        <f>(L6+H6)*1+(25.5-22)+(43-29.4)</f>
        <v>22.1</v>
      </c>
      <c r="P6" s="5">
        <f>(M6+H6)*1+(25.5-22)+(43-29.4)</f>
        <v>24.87</v>
      </c>
      <c r="Q6" s="5">
        <f>(N6+H6)*1+(25.5-22)+(43-29.4)</f>
        <v>32.1</v>
      </c>
      <c r="R6" s="5">
        <f t="shared" si="0"/>
        <v>1686.1433680000002</v>
      </c>
      <c r="S6" s="5">
        <f t="shared" si="1"/>
        <v>1897.4835096000002</v>
      </c>
      <c r="T6" s="5">
        <f t="shared" si="2"/>
        <v>2449.1041680000003</v>
      </c>
    </row>
    <row r="7" spans="2:20" ht="36" customHeight="1" x14ac:dyDescent="0.3">
      <c r="B7" s="6" t="s">
        <v>12</v>
      </c>
      <c r="C7" s="21">
        <v>3.7</v>
      </c>
      <c r="D7" s="5"/>
      <c r="E7" s="5">
        <v>2</v>
      </c>
      <c r="F7" s="5">
        <v>2</v>
      </c>
      <c r="G7" s="5">
        <f>E7*F7</f>
        <v>4</v>
      </c>
      <c r="H7" s="5"/>
      <c r="I7" s="5">
        <f>G7</f>
        <v>4</v>
      </c>
      <c r="J7" s="5"/>
      <c r="K7" s="5"/>
      <c r="L7" s="5"/>
      <c r="M7" s="5"/>
      <c r="N7" s="5"/>
      <c r="O7" s="5"/>
      <c r="P7" s="5"/>
      <c r="Q7" s="5"/>
      <c r="R7" s="5">
        <f>C7*G7*(43-22)</f>
        <v>310.8</v>
      </c>
      <c r="S7" s="5">
        <f>R7</f>
        <v>310.8</v>
      </c>
      <c r="T7" s="5">
        <f>R7</f>
        <v>310.8</v>
      </c>
    </row>
    <row r="8" spans="2:20" ht="28.8" x14ac:dyDescent="0.3">
      <c r="B8" s="6" t="s">
        <v>40</v>
      </c>
      <c r="C8" s="21">
        <v>3.7</v>
      </c>
      <c r="D8" s="5"/>
      <c r="E8" s="5">
        <v>2</v>
      </c>
      <c r="F8" s="5">
        <v>2</v>
      </c>
      <c r="G8" s="5">
        <f>E8*F8</f>
        <v>4</v>
      </c>
      <c r="H8" s="5"/>
      <c r="I8" s="5">
        <f>G8</f>
        <v>4</v>
      </c>
      <c r="J8" s="5">
        <v>673.45799999999997</v>
      </c>
      <c r="K8" s="21">
        <v>0.64</v>
      </c>
      <c r="L8" s="5">
        <v>0.17</v>
      </c>
      <c r="M8" s="5">
        <v>0.53</v>
      </c>
      <c r="N8" s="5">
        <v>0.82</v>
      </c>
      <c r="O8" s="5"/>
      <c r="P8" s="5"/>
      <c r="Q8" s="5"/>
      <c r="R8" s="5">
        <f>I8*K8*J8*L8</f>
        <v>293.08892160000005</v>
      </c>
      <c r="S8" s="5">
        <f>I8*K8*J8*M8</f>
        <v>913.74781440000004</v>
      </c>
      <c r="T8" s="5">
        <f>I8*K8*J8*N8</f>
        <v>1413.7230336</v>
      </c>
    </row>
    <row r="9" spans="2:20" x14ac:dyDescent="0.3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7" t="s">
        <v>14</v>
      </c>
      <c r="R9" s="8">
        <f>R4+R6+R7+R8</f>
        <v>4749.7317937450007</v>
      </c>
      <c r="S9" s="8">
        <f t="shared" ref="S9:T9" si="3">S4+S6+S7+S8</f>
        <v>5748.2079519450008</v>
      </c>
      <c r="T9" s="8">
        <f t="shared" si="3"/>
        <v>6591.7074247950013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111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</row>
    <row r="13" spans="2:20" x14ac:dyDescent="0.3">
      <c r="B13" s="5">
        <v>6.81</v>
      </c>
      <c r="C13" s="5">
        <v>6.74</v>
      </c>
      <c r="D13" s="5">
        <v>4</v>
      </c>
      <c r="E13" s="5">
        <f>B13*C13*D13</f>
        <v>183.5976</v>
      </c>
      <c r="F13" s="5">
        <v>1</v>
      </c>
      <c r="G13" s="5">
        <f>((E13*F13*1000)/3600)</f>
        <v>50.999333333333333</v>
      </c>
      <c r="H13" s="5">
        <f>(43-22)</f>
        <v>21</v>
      </c>
      <c r="I13" s="5">
        <f>(0.022-0.0065)</f>
        <v>1.55E-2</v>
      </c>
      <c r="J13" s="5">
        <f>(1.232*G13*H13)</f>
        <v>1319.4547520000001</v>
      </c>
      <c r="K13" s="5">
        <f>(3012*G13*I13)</f>
        <v>2380.9548759999998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3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3" t="s">
        <v>28</v>
      </c>
      <c r="C18" s="5"/>
      <c r="D18" s="21">
        <f>(30*G4)</f>
        <v>1376.982</v>
      </c>
      <c r="E18" s="5"/>
      <c r="F18" s="5"/>
      <c r="G18" s="21">
        <v>0.79</v>
      </c>
      <c r="H18" s="21">
        <v>0.83</v>
      </c>
      <c r="I18" s="21">
        <v>0.86</v>
      </c>
      <c r="J18" s="5">
        <f>D18*G18</f>
        <v>1087.8157800000001</v>
      </c>
      <c r="K18" s="5">
        <f>D18*H18</f>
        <v>1142.8950599999998</v>
      </c>
      <c r="L18" s="5">
        <f>D18*I18</f>
        <v>1184.20452</v>
      </c>
    </row>
    <row r="19" spans="2:12" ht="28.8" x14ac:dyDescent="0.3">
      <c r="B19" s="9" t="s">
        <v>29</v>
      </c>
      <c r="C19" s="22">
        <v>6</v>
      </c>
      <c r="D19" s="5"/>
      <c r="E19" s="5"/>
      <c r="F19" s="5">
        <v>73</v>
      </c>
      <c r="G19" s="21">
        <v>0.74</v>
      </c>
      <c r="H19" s="21">
        <v>0.8</v>
      </c>
      <c r="I19" s="21">
        <v>0.85</v>
      </c>
      <c r="J19" s="5">
        <f>C19*F19*G19</f>
        <v>324.12</v>
      </c>
      <c r="K19" s="5">
        <f>C19*F19*H19</f>
        <v>350.40000000000003</v>
      </c>
      <c r="L19" s="5">
        <f>C19*F19*I19</f>
        <v>372.3</v>
      </c>
    </row>
    <row r="20" spans="2:12" ht="28.8" x14ac:dyDescent="0.3">
      <c r="B20" s="9" t="s">
        <v>30</v>
      </c>
      <c r="C20" s="22"/>
      <c r="D20" s="5"/>
      <c r="E20" s="5">
        <v>59</v>
      </c>
      <c r="F20" s="5"/>
      <c r="G20" s="5"/>
      <c r="H20" s="5"/>
      <c r="I20" s="5"/>
      <c r="J20" s="5">
        <f>C19*E20</f>
        <v>354</v>
      </c>
      <c r="K20" s="5">
        <f>J20</f>
        <v>354</v>
      </c>
      <c r="L20" s="5">
        <f>J20</f>
        <v>354</v>
      </c>
    </row>
    <row r="21" spans="2:12" x14ac:dyDescent="0.3">
      <c r="B21" s="3" t="s">
        <v>31</v>
      </c>
      <c r="C21" s="5">
        <v>6</v>
      </c>
      <c r="D21" s="5"/>
      <c r="E21" s="5"/>
      <c r="F21" s="5">
        <v>55</v>
      </c>
      <c r="G21" s="5">
        <v>0.77</v>
      </c>
      <c r="H21" s="5">
        <v>0.83</v>
      </c>
      <c r="I21" s="5">
        <v>0.87</v>
      </c>
      <c r="J21" s="5">
        <f>C21*F21*G21</f>
        <v>254.1</v>
      </c>
      <c r="K21" s="5">
        <f>C21*F21*H21</f>
        <v>273.89999999999998</v>
      </c>
      <c r="L21" s="5">
        <f>C21*F21*I21</f>
        <v>287.10000000000002</v>
      </c>
    </row>
    <row r="22" spans="2:12" x14ac:dyDescent="0.3">
      <c r="B22" s="3" t="s">
        <v>41</v>
      </c>
      <c r="C22" s="5">
        <v>1</v>
      </c>
      <c r="D22" s="5"/>
      <c r="E22" s="5"/>
      <c r="F22" s="5">
        <v>320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246.4</v>
      </c>
      <c r="K22" s="5">
        <f>C22*F22*H22</f>
        <v>265.59999999999997</v>
      </c>
      <c r="L22" s="5">
        <f>C22*F22*I22</f>
        <v>278.39999999999998</v>
      </c>
    </row>
    <row r="23" spans="2:12" x14ac:dyDescent="0.3">
      <c r="B23" s="3" t="s">
        <v>42</v>
      </c>
      <c r="C23" s="5">
        <v>2</v>
      </c>
      <c r="D23" s="5"/>
      <c r="E23" s="5"/>
      <c r="F23" s="5">
        <v>1100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1694</v>
      </c>
      <c r="K23" s="5">
        <f>C23*F23*H23</f>
        <v>1826</v>
      </c>
      <c r="L23" s="5">
        <f>C23*F23*I23</f>
        <v>1914</v>
      </c>
    </row>
    <row r="24" spans="2:12" ht="15" customHeight="1" x14ac:dyDescent="0.3">
      <c r="B24" s="8" t="s">
        <v>34</v>
      </c>
      <c r="C24" s="5"/>
      <c r="D24" s="5"/>
      <c r="E24" s="5"/>
      <c r="F24" s="5"/>
      <c r="G24" s="5"/>
      <c r="H24" s="5"/>
      <c r="I24" s="5"/>
      <c r="J24" s="7">
        <f>J18+J19+J21+J22+J23</f>
        <v>3606.4357800000002</v>
      </c>
      <c r="K24" s="7">
        <f t="shared" ref="K24:L24" si="4">K18+K19+K21+K22+K23</f>
        <v>3858.7950599999999</v>
      </c>
      <c r="L24" s="7">
        <f t="shared" si="4"/>
        <v>4036.00452</v>
      </c>
    </row>
    <row r="25" spans="2:12" x14ac:dyDescent="0.3">
      <c r="B25" s="8" t="s">
        <v>35</v>
      </c>
      <c r="C25" s="5"/>
      <c r="D25" s="5"/>
      <c r="E25" s="5"/>
      <c r="F25" s="5"/>
      <c r="G25" s="5"/>
      <c r="H25" s="5"/>
      <c r="I25" s="5"/>
      <c r="J25" s="7">
        <f>J20</f>
        <v>354</v>
      </c>
      <c r="K25" s="7">
        <f>K20</f>
        <v>354</v>
      </c>
      <c r="L25" s="7">
        <f>L20</f>
        <v>354</v>
      </c>
    </row>
    <row r="28" spans="2:12" ht="57.6" x14ac:dyDescent="0.3">
      <c r="B28" s="3"/>
      <c r="C28" s="2" t="s">
        <v>38</v>
      </c>
      <c r="D28" s="2" t="s">
        <v>37</v>
      </c>
      <c r="E28" s="2" t="s">
        <v>36</v>
      </c>
      <c r="F28" s="2" t="s">
        <v>39</v>
      </c>
      <c r="H28" s="2" t="s">
        <v>78</v>
      </c>
      <c r="I28" s="2" t="s">
        <v>112</v>
      </c>
      <c r="J28" s="2" t="s">
        <v>77</v>
      </c>
    </row>
    <row r="29" spans="2:12" x14ac:dyDescent="0.3">
      <c r="B29" s="11">
        <v>0.5</v>
      </c>
      <c r="C29" s="3">
        <f>R9+J13+J24</f>
        <v>9675.6223257450001</v>
      </c>
      <c r="D29" s="3">
        <f>K13+J25</f>
        <v>2734.9548759999998</v>
      </c>
      <c r="E29" s="3">
        <f>C29+D29</f>
        <v>12410.577201745</v>
      </c>
      <c r="F29" s="3">
        <f>(E29*0.0002843)</f>
        <v>3.5283270984561037</v>
      </c>
      <c r="H29" s="3">
        <f>(E31/(100-39))*0.001</f>
        <v>0.24069051758680332</v>
      </c>
      <c r="I29" s="3">
        <f>H29*0.845</f>
        <v>0.2033834873608488</v>
      </c>
      <c r="J29" s="3">
        <f>SQRT((4*H29)/(3.14*6.3*0.845))</f>
        <v>0.23999159541747403</v>
      </c>
    </row>
    <row r="30" spans="2:12" x14ac:dyDescent="0.3">
      <c r="B30" s="11">
        <v>0.58333333333333337</v>
      </c>
      <c r="C30" s="3">
        <f>S9+J13+K24</f>
        <v>10926.457763945002</v>
      </c>
      <c r="D30" s="3">
        <f>D29</f>
        <v>2734.9548759999998</v>
      </c>
      <c r="E30" s="3">
        <f t="shared" ref="E30:E31" si="5">C30+D30</f>
        <v>13661.412639945002</v>
      </c>
      <c r="F30" s="3">
        <f t="shared" ref="F30:F31" si="6">(E30*0.0002843)</f>
        <v>3.8839396135363642</v>
      </c>
    </row>
    <row r="31" spans="2:12" x14ac:dyDescent="0.3">
      <c r="B31" s="11">
        <v>0.66666666666666663</v>
      </c>
      <c r="C31" s="3">
        <f>T9+J13+L24</f>
        <v>11947.166696795002</v>
      </c>
      <c r="D31" s="3">
        <f>D30</f>
        <v>2734.9548759999998</v>
      </c>
      <c r="E31" s="3">
        <f t="shared" si="5"/>
        <v>14682.121572795002</v>
      </c>
      <c r="F31" s="8">
        <f t="shared" si="6"/>
        <v>4.1741271631456192</v>
      </c>
    </row>
  </sheetData>
  <mergeCells count="7">
    <mergeCell ref="C19:C20"/>
    <mergeCell ref="L2:N2"/>
    <mergeCell ref="O2:Q2"/>
    <mergeCell ref="R2:T2"/>
    <mergeCell ref="B11:K11"/>
    <mergeCell ref="G16:I16"/>
    <mergeCell ref="J16:L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F530-CF84-44F0-A817-C7BEFCC96DBD}">
  <dimension ref="B2:T36"/>
  <sheetViews>
    <sheetView zoomScale="80" zoomScaleNormal="80" workbookViewId="0">
      <selection activeCell="C2" sqref="C2"/>
    </sheetView>
  </sheetViews>
  <sheetFormatPr defaultRowHeight="14.4" x14ac:dyDescent="0.3"/>
  <cols>
    <col min="1" max="1" width="8.88671875" style="30"/>
    <col min="2" max="2" width="13.109375" style="30" customWidth="1"/>
    <col min="3" max="3" width="10" style="30" customWidth="1"/>
    <col min="4" max="4" width="8.88671875" style="30"/>
    <col min="5" max="5" width="8.77734375" style="30" customWidth="1"/>
    <col min="6" max="6" width="8.88671875" style="30"/>
    <col min="7" max="7" width="10.5546875" style="30" customWidth="1"/>
    <col min="8" max="8" width="7.88671875" style="30" customWidth="1"/>
    <col min="9" max="9" width="8.88671875" style="30"/>
    <col min="10" max="10" width="9.6640625" style="30" customWidth="1"/>
    <col min="11" max="16384" width="8.88671875" style="30"/>
  </cols>
  <sheetData>
    <row r="2" spans="2:20" ht="49.8" customHeight="1" x14ac:dyDescent="0.3">
      <c r="B2" s="1" t="s">
        <v>0</v>
      </c>
      <c r="C2" s="2" t="s">
        <v>107</v>
      </c>
      <c r="D2" s="2" t="s">
        <v>1</v>
      </c>
      <c r="E2" s="2" t="s">
        <v>2</v>
      </c>
      <c r="F2" s="2" t="s">
        <v>3</v>
      </c>
      <c r="G2" s="2" t="s">
        <v>108</v>
      </c>
      <c r="H2" s="2" t="s">
        <v>4</v>
      </c>
      <c r="I2" s="2" t="s">
        <v>109</v>
      </c>
      <c r="J2" s="2" t="s">
        <v>110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ht="16.2" customHeight="1" x14ac:dyDescent="0.3">
      <c r="B4" s="5" t="s">
        <v>8</v>
      </c>
      <c r="C4" s="21">
        <v>1.2090000000000001</v>
      </c>
      <c r="D4" s="5">
        <v>12.34</v>
      </c>
      <c r="E4" s="5">
        <v>5.27</v>
      </c>
      <c r="F4" s="5"/>
      <c r="G4" s="5">
        <f>D4*E4</f>
        <v>65.03179999999999</v>
      </c>
      <c r="H4" s="21">
        <v>2</v>
      </c>
      <c r="I4" s="5">
        <f>G4</f>
        <v>65.03179999999999</v>
      </c>
      <c r="J4" s="5"/>
      <c r="K4" s="5"/>
      <c r="L4" s="21">
        <v>40</v>
      </c>
      <c r="M4" s="21">
        <v>44</v>
      </c>
      <c r="N4" s="21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3484.9842528149998</v>
      </c>
      <c r="S4" s="5">
        <f>C4*I4*P4</f>
        <v>3720.8545914149995</v>
      </c>
      <c r="T4" s="5">
        <f>C4*I4*Q4</f>
        <v>3426.0166681649998</v>
      </c>
    </row>
    <row r="5" spans="2:20" ht="28.8" x14ac:dyDescent="0.3">
      <c r="B5" s="6" t="s">
        <v>43</v>
      </c>
      <c r="C5" s="5">
        <v>3.323</v>
      </c>
      <c r="D5" s="5">
        <v>12.34</v>
      </c>
      <c r="E5" s="5"/>
      <c r="F5" s="5">
        <v>4</v>
      </c>
      <c r="G5" s="5">
        <f>D5*F5</f>
        <v>49.36</v>
      </c>
      <c r="H5" s="5">
        <v>-4</v>
      </c>
      <c r="I5" s="5">
        <f>G5-G7</f>
        <v>39.36</v>
      </c>
      <c r="J5" s="5"/>
      <c r="K5" s="5"/>
      <c r="L5" s="5">
        <v>7.22</v>
      </c>
      <c r="M5" s="5">
        <v>13.33</v>
      </c>
      <c r="N5" s="5">
        <v>17.77</v>
      </c>
      <c r="O5" s="5">
        <f>(L5+H5)*1+(25.5-22)+(43-29.4)</f>
        <v>20.32</v>
      </c>
      <c r="P5" s="5">
        <f>(M5+H5)*1+(25.5-22)+(43-29.4)</f>
        <v>26.43</v>
      </c>
      <c r="Q5" s="5">
        <f>(N5+H5)*1+(25.5-22)+(43-29.4)</f>
        <v>30.87</v>
      </c>
      <c r="R5" s="5">
        <f t="shared" ref="R5:R6" si="0">C5*I5*O5</f>
        <v>2657.7194496000002</v>
      </c>
      <c r="S5" s="5">
        <f t="shared" ref="S5:S6" si="1">C5*I5*P5</f>
        <v>3456.8663904</v>
      </c>
      <c r="T5" s="5">
        <f t="shared" ref="T5:T6" si="2">C5*I5*Q5</f>
        <v>4037.5885536000005</v>
      </c>
    </row>
    <row r="6" spans="2:20" ht="28.8" x14ac:dyDescent="0.3">
      <c r="B6" s="6" t="s">
        <v>10</v>
      </c>
      <c r="C6" s="21">
        <v>3.323</v>
      </c>
      <c r="D6" s="5"/>
      <c r="E6" s="5">
        <v>5.27</v>
      </c>
      <c r="F6" s="5">
        <v>4</v>
      </c>
      <c r="G6" s="5">
        <f>E6*F6</f>
        <v>21.08</v>
      </c>
      <c r="H6" s="5">
        <v>0</v>
      </c>
      <c r="I6" s="5">
        <f>G6</f>
        <v>21.08</v>
      </c>
      <c r="J6" s="5"/>
      <c r="K6" s="5"/>
      <c r="L6" s="5">
        <v>5</v>
      </c>
      <c r="M6" s="5">
        <v>7.77</v>
      </c>
      <c r="N6" s="5">
        <v>15</v>
      </c>
      <c r="O6" s="5">
        <f>(L6+H6)*1+(25.5-22)+(43-29.4)</f>
        <v>22.1</v>
      </c>
      <c r="P6" s="5">
        <f>(M6+H6)*1+(25.5-22)+(43-29.4)</f>
        <v>24.87</v>
      </c>
      <c r="Q6" s="5">
        <f>(N6+H6)*1+(25.5-22)+(43-29.4)</f>
        <v>32.1</v>
      </c>
      <c r="R6" s="5">
        <f t="shared" si="0"/>
        <v>1548.0793640000002</v>
      </c>
      <c r="S6" s="5">
        <f t="shared" si="1"/>
        <v>1742.1146507999999</v>
      </c>
      <c r="T6" s="5">
        <f t="shared" si="2"/>
        <v>2248.5677639999999</v>
      </c>
    </row>
    <row r="7" spans="2:20" ht="36" customHeight="1" x14ac:dyDescent="0.3">
      <c r="B7" s="6" t="s">
        <v>12</v>
      </c>
      <c r="C7" s="21">
        <v>3.7</v>
      </c>
      <c r="D7" s="5"/>
      <c r="E7" s="5">
        <v>5</v>
      </c>
      <c r="F7" s="5">
        <v>2</v>
      </c>
      <c r="G7" s="5">
        <f>E7*F7</f>
        <v>10</v>
      </c>
      <c r="H7" s="5"/>
      <c r="I7" s="5">
        <f>G7</f>
        <v>10</v>
      </c>
      <c r="J7" s="5"/>
      <c r="K7" s="5"/>
      <c r="L7" s="5"/>
      <c r="M7" s="5"/>
      <c r="N7" s="5"/>
      <c r="O7" s="5"/>
      <c r="P7" s="5"/>
      <c r="Q7" s="5"/>
      <c r="R7" s="5">
        <f>C7*G7*(43-22)</f>
        <v>777</v>
      </c>
      <c r="S7" s="5">
        <f>R7</f>
        <v>777</v>
      </c>
      <c r="T7" s="5">
        <f>R7</f>
        <v>777</v>
      </c>
    </row>
    <row r="8" spans="2:20" ht="28.8" x14ac:dyDescent="0.3">
      <c r="B8" s="6" t="s">
        <v>44</v>
      </c>
      <c r="C8" s="21">
        <v>3.7</v>
      </c>
      <c r="D8" s="5"/>
      <c r="E8" s="5">
        <v>5</v>
      </c>
      <c r="F8" s="5">
        <v>2</v>
      </c>
      <c r="G8" s="5">
        <f>E8*F8</f>
        <v>10</v>
      </c>
      <c r="H8" s="5"/>
      <c r="I8" s="5">
        <f>G8</f>
        <v>10</v>
      </c>
      <c r="J8" s="5">
        <v>188.82</v>
      </c>
      <c r="K8" s="21">
        <v>0.64</v>
      </c>
      <c r="L8" s="5">
        <v>0.83</v>
      </c>
      <c r="M8" s="5">
        <v>0.68</v>
      </c>
      <c r="N8" s="5">
        <v>0.35</v>
      </c>
      <c r="O8" s="5"/>
      <c r="P8" s="5"/>
      <c r="Q8" s="5"/>
      <c r="R8" s="5">
        <f>I8*K8*J8*L8</f>
        <v>1003.01184</v>
      </c>
      <c r="S8" s="5">
        <f>I8*K8*J8*M8</f>
        <v>821.74464000000012</v>
      </c>
      <c r="T8" s="5">
        <f>I8*K8*J8*N8</f>
        <v>422.95679999999999</v>
      </c>
    </row>
    <row r="9" spans="2:20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7" t="s">
        <v>14</v>
      </c>
      <c r="R9" s="7">
        <f>R4+R6+R7+R8+R5</f>
        <v>9470.7949064149998</v>
      </c>
      <c r="S9" s="7">
        <f t="shared" ref="S9:T9" si="3">S4+S6+S7+S8+S5</f>
        <v>10518.580272615</v>
      </c>
      <c r="T9" s="7">
        <f t="shared" si="3"/>
        <v>10912.129785765001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118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</row>
    <row r="13" spans="2:20" x14ac:dyDescent="0.3">
      <c r="B13" s="5">
        <v>12.34</v>
      </c>
      <c r="C13" s="5">
        <v>5.27</v>
      </c>
      <c r="D13" s="5">
        <v>4</v>
      </c>
      <c r="E13" s="5">
        <f>B13*C13*D13</f>
        <v>260.12719999999996</v>
      </c>
      <c r="F13" s="5">
        <v>1</v>
      </c>
      <c r="G13" s="5">
        <f>((E13*F13*1000)/3600)</f>
        <v>72.257555555555541</v>
      </c>
      <c r="H13" s="5">
        <f>(43-22)</f>
        <v>21</v>
      </c>
      <c r="I13" s="5">
        <f>(0.022-0.0065)</f>
        <v>1.55E-2</v>
      </c>
      <c r="J13" s="5">
        <f>(1.232*G13*H13)</f>
        <v>1869.4474773333329</v>
      </c>
      <c r="K13" s="5">
        <f>(3012*G13*I13)</f>
        <v>3373.4162386666658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5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5" t="s">
        <v>28</v>
      </c>
      <c r="C18" s="5"/>
      <c r="D18" s="21">
        <f>(30*G4)</f>
        <v>1950.9539999999997</v>
      </c>
      <c r="E18" s="5"/>
      <c r="F18" s="5"/>
      <c r="G18" s="21">
        <v>0.79</v>
      </c>
      <c r="H18" s="21">
        <v>0.83</v>
      </c>
      <c r="I18" s="21">
        <v>0.86</v>
      </c>
      <c r="J18" s="5">
        <f>D18*G18</f>
        <v>1541.2536599999999</v>
      </c>
      <c r="K18" s="5">
        <f>D18*H18</f>
        <v>1619.2918199999997</v>
      </c>
      <c r="L18" s="5">
        <f>D18*I18</f>
        <v>1677.8204399999997</v>
      </c>
    </row>
    <row r="19" spans="2:12" ht="28.8" x14ac:dyDescent="0.3">
      <c r="B19" s="6" t="s">
        <v>29</v>
      </c>
      <c r="C19" s="22">
        <v>20</v>
      </c>
      <c r="D19" s="5"/>
      <c r="E19" s="5"/>
      <c r="F19" s="5">
        <v>81</v>
      </c>
      <c r="G19" s="21">
        <v>0.74</v>
      </c>
      <c r="H19" s="21">
        <v>0.8</v>
      </c>
      <c r="I19" s="21">
        <v>0.85</v>
      </c>
      <c r="J19" s="5">
        <f>C19*F19*G19</f>
        <v>1198.8</v>
      </c>
      <c r="K19" s="5">
        <f>C19*F19*H19</f>
        <v>1296</v>
      </c>
      <c r="L19" s="5">
        <f>C19*F19*I19</f>
        <v>1377</v>
      </c>
    </row>
    <row r="20" spans="2:12" ht="28.8" x14ac:dyDescent="0.3">
      <c r="B20" s="6" t="s">
        <v>30</v>
      </c>
      <c r="C20" s="22"/>
      <c r="D20" s="5"/>
      <c r="E20" s="5">
        <v>81</v>
      </c>
      <c r="F20" s="5"/>
      <c r="G20" s="5"/>
      <c r="H20" s="5"/>
      <c r="I20" s="5"/>
      <c r="J20" s="5">
        <f>C19*E20</f>
        <v>1620</v>
      </c>
      <c r="K20" s="5">
        <f>J20</f>
        <v>1620</v>
      </c>
      <c r="L20" s="5">
        <f>J20</f>
        <v>1620</v>
      </c>
    </row>
    <row r="21" spans="2:12" x14ac:dyDescent="0.3">
      <c r="B21" s="5" t="s">
        <v>45</v>
      </c>
      <c r="C21" s="5">
        <v>1</v>
      </c>
      <c r="D21" s="5"/>
      <c r="E21" s="5"/>
      <c r="F21" s="5">
        <v>310</v>
      </c>
      <c r="G21" s="5">
        <v>0.77</v>
      </c>
      <c r="H21" s="5">
        <v>0.83</v>
      </c>
      <c r="I21" s="5">
        <v>0.87</v>
      </c>
      <c r="J21" s="5">
        <f>C21*F21*G21</f>
        <v>238.70000000000002</v>
      </c>
      <c r="K21" s="5">
        <f>C21*F21*H21</f>
        <v>257.3</v>
      </c>
      <c r="L21" s="5">
        <f>C21*F21*I21</f>
        <v>269.7</v>
      </c>
    </row>
    <row r="22" spans="2:12" ht="28.8" x14ac:dyDescent="0.3">
      <c r="B22" s="6" t="s">
        <v>46</v>
      </c>
      <c r="C22" s="5">
        <v>2</v>
      </c>
      <c r="D22" s="5"/>
      <c r="E22" s="5"/>
      <c r="F22" s="5">
        <v>400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616</v>
      </c>
      <c r="K22" s="5">
        <f>C22*F22*H22</f>
        <v>664</v>
      </c>
      <c r="L22" s="5">
        <f>C22*F22*I22</f>
        <v>696</v>
      </c>
    </row>
    <row r="23" spans="2:12" x14ac:dyDescent="0.3">
      <c r="B23" s="5" t="s">
        <v>47</v>
      </c>
      <c r="C23" s="5">
        <v>1</v>
      </c>
      <c r="D23" s="5"/>
      <c r="E23" s="5"/>
      <c r="F23" s="5">
        <v>350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269.5</v>
      </c>
      <c r="K23" s="5">
        <f>C23*F23*H23</f>
        <v>290.5</v>
      </c>
      <c r="L23" s="5">
        <f>C23*F23*I23</f>
        <v>304.5</v>
      </c>
    </row>
    <row r="24" spans="2:12" ht="28.8" x14ac:dyDescent="0.3">
      <c r="B24" s="6" t="s">
        <v>48</v>
      </c>
      <c r="C24" s="26">
        <v>1</v>
      </c>
      <c r="D24" s="5"/>
      <c r="E24" s="5"/>
      <c r="F24" s="5">
        <v>1050</v>
      </c>
      <c r="G24" s="5">
        <f>G23</f>
        <v>0.77</v>
      </c>
      <c r="H24" s="5">
        <f>H22</f>
        <v>0.83</v>
      </c>
      <c r="I24" s="5">
        <f>I22</f>
        <v>0.87</v>
      </c>
      <c r="J24" s="5">
        <f>C24*F24*G24</f>
        <v>808.5</v>
      </c>
      <c r="K24" s="5">
        <f>C24*F24*H24</f>
        <v>871.5</v>
      </c>
      <c r="L24" s="5">
        <f>C24*F24*I24</f>
        <v>913.5</v>
      </c>
    </row>
    <row r="25" spans="2:12" ht="28.8" x14ac:dyDescent="0.3">
      <c r="B25" s="6" t="s">
        <v>49</v>
      </c>
      <c r="C25" s="27"/>
      <c r="D25" s="5"/>
      <c r="E25" s="5">
        <v>450</v>
      </c>
      <c r="F25" s="5"/>
      <c r="G25" s="5"/>
      <c r="H25" s="5"/>
      <c r="I25" s="5"/>
      <c r="J25" s="5">
        <f>C24*E25</f>
        <v>450</v>
      </c>
      <c r="K25" s="5">
        <f>J25</f>
        <v>450</v>
      </c>
      <c r="L25" s="5">
        <f>J25</f>
        <v>450</v>
      </c>
    </row>
    <row r="26" spans="2:12" ht="28.8" x14ac:dyDescent="0.3">
      <c r="B26" s="6" t="s">
        <v>50</v>
      </c>
      <c r="C26" s="12">
        <v>1</v>
      </c>
      <c r="D26" s="5"/>
      <c r="E26" s="5"/>
      <c r="F26" s="5">
        <v>257.5</v>
      </c>
      <c r="G26" s="5">
        <f>G24</f>
        <v>0.77</v>
      </c>
      <c r="H26" s="5">
        <f>H24</f>
        <v>0.83</v>
      </c>
      <c r="I26" s="5">
        <f>I24</f>
        <v>0.87</v>
      </c>
      <c r="J26" s="5">
        <f>C26*F26*G26</f>
        <v>198.27500000000001</v>
      </c>
      <c r="K26" s="5">
        <f>C26*F26*H26</f>
        <v>213.72499999999999</v>
      </c>
      <c r="L26" s="5">
        <f>C26*F26*I26</f>
        <v>224.02500000000001</v>
      </c>
    </row>
    <row r="27" spans="2:12" ht="28.8" x14ac:dyDescent="0.3">
      <c r="B27" s="6" t="s">
        <v>51</v>
      </c>
      <c r="C27" s="26">
        <v>2</v>
      </c>
      <c r="D27" s="5"/>
      <c r="E27" s="5"/>
      <c r="F27" s="5">
        <v>21</v>
      </c>
      <c r="G27" s="5">
        <f>G26</f>
        <v>0.77</v>
      </c>
      <c r="H27" s="5">
        <f>H26</f>
        <v>0.83</v>
      </c>
      <c r="I27" s="5">
        <f>I26</f>
        <v>0.87</v>
      </c>
      <c r="J27" s="5">
        <f>C27*F27*G27</f>
        <v>32.340000000000003</v>
      </c>
      <c r="K27" s="5">
        <f>C27*F27*H27</f>
        <v>34.86</v>
      </c>
      <c r="L27" s="5">
        <f>C27*F27*I27</f>
        <v>36.54</v>
      </c>
    </row>
    <row r="28" spans="2:12" ht="28.8" x14ac:dyDescent="0.3">
      <c r="B28" s="6" t="s">
        <v>52</v>
      </c>
      <c r="C28" s="27"/>
      <c r="D28" s="5"/>
      <c r="E28" s="5">
        <v>14</v>
      </c>
      <c r="F28" s="5"/>
      <c r="G28" s="5"/>
      <c r="H28" s="5"/>
      <c r="I28" s="5"/>
      <c r="J28" s="5">
        <f>C27*E28</f>
        <v>28</v>
      </c>
      <c r="K28" s="5">
        <f>J28</f>
        <v>28</v>
      </c>
      <c r="L28" s="5">
        <f>J28</f>
        <v>28</v>
      </c>
    </row>
    <row r="29" spans="2:12" ht="15" customHeight="1" x14ac:dyDescent="0.3">
      <c r="B29" s="7" t="s">
        <v>34</v>
      </c>
      <c r="C29" s="5"/>
      <c r="D29" s="5"/>
      <c r="E29" s="5"/>
      <c r="F29" s="5"/>
      <c r="G29" s="5"/>
      <c r="H29" s="5"/>
      <c r="I29" s="5"/>
      <c r="J29" s="7">
        <f>J18+J19+J21+J22+J23+J24+J26+J27</f>
        <v>4903.3686599999992</v>
      </c>
      <c r="K29" s="7">
        <f t="shared" ref="K29:L29" si="4">K18+K19+K21+K22+K23+K24+K26+K27</f>
        <v>5247.1768199999997</v>
      </c>
      <c r="L29" s="7">
        <f t="shared" si="4"/>
        <v>5499.0854399999989</v>
      </c>
    </row>
    <row r="30" spans="2:12" x14ac:dyDescent="0.3">
      <c r="B30" s="7" t="s">
        <v>35</v>
      </c>
      <c r="C30" s="5"/>
      <c r="D30" s="5"/>
      <c r="E30" s="5"/>
      <c r="F30" s="5"/>
      <c r="G30" s="5"/>
      <c r="H30" s="5"/>
      <c r="I30" s="5"/>
      <c r="J30" s="7">
        <f>J20+J25+J28</f>
        <v>2098</v>
      </c>
      <c r="K30" s="7">
        <f t="shared" ref="K30:L30" si="5">K20+K25+K28</f>
        <v>2098</v>
      </c>
      <c r="L30" s="7">
        <f t="shared" si="5"/>
        <v>2098</v>
      </c>
    </row>
    <row r="33" spans="2:10" ht="57.6" x14ac:dyDescent="0.3">
      <c r="B33" s="5"/>
      <c r="C33" s="2" t="s">
        <v>38</v>
      </c>
      <c r="D33" s="2" t="s">
        <v>37</v>
      </c>
      <c r="E33" s="2" t="s">
        <v>36</v>
      </c>
      <c r="F33" s="2" t="s">
        <v>39</v>
      </c>
      <c r="H33" s="2" t="s">
        <v>78</v>
      </c>
      <c r="I33" s="2" t="s">
        <v>112</v>
      </c>
      <c r="J33" s="2" t="s">
        <v>77</v>
      </c>
    </row>
    <row r="34" spans="2:10" x14ac:dyDescent="0.3">
      <c r="B34" s="33">
        <v>0.5</v>
      </c>
      <c r="C34" s="5">
        <f>R9+J13+J29</f>
        <v>16243.611043748333</v>
      </c>
      <c r="D34" s="5">
        <f>K13+J30</f>
        <v>5471.4162386666658</v>
      </c>
      <c r="E34" s="5">
        <f>C34+D34</f>
        <v>21715.027282414998</v>
      </c>
      <c r="F34" s="5">
        <f>(E34*0.0002843)</f>
        <v>6.1735822563905849</v>
      </c>
      <c r="H34" s="5">
        <f>(E36/(100-39))*0.001</f>
        <v>0.38937834330762294</v>
      </c>
      <c r="I34" s="5">
        <f>H34*0.845</f>
        <v>0.32902470009494139</v>
      </c>
      <c r="J34" s="5">
        <f>SQRT((4*H34)/(3.14*6.3*0.845))</f>
        <v>0.30524772715914472</v>
      </c>
    </row>
    <row r="35" spans="2:10" x14ac:dyDescent="0.3">
      <c r="B35" s="33">
        <v>0.58333333333333337</v>
      </c>
      <c r="C35" s="5">
        <f>S9+J13+K29</f>
        <v>17635.204569948331</v>
      </c>
      <c r="D35" s="5">
        <f>D34</f>
        <v>5471.4162386666658</v>
      </c>
      <c r="E35" s="5">
        <f t="shared" ref="E35:E36" si="6">C35+D35</f>
        <v>23106.620808614996</v>
      </c>
      <c r="F35" s="5">
        <f t="shared" ref="F35:F36" si="7">(E35*0.0002843)</f>
        <v>6.569212295889244</v>
      </c>
    </row>
    <row r="36" spans="2:10" x14ac:dyDescent="0.3">
      <c r="B36" s="33">
        <v>0.66666666666666663</v>
      </c>
      <c r="C36" s="5">
        <f>T9+J13+L29</f>
        <v>18280.662703098333</v>
      </c>
      <c r="D36" s="5">
        <f>D35</f>
        <v>5471.4162386666658</v>
      </c>
      <c r="E36" s="5">
        <f t="shared" si="6"/>
        <v>23752.078941764998</v>
      </c>
      <c r="F36" s="7">
        <f t="shared" si="7"/>
        <v>6.7527160431437894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895E-27EF-4FC8-B4B4-28404E135CF5}">
  <dimension ref="B2:T36"/>
  <sheetViews>
    <sheetView zoomScaleNormal="100" workbookViewId="0">
      <selection activeCell="L36" sqref="L36"/>
    </sheetView>
  </sheetViews>
  <sheetFormatPr defaultRowHeight="14.4" x14ac:dyDescent="0.3"/>
  <cols>
    <col min="1" max="1" width="8.88671875" style="30"/>
    <col min="2" max="2" width="13.109375" style="30" customWidth="1"/>
    <col min="3" max="3" width="10" style="30" customWidth="1"/>
    <col min="4" max="4" width="8.88671875" style="30"/>
    <col min="5" max="5" width="8.77734375" style="30" customWidth="1"/>
    <col min="6" max="6" width="8.88671875" style="30"/>
    <col min="7" max="7" width="10.5546875" style="30" customWidth="1"/>
    <col min="8" max="8" width="7.88671875" style="30" customWidth="1"/>
    <col min="9" max="9" width="8.88671875" style="30"/>
    <col min="10" max="10" width="9.6640625" style="30" customWidth="1"/>
    <col min="11" max="16384" width="8.88671875" style="30"/>
  </cols>
  <sheetData>
    <row r="2" spans="2:20" ht="49.8" customHeight="1" x14ac:dyDescent="0.3">
      <c r="B2" s="1" t="s">
        <v>0</v>
      </c>
      <c r="C2" s="2" t="s">
        <v>114</v>
      </c>
      <c r="D2" s="2" t="s">
        <v>1</v>
      </c>
      <c r="E2" s="2" t="s">
        <v>2</v>
      </c>
      <c r="F2" s="2" t="s">
        <v>3</v>
      </c>
      <c r="G2" s="2" t="s">
        <v>115</v>
      </c>
      <c r="H2" s="2" t="s">
        <v>4</v>
      </c>
      <c r="I2" s="2" t="s">
        <v>116</v>
      </c>
      <c r="J2" s="2" t="s">
        <v>117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ht="16.2" customHeight="1" x14ac:dyDescent="0.3">
      <c r="B4" s="5" t="s">
        <v>8</v>
      </c>
      <c r="C4" s="21">
        <v>1.2090000000000001</v>
      </c>
      <c r="D4" s="5">
        <v>6.38</v>
      </c>
      <c r="E4" s="5">
        <v>5.27</v>
      </c>
      <c r="F4" s="5"/>
      <c r="G4" s="5">
        <f>D4*E4</f>
        <v>33.622599999999998</v>
      </c>
      <c r="H4" s="21">
        <v>2</v>
      </c>
      <c r="I4" s="5">
        <f>G4</f>
        <v>33.622599999999998</v>
      </c>
      <c r="J4" s="5"/>
      <c r="K4" s="5"/>
      <c r="L4" s="21">
        <v>40</v>
      </c>
      <c r="M4" s="21">
        <v>44</v>
      </c>
      <c r="N4" s="21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1801.7989897050002</v>
      </c>
      <c r="S4" s="5">
        <f>C4*I4*P4</f>
        <v>1923.748159905</v>
      </c>
      <c r="T4" s="5">
        <f>C4*I4*Q4</f>
        <v>1771.311697155</v>
      </c>
    </row>
    <row r="5" spans="2:20" ht="28.8" x14ac:dyDescent="0.3">
      <c r="B5" s="6" t="s">
        <v>43</v>
      </c>
      <c r="C5" s="5">
        <v>3.323</v>
      </c>
      <c r="D5" s="5">
        <v>6.38</v>
      </c>
      <c r="E5" s="5"/>
      <c r="F5" s="5">
        <v>4</v>
      </c>
      <c r="G5" s="5">
        <f>D5*F5</f>
        <v>25.52</v>
      </c>
      <c r="H5" s="5">
        <v>-4</v>
      </c>
      <c r="I5" s="5">
        <f>G5-G7</f>
        <v>21.52</v>
      </c>
      <c r="J5" s="5"/>
      <c r="K5" s="5"/>
      <c r="L5" s="5">
        <v>7.22</v>
      </c>
      <c r="M5" s="5">
        <v>13.33</v>
      </c>
      <c r="N5" s="5">
        <v>17.77</v>
      </c>
      <c r="O5" s="5">
        <f>(L5+H5)*1+(25.5-22)+(43-29.4)</f>
        <v>20.32</v>
      </c>
      <c r="P5" s="5">
        <f>(M5+H5)*1+(25.5-22)+(43-29.4)</f>
        <v>26.43</v>
      </c>
      <c r="Q5" s="5">
        <f>(N5+H5)*1+(25.5-22)+(43-29.4)</f>
        <v>30.87</v>
      </c>
      <c r="R5" s="5">
        <f t="shared" ref="R5" si="0">C5*I5*O5</f>
        <v>1453.1027071999999</v>
      </c>
      <c r="S5" s="5">
        <f t="shared" ref="S5" si="1">C5*I5*P5</f>
        <v>1890.0346728</v>
      </c>
      <c r="T5" s="5">
        <f t="shared" ref="T5" si="2">C5*I5*Q5</f>
        <v>2207.5433352</v>
      </c>
    </row>
    <row r="6" spans="2:20" ht="43.2" x14ac:dyDescent="0.3">
      <c r="B6" s="6" t="s">
        <v>56</v>
      </c>
      <c r="C6" s="21">
        <v>2.1640000000000001</v>
      </c>
      <c r="D6" s="5"/>
      <c r="E6" s="5">
        <v>5.27</v>
      </c>
      <c r="F6" s="5">
        <v>4</v>
      </c>
      <c r="G6" s="5">
        <f>E6*F6</f>
        <v>21.08</v>
      </c>
      <c r="H6" s="5">
        <v>0</v>
      </c>
      <c r="I6" s="5">
        <f>G6</f>
        <v>21.08</v>
      </c>
      <c r="J6" s="5"/>
      <c r="K6" s="5"/>
      <c r="L6" s="5"/>
      <c r="M6" s="5"/>
      <c r="N6" s="5"/>
      <c r="O6" s="5"/>
      <c r="P6" s="5"/>
      <c r="Q6" s="5"/>
      <c r="R6" s="5">
        <f>C6*I6*(30-22)</f>
        <v>364.93696</v>
      </c>
      <c r="S6" s="5">
        <f>C6*I6*(30-22)</f>
        <v>364.93696</v>
      </c>
      <c r="T6" s="5">
        <f>C6*I6*(30-22)</f>
        <v>364.93696</v>
      </c>
    </row>
    <row r="7" spans="2:20" ht="36" customHeight="1" x14ac:dyDescent="0.3">
      <c r="B7" s="6" t="s">
        <v>12</v>
      </c>
      <c r="C7" s="21">
        <v>3.7</v>
      </c>
      <c r="D7" s="5"/>
      <c r="E7" s="5">
        <v>2</v>
      </c>
      <c r="F7" s="5">
        <v>2</v>
      </c>
      <c r="G7" s="5">
        <f>E7*F7</f>
        <v>4</v>
      </c>
      <c r="H7" s="5"/>
      <c r="I7" s="5">
        <f>G7</f>
        <v>4</v>
      </c>
      <c r="J7" s="5"/>
      <c r="K7" s="5"/>
      <c r="L7" s="5"/>
      <c r="M7" s="5"/>
      <c r="N7" s="5"/>
      <c r="O7" s="5"/>
      <c r="P7" s="5"/>
      <c r="Q7" s="5"/>
      <c r="R7" s="5">
        <f>C7*G7*(43-22)</f>
        <v>310.8</v>
      </c>
      <c r="S7" s="5">
        <f>R7</f>
        <v>310.8</v>
      </c>
      <c r="T7" s="5">
        <f>R7</f>
        <v>310.8</v>
      </c>
    </row>
    <row r="8" spans="2:20" ht="28.8" x14ac:dyDescent="0.3">
      <c r="B8" s="6" t="s">
        <v>44</v>
      </c>
      <c r="C8" s="21">
        <v>3.7</v>
      </c>
      <c r="D8" s="5"/>
      <c r="E8" s="5">
        <v>2</v>
      </c>
      <c r="F8" s="5">
        <v>2</v>
      </c>
      <c r="G8" s="5">
        <f>E8*F8</f>
        <v>4</v>
      </c>
      <c r="H8" s="5"/>
      <c r="I8" s="5">
        <f>G8</f>
        <v>4</v>
      </c>
      <c r="J8" s="5">
        <v>188.82</v>
      </c>
      <c r="K8" s="21">
        <v>0.64</v>
      </c>
      <c r="L8" s="5">
        <v>0.83</v>
      </c>
      <c r="M8" s="5">
        <v>0.68</v>
      </c>
      <c r="N8" s="5">
        <v>0.35</v>
      </c>
      <c r="O8" s="5"/>
      <c r="P8" s="5"/>
      <c r="Q8" s="5"/>
      <c r="R8" s="5">
        <f>I8*K8*J8*L8</f>
        <v>401.20473599999997</v>
      </c>
      <c r="S8" s="5">
        <f>I8*K8*J8*M8</f>
        <v>328.697856</v>
      </c>
      <c r="T8" s="5">
        <f>I8*K8*J8*N8</f>
        <v>169.18271999999999</v>
      </c>
    </row>
    <row r="9" spans="2:20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7" t="s">
        <v>14</v>
      </c>
      <c r="R9" s="7">
        <f>R4+R7+R8+R5+R6</f>
        <v>4331.8433929050007</v>
      </c>
      <c r="S9" s="7">
        <f t="shared" ref="S9:T9" si="3">S4+S7+S8+S5+S6</f>
        <v>4818.2176487049992</v>
      </c>
      <c r="T9" s="7">
        <f t="shared" si="3"/>
        <v>4823.7747123549998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111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</row>
    <row r="13" spans="2:20" x14ac:dyDescent="0.3">
      <c r="B13" s="5">
        <v>6.38</v>
      </c>
      <c r="C13" s="5">
        <v>5.27</v>
      </c>
      <c r="D13" s="5">
        <v>4</v>
      </c>
      <c r="E13" s="5">
        <f>B13*C13*D13</f>
        <v>134.49039999999999</v>
      </c>
      <c r="F13" s="5">
        <v>1</v>
      </c>
      <c r="G13" s="5">
        <f>((E13*F13*1000)/3600)</f>
        <v>37.358444444444444</v>
      </c>
      <c r="H13" s="5">
        <f>(43-22)</f>
        <v>21</v>
      </c>
      <c r="I13" s="5">
        <f>(0.022-0.0065)</f>
        <v>1.55E-2</v>
      </c>
      <c r="J13" s="5">
        <f>(1.232*G13*H13)</f>
        <v>966.5376746666667</v>
      </c>
      <c r="K13" s="5">
        <f>(3012*G13*I13)</f>
        <v>1744.1163373333334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5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5" t="s">
        <v>28</v>
      </c>
      <c r="C18" s="5"/>
      <c r="D18" s="21">
        <f>(30*G4)</f>
        <v>1008.678</v>
      </c>
      <c r="E18" s="5"/>
      <c r="F18" s="5"/>
      <c r="G18" s="21">
        <v>0.79</v>
      </c>
      <c r="H18" s="21">
        <v>0.83</v>
      </c>
      <c r="I18" s="21">
        <v>0.86</v>
      </c>
      <c r="J18" s="5">
        <f>D18*G18</f>
        <v>796.85562000000004</v>
      </c>
      <c r="K18" s="5">
        <f>D18*H18</f>
        <v>837.20273999999995</v>
      </c>
      <c r="L18" s="5">
        <f>D18*I18</f>
        <v>867.46307999999999</v>
      </c>
    </row>
    <row r="19" spans="2:12" ht="28.8" x14ac:dyDescent="0.3">
      <c r="B19" s="6" t="s">
        <v>29</v>
      </c>
      <c r="C19" s="22">
        <v>7</v>
      </c>
      <c r="D19" s="5"/>
      <c r="E19" s="5"/>
      <c r="F19" s="5">
        <v>81</v>
      </c>
      <c r="G19" s="21">
        <v>0.74</v>
      </c>
      <c r="H19" s="21">
        <v>0.8</v>
      </c>
      <c r="I19" s="21">
        <v>0.85</v>
      </c>
      <c r="J19" s="5">
        <f>C19*F19*G19</f>
        <v>419.58</v>
      </c>
      <c r="K19" s="5">
        <f>C19*F19*H19</f>
        <v>453.6</v>
      </c>
      <c r="L19" s="5">
        <f>C19*F19*I19</f>
        <v>481.95</v>
      </c>
    </row>
    <row r="20" spans="2:12" ht="28.8" x14ac:dyDescent="0.3">
      <c r="B20" s="6" t="s">
        <v>30</v>
      </c>
      <c r="C20" s="22"/>
      <c r="D20" s="5"/>
      <c r="E20" s="5">
        <v>139</v>
      </c>
      <c r="F20" s="5"/>
      <c r="G20" s="5"/>
      <c r="H20" s="5"/>
      <c r="I20" s="5"/>
      <c r="J20" s="5">
        <f>C19*E20</f>
        <v>973</v>
      </c>
      <c r="K20" s="5">
        <f>J20</f>
        <v>973</v>
      </c>
      <c r="L20" s="5">
        <f>J20</f>
        <v>973</v>
      </c>
    </row>
    <row r="21" spans="2:12" hidden="1" x14ac:dyDescent="0.3">
      <c r="B21" s="5" t="s">
        <v>45</v>
      </c>
      <c r="C21" s="5">
        <v>1</v>
      </c>
      <c r="D21" s="5"/>
      <c r="E21" s="5"/>
      <c r="F21" s="5">
        <v>310</v>
      </c>
      <c r="G21" s="5">
        <v>0.77</v>
      </c>
      <c r="H21" s="5">
        <v>0.83</v>
      </c>
      <c r="I21" s="5">
        <v>0.87</v>
      </c>
      <c r="J21" s="5">
        <f>C21*F21*G21</f>
        <v>238.70000000000002</v>
      </c>
      <c r="K21" s="5">
        <f>C21*F21*H21</f>
        <v>257.3</v>
      </c>
      <c r="L21" s="5">
        <f>C21*F21*I21</f>
        <v>269.7</v>
      </c>
    </row>
    <row r="22" spans="2:12" ht="28.8" hidden="1" x14ac:dyDescent="0.3">
      <c r="B22" s="6" t="s">
        <v>46</v>
      </c>
      <c r="C22" s="5">
        <v>2</v>
      </c>
      <c r="D22" s="5"/>
      <c r="E22" s="5"/>
      <c r="F22" s="5">
        <v>400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616</v>
      </c>
      <c r="K22" s="5">
        <f>C22*F22*H22</f>
        <v>664</v>
      </c>
      <c r="L22" s="5">
        <f>C22*F22*I22</f>
        <v>696</v>
      </c>
    </row>
    <row r="23" spans="2:12" x14ac:dyDescent="0.3">
      <c r="B23" s="5" t="s">
        <v>47</v>
      </c>
      <c r="C23" s="5">
        <v>1</v>
      </c>
      <c r="D23" s="5"/>
      <c r="E23" s="5"/>
      <c r="F23" s="5">
        <v>350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269.5</v>
      </c>
      <c r="K23" s="5">
        <f>C23*F23*H23</f>
        <v>290.5</v>
      </c>
      <c r="L23" s="5">
        <f>C23*F23*I23</f>
        <v>304.5</v>
      </c>
    </row>
    <row r="24" spans="2:12" ht="28.8" hidden="1" x14ac:dyDescent="0.3">
      <c r="B24" s="6" t="s">
        <v>48</v>
      </c>
      <c r="C24" s="26">
        <v>1</v>
      </c>
      <c r="D24" s="5"/>
      <c r="E24" s="5"/>
      <c r="F24" s="5">
        <v>1050</v>
      </c>
      <c r="G24" s="5">
        <f>G23</f>
        <v>0.77</v>
      </c>
      <c r="H24" s="5">
        <f>H22</f>
        <v>0.83</v>
      </c>
      <c r="I24" s="5">
        <f>I22</f>
        <v>0.87</v>
      </c>
      <c r="J24" s="5">
        <f>C24*F24*G24</f>
        <v>808.5</v>
      </c>
      <c r="K24" s="5">
        <f>C24*F24*H24</f>
        <v>871.5</v>
      </c>
      <c r="L24" s="5">
        <f>C24*F24*I24</f>
        <v>913.5</v>
      </c>
    </row>
    <row r="25" spans="2:12" ht="28.8" hidden="1" x14ac:dyDescent="0.3">
      <c r="B25" s="6" t="s">
        <v>49</v>
      </c>
      <c r="C25" s="27"/>
      <c r="D25" s="5"/>
      <c r="E25" s="5">
        <v>450</v>
      </c>
      <c r="F25" s="5"/>
      <c r="G25" s="5"/>
      <c r="H25" s="5"/>
      <c r="I25" s="5"/>
      <c r="J25" s="5">
        <f>C24*E25</f>
        <v>450</v>
      </c>
      <c r="K25" s="5">
        <f>J25</f>
        <v>450</v>
      </c>
      <c r="L25" s="5">
        <f>J25</f>
        <v>450</v>
      </c>
    </row>
    <row r="26" spans="2:12" ht="28.8" x14ac:dyDescent="0.3">
      <c r="B26" s="6" t="s">
        <v>50</v>
      </c>
      <c r="C26" s="12">
        <v>1</v>
      </c>
      <c r="D26" s="5"/>
      <c r="E26" s="5"/>
      <c r="F26" s="5">
        <v>767.5</v>
      </c>
      <c r="G26" s="5">
        <f>G24</f>
        <v>0.77</v>
      </c>
      <c r="H26" s="5">
        <f>H24</f>
        <v>0.83</v>
      </c>
      <c r="I26" s="5">
        <f>I24</f>
        <v>0.87</v>
      </c>
      <c r="J26" s="5">
        <f>C26*F26*G26</f>
        <v>590.97500000000002</v>
      </c>
      <c r="K26" s="5">
        <f>C26*F26*H26</f>
        <v>637.02499999999998</v>
      </c>
      <c r="L26" s="5">
        <f>C26*F26*I26</f>
        <v>667.72500000000002</v>
      </c>
    </row>
    <row r="27" spans="2:12" ht="28.8" hidden="1" x14ac:dyDescent="0.3">
      <c r="B27" s="6" t="s">
        <v>51</v>
      </c>
      <c r="C27" s="26">
        <v>2</v>
      </c>
      <c r="D27" s="5"/>
      <c r="E27" s="5"/>
      <c r="F27" s="5">
        <v>21</v>
      </c>
      <c r="G27" s="5">
        <f>G26</f>
        <v>0.77</v>
      </c>
      <c r="H27" s="5">
        <f>H26</f>
        <v>0.83</v>
      </c>
      <c r="I27" s="5">
        <f>I26</f>
        <v>0.87</v>
      </c>
      <c r="J27" s="5">
        <f>C27*F27*G27</f>
        <v>32.340000000000003</v>
      </c>
      <c r="K27" s="5">
        <f>C27*F27*H27</f>
        <v>34.86</v>
      </c>
      <c r="L27" s="5">
        <f>C27*F27*I27</f>
        <v>36.54</v>
      </c>
    </row>
    <row r="28" spans="2:12" ht="28.8" hidden="1" x14ac:dyDescent="0.3">
      <c r="B28" s="6" t="s">
        <v>52</v>
      </c>
      <c r="C28" s="27"/>
      <c r="D28" s="5"/>
      <c r="E28" s="5">
        <v>14</v>
      </c>
      <c r="F28" s="5"/>
      <c r="G28" s="5"/>
      <c r="H28" s="5"/>
      <c r="I28" s="5"/>
      <c r="J28" s="5">
        <f>C27*E28</f>
        <v>28</v>
      </c>
      <c r="K28" s="5">
        <f>J28</f>
        <v>28</v>
      </c>
      <c r="L28" s="5">
        <f>J28</f>
        <v>28</v>
      </c>
    </row>
    <row r="29" spans="2:12" ht="15" customHeight="1" x14ac:dyDescent="0.3">
      <c r="B29" s="7" t="s">
        <v>34</v>
      </c>
      <c r="C29" s="5"/>
      <c r="D29" s="5"/>
      <c r="E29" s="5"/>
      <c r="F29" s="5"/>
      <c r="G29" s="5"/>
      <c r="H29" s="5"/>
      <c r="I29" s="5"/>
      <c r="J29" s="7">
        <f>J18+J19+J23+J26</f>
        <v>2076.9106200000001</v>
      </c>
      <c r="K29" s="7">
        <f t="shared" ref="K29:L29" si="4">K18+K19+K23+K26</f>
        <v>2218.3277400000002</v>
      </c>
      <c r="L29" s="7">
        <f t="shared" si="4"/>
        <v>2321.6380800000002</v>
      </c>
    </row>
    <row r="30" spans="2:12" x14ac:dyDescent="0.3">
      <c r="B30" s="7" t="s">
        <v>35</v>
      </c>
      <c r="C30" s="5"/>
      <c r="D30" s="5"/>
      <c r="E30" s="5"/>
      <c r="F30" s="5"/>
      <c r="G30" s="5"/>
      <c r="H30" s="5"/>
      <c r="I30" s="5"/>
      <c r="J30" s="7">
        <f>J20</f>
        <v>973</v>
      </c>
      <c r="K30" s="7">
        <f t="shared" ref="K30:L30" si="5">K20</f>
        <v>973</v>
      </c>
      <c r="L30" s="7">
        <f t="shared" si="5"/>
        <v>973</v>
      </c>
    </row>
    <row r="33" spans="2:10" ht="57.6" x14ac:dyDescent="0.3">
      <c r="B33" s="5"/>
      <c r="C33" s="2" t="s">
        <v>38</v>
      </c>
      <c r="D33" s="2" t="s">
        <v>37</v>
      </c>
      <c r="E33" s="2" t="s">
        <v>36</v>
      </c>
      <c r="F33" s="2" t="s">
        <v>39</v>
      </c>
      <c r="H33" s="2" t="s">
        <v>78</v>
      </c>
      <c r="I33" s="2" t="s">
        <v>112</v>
      </c>
      <c r="J33" s="2" t="s">
        <v>77</v>
      </c>
    </row>
    <row r="34" spans="2:10" x14ac:dyDescent="0.3">
      <c r="B34" s="33">
        <v>0.5</v>
      </c>
      <c r="C34" s="5">
        <f>R9+J13+J29</f>
        <v>7375.2916875716674</v>
      </c>
      <c r="D34" s="5">
        <f>K13+J30</f>
        <v>2717.1163373333334</v>
      </c>
      <c r="E34" s="5">
        <f>C34+D34</f>
        <v>10092.408024905</v>
      </c>
      <c r="F34" s="5">
        <f>(E34*0.0002843)</f>
        <v>2.869271601480492</v>
      </c>
      <c r="H34" s="5">
        <f>(E36/(100-39))*0.001</f>
        <v>0.1775256853172951</v>
      </c>
      <c r="I34" s="5">
        <f>H34*0.845</f>
        <v>0.15000920409311436</v>
      </c>
      <c r="J34" s="5">
        <f>SQRT((4*H34)/(3.14*6.3*0.845))</f>
        <v>0.20610908787853979</v>
      </c>
    </row>
    <row r="35" spans="2:10" x14ac:dyDescent="0.3">
      <c r="B35" s="33">
        <v>0.58333333333333337</v>
      </c>
      <c r="C35" s="5">
        <f>S9+J13+K29</f>
        <v>8003.0830633716669</v>
      </c>
      <c r="D35" s="5">
        <f>D34</f>
        <v>2717.1163373333334</v>
      </c>
      <c r="E35" s="5">
        <f t="shared" ref="E35:E36" si="6">C35+D35</f>
        <v>10720.199400705</v>
      </c>
      <c r="F35" s="5">
        <f t="shared" ref="F35:F36" si="7">(E35*0.0002843)</f>
        <v>3.0477526896204319</v>
      </c>
    </row>
    <row r="36" spans="2:10" x14ac:dyDescent="0.3">
      <c r="B36" s="33">
        <v>0.66666666666666663</v>
      </c>
      <c r="C36" s="5">
        <f>T9+J13+L29</f>
        <v>8111.9504670216666</v>
      </c>
      <c r="D36" s="5">
        <f>D35</f>
        <v>2717.1163373333334</v>
      </c>
      <c r="E36" s="5">
        <f t="shared" si="6"/>
        <v>10829.066804354999</v>
      </c>
      <c r="F36" s="7">
        <f t="shared" si="7"/>
        <v>3.0787036924781268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8A2C-FF30-4105-9889-272A9C61EE3D}">
  <dimension ref="B2:T36"/>
  <sheetViews>
    <sheetView topLeftCell="A19" zoomScaleNormal="100" workbookViewId="0">
      <selection activeCell="M33" sqref="M33"/>
    </sheetView>
  </sheetViews>
  <sheetFormatPr defaultRowHeight="14.4" x14ac:dyDescent="0.3"/>
  <cols>
    <col min="1" max="1" width="8.88671875" style="30"/>
    <col min="2" max="2" width="13.109375" style="30" customWidth="1"/>
    <col min="3" max="3" width="10" style="30" customWidth="1"/>
    <col min="4" max="4" width="8.88671875" style="30"/>
    <col min="5" max="5" width="8.77734375" style="30" customWidth="1"/>
    <col min="6" max="6" width="8.88671875" style="30"/>
    <col min="7" max="7" width="10.5546875" style="30" customWidth="1"/>
    <col min="8" max="8" width="7.88671875" style="30" customWidth="1"/>
    <col min="9" max="9" width="8.88671875" style="30"/>
    <col min="10" max="10" width="9.6640625" style="30" customWidth="1"/>
    <col min="11" max="16384" width="8.88671875" style="30"/>
  </cols>
  <sheetData>
    <row r="2" spans="2:20" ht="49.8" customHeight="1" x14ac:dyDescent="0.3">
      <c r="B2" s="1" t="s">
        <v>0</v>
      </c>
      <c r="C2" s="2" t="s">
        <v>113</v>
      </c>
      <c r="D2" s="2" t="s">
        <v>1</v>
      </c>
      <c r="E2" s="2" t="s">
        <v>2</v>
      </c>
      <c r="F2" s="2" t="s">
        <v>3</v>
      </c>
      <c r="G2" s="2" t="s">
        <v>108</v>
      </c>
      <c r="H2" s="2" t="s">
        <v>4</v>
      </c>
      <c r="I2" s="2" t="s">
        <v>109</v>
      </c>
      <c r="J2" s="2" t="s">
        <v>110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ht="16.2" customHeight="1" x14ac:dyDescent="0.3">
      <c r="B4" s="5" t="s">
        <v>8</v>
      </c>
      <c r="C4" s="21">
        <v>1.2090000000000001</v>
      </c>
      <c r="D4" s="5">
        <v>6.42</v>
      </c>
      <c r="E4" s="5">
        <v>5.27</v>
      </c>
      <c r="F4" s="5"/>
      <c r="G4" s="5">
        <f>D4*E4</f>
        <v>33.833399999999997</v>
      </c>
      <c r="H4" s="21">
        <v>2</v>
      </c>
      <c r="I4" s="5">
        <f>G4</f>
        <v>33.833399999999997</v>
      </c>
      <c r="J4" s="5"/>
      <c r="K4" s="5"/>
      <c r="L4" s="21">
        <v>40</v>
      </c>
      <c r="M4" s="21">
        <v>44</v>
      </c>
      <c r="N4" s="21">
        <v>39</v>
      </c>
      <c r="O4" s="5">
        <f>((L4+H4)*1+(25.5-30)+(43-29.4))*0.75</f>
        <v>38.325000000000003</v>
      </c>
      <c r="P4" s="5">
        <f>((M4+H4)*1+(25.5-30)+(43-29.4))*0.75</f>
        <v>41.325000000000003</v>
      </c>
      <c r="Q4" s="5">
        <f>((N4+H4)*1+(25.5-30)+(43-29.4))*0.75</f>
        <v>37.575000000000003</v>
      </c>
      <c r="R4" s="5">
        <f>C4*I4*O4</f>
        <v>1567.6680514950003</v>
      </c>
      <c r="S4" s="5">
        <f>C4*I4*P4</f>
        <v>1690.3817932950003</v>
      </c>
      <c r="T4" s="5">
        <f>C4*I4*Q4</f>
        <v>1536.9896160450003</v>
      </c>
    </row>
    <row r="5" spans="2:20" ht="28.8" x14ac:dyDescent="0.3">
      <c r="B5" s="6" t="s">
        <v>43</v>
      </c>
      <c r="C5" s="5">
        <v>3.323</v>
      </c>
      <c r="D5" s="5">
        <v>6.42</v>
      </c>
      <c r="E5" s="5"/>
      <c r="F5" s="5">
        <v>4</v>
      </c>
      <c r="G5" s="5">
        <f>D5*F5</f>
        <v>25.68</v>
      </c>
      <c r="H5" s="5">
        <v>-4</v>
      </c>
      <c r="I5" s="5">
        <f>G5</f>
        <v>25.68</v>
      </c>
      <c r="J5" s="5"/>
      <c r="K5" s="5"/>
      <c r="L5" s="5">
        <v>7.22</v>
      </c>
      <c r="M5" s="5">
        <v>13.33</v>
      </c>
      <c r="N5" s="5">
        <v>17.77</v>
      </c>
      <c r="O5" s="5">
        <f>(L5+H5)*1+(25.5-30)+(43-29.4)</f>
        <v>12.32</v>
      </c>
      <c r="P5" s="5">
        <f>(M5+H5)*1+(25.5-30)+(43-29.4)</f>
        <v>18.43</v>
      </c>
      <c r="Q5" s="5">
        <f>(N5+H5)*1+(25.5-30)+(43-29.4)</f>
        <v>22.87</v>
      </c>
      <c r="R5" s="5">
        <f t="shared" ref="R5:R6" si="0">C5*I5*O5</f>
        <v>1051.3227648</v>
      </c>
      <c r="S5" s="5">
        <f t="shared" ref="S5:S6" si="1">C5*I5*P5</f>
        <v>1572.7174151999998</v>
      </c>
      <c r="T5" s="5">
        <f t="shared" ref="T5:T6" si="2">C5*I5*Q5</f>
        <v>1951.6032167999999</v>
      </c>
    </row>
    <row r="6" spans="2:20" ht="28.8" x14ac:dyDescent="0.3">
      <c r="B6" s="6" t="s">
        <v>53</v>
      </c>
      <c r="C6" s="21">
        <v>3.323</v>
      </c>
      <c r="D6" s="5"/>
      <c r="E6" s="5">
        <v>5.27</v>
      </c>
      <c r="F6" s="5">
        <v>4</v>
      </c>
      <c r="G6" s="5">
        <f>E6*F6</f>
        <v>21.08</v>
      </c>
      <c r="H6" s="5">
        <v>0</v>
      </c>
      <c r="I6" s="5">
        <f>G6</f>
        <v>21.08</v>
      </c>
      <c r="J6" s="5"/>
      <c r="K6" s="5"/>
      <c r="L6" s="5">
        <v>20</v>
      </c>
      <c r="M6" s="5">
        <v>20.55</v>
      </c>
      <c r="N6" s="5">
        <v>18.88</v>
      </c>
      <c r="O6" s="5">
        <f>(L6+H6)*1+(25.5-30)+(43-29.4)</f>
        <v>29.1</v>
      </c>
      <c r="P6" s="5">
        <f>(M6+H6)*1+(25.5-30)+(43-29.4)</f>
        <v>29.650000000000002</v>
      </c>
      <c r="Q6" s="5">
        <f>(N6+H6)*1+(25.5-30)+(43-29.4)</f>
        <v>27.98</v>
      </c>
      <c r="R6" s="5">
        <f t="shared" si="0"/>
        <v>2038.4212440000001</v>
      </c>
      <c r="S6" s="5">
        <f t="shared" si="1"/>
        <v>2076.9481060000003</v>
      </c>
      <c r="T6" s="5">
        <f t="shared" si="2"/>
        <v>1959.9665431999999</v>
      </c>
    </row>
    <row r="7" spans="2:20" ht="36" hidden="1" customHeight="1" x14ac:dyDescent="0.3">
      <c r="B7" s="6" t="s">
        <v>12</v>
      </c>
      <c r="C7" s="28">
        <v>3.7</v>
      </c>
      <c r="D7" s="5"/>
      <c r="E7" s="5">
        <v>2</v>
      </c>
      <c r="F7" s="5">
        <v>2</v>
      </c>
      <c r="G7" s="5">
        <f>E7*F7</f>
        <v>4</v>
      </c>
      <c r="H7" s="5"/>
      <c r="I7" s="5">
        <f>G7</f>
        <v>4</v>
      </c>
      <c r="J7" s="5"/>
      <c r="K7" s="5"/>
      <c r="L7" s="5"/>
      <c r="M7" s="5"/>
      <c r="N7" s="5"/>
      <c r="O7" s="5"/>
      <c r="P7" s="5"/>
      <c r="Q7" s="5"/>
      <c r="R7" s="5">
        <f>C7*G7*(43-22)</f>
        <v>310.8</v>
      </c>
      <c r="S7" s="5">
        <f>R7</f>
        <v>310.8</v>
      </c>
      <c r="T7" s="5">
        <f>R7</f>
        <v>310.8</v>
      </c>
    </row>
    <row r="8" spans="2:20" ht="28.8" hidden="1" x14ac:dyDescent="0.3">
      <c r="B8" s="6" t="s">
        <v>44</v>
      </c>
      <c r="C8" s="28">
        <v>3.7</v>
      </c>
      <c r="D8" s="5"/>
      <c r="E8" s="5">
        <v>2</v>
      </c>
      <c r="F8" s="5">
        <v>2</v>
      </c>
      <c r="G8" s="5">
        <f>E8*F8</f>
        <v>4</v>
      </c>
      <c r="H8" s="5"/>
      <c r="I8" s="5">
        <f>G8</f>
        <v>4</v>
      </c>
      <c r="J8" s="5">
        <v>188.82</v>
      </c>
      <c r="K8" s="28">
        <v>0.64</v>
      </c>
      <c r="L8" s="5">
        <v>0.83</v>
      </c>
      <c r="M8" s="5">
        <v>0.68</v>
      </c>
      <c r="N8" s="5">
        <v>0.35</v>
      </c>
      <c r="O8" s="5"/>
      <c r="P8" s="5"/>
      <c r="Q8" s="5"/>
      <c r="R8" s="5">
        <f>I8*K8*J8*L8</f>
        <v>401.20473599999997</v>
      </c>
      <c r="S8" s="5">
        <f>I8*K8*J8*M8</f>
        <v>328.697856</v>
      </c>
      <c r="T8" s="5">
        <f>I8*K8*J8*N8</f>
        <v>169.18271999999999</v>
      </c>
    </row>
    <row r="9" spans="2:20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7" t="s">
        <v>14</v>
      </c>
      <c r="R9" s="7">
        <f>R4+R5+R6</f>
        <v>4657.4120602950006</v>
      </c>
      <c r="S9" s="7">
        <f t="shared" ref="S9:T9" si="3">S4+S5+S6</f>
        <v>5340.047314495001</v>
      </c>
      <c r="T9" s="7">
        <f t="shared" si="3"/>
        <v>5448.5593760450001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111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</row>
    <row r="13" spans="2:20" x14ac:dyDescent="0.3">
      <c r="B13" s="5">
        <v>6.42</v>
      </c>
      <c r="C13" s="5">
        <v>5.27</v>
      </c>
      <c r="D13" s="5">
        <v>4</v>
      </c>
      <c r="E13" s="5">
        <f>B13*C13*D13</f>
        <v>135.33359999999999</v>
      </c>
      <c r="F13" s="5">
        <v>1</v>
      </c>
      <c r="G13" s="5">
        <f>((E13*F13*1000)/3600)</f>
        <v>37.592666666666659</v>
      </c>
      <c r="H13" s="5">
        <f>(43-30)</f>
        <v>13</v>
      </c>
      <c r="I13" s="5">
        <f>(0.022-0.0065)</f>
        <v>1.55E-2</v>
      </c>
      <c r="J13" s="5">
        <f>(1.232*G13*H13)</f>
        <v>602.08414933333313</v>
      </c>
      <c r="K13" s="5">
        <f>(3012*G13*I13)</f>
        <v>1755.0512359999996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5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5" t="s">
        <v>28</v>
      </c>
      <c r="C18" s="5"/>
      <c r="D18" s="21">
        <f>(30*G4)</f>
        <v>1015.002</v>
      </c>
      <c r="E18" s="5"/>
      <c r="F18" s="5"/>
      <c r="G18" s="21">
        <v>0.79</v>
      </c>
      <c r="H18" s="21">
        <v>0.83</v>
      </c>
      <c r="I18" s="21">
        <v>0.86</v>
      </c>
      <c r="J18" s="5">
        <f>D18*G18</f>
        <v>801.85158000000001</v>
      </c>
      <c r="K18" s="5">
        <f>D18*H18</f>
        <v>842.45165999999995</v>
      </c>
      <c r="L18" s="5">
        <f>D18*I18</f>
        <v>872.90171999999995</v>
      </c>
    </row>
    <row r="19" spans="2:12" ht="28.8" x14ac:dyDescent="0.3">
      <c r="B19" s="6" t="s">
        <v>29</v>
      </c>
      <c r="C19" s="22">
        <v>10</v>
      </c>
      <c r="D19" s="5"/>
      <c r="E19" s="5"/>
      <c r="F19" s="5">
        <v>73</v>
      </c>
      <c r="G19" s="21">
        <v>0.74</v>
      </c>
      <c r="H19" s="21">
        <v>0.8</v>
      </c>
      <c r="I19" s="21">
        <v>0.85</v>
      </c>
      <c r="J19" s="5">
        <f>C19*F19*G19</f>
        <v>540.20000000000005</v>
      </c>
      <c r="K19" s="5">
        <f>C19*F19*H19</f>
        <v>584</v>
      </c>
      <c r="L19" s="5">
        <f>C19*F19*I19</f>
        <v>620.5</v>
      </c>
    </row>
    <row r="20" spans="2:12" ht="28.8" x14ac:dyDescent="0.3">
      <c r="B20" s="6" t="s">
        <v>30</v>
      </c>
      <c r="C20" s="22"/>
      <c r="D20" s="5"/>
      <c r="E20" s="5">
        <v>59</v>
      </c>
      <c r="F20" s="5"/>
      <c r="G20" s="5"/>
      <c r="H20" s="5"/>
      <c r="I20" s="5"/>
      <c r="J20" s="5">
        <f>C19*E20</f>
        <v>590</v>
      </c>
      <c r="K20" s="5">
        <f>J20</f>
        <v>590</v>
      </c>
      <c r="L20" s="5">
        <f>J20</f>
        <v>590</v>
      </c>
    </row>
    <row r="21" spans="2:12" hidden="1" x14ac:dyDescent="0.3">
      <c r="B21" s="5" t="s">
        <v>45</v>
      </c>
      <c r="C21" s="5">
        <v>1</v>
      </c>
      <c r="D21" s="5"/>
      <c r="E21" s="5"/>
      <c r="F21" s="5">
        <v>310</v>
      </c>
      <c r="G21" s="5">
        <v>0.77</v>
      </c>
      <c r="H21" s="5">
        <v>0.83</v>
      </c>
      <c r="I21" s="5">
        <v>0.87</v>
      </c>
      <c r="J21" s="5">
        <f>C21*F21*G21</f>
        <v>238.70000000000002</v>
      </c>
      <c r="K21" s="5">
        <f>C21*F21*H21</f>
        <v>257.3</v>
      </c>
      <c r="L21" s="5">
        <f>C21*F21*I21</f>
        <v>269.7</v>
      </c>
    </row>
    <row r="22" spans="2:12" ht="28.8" hidden="1" x14ac:dyDescent="0.3">
      <c r="B22" s="6" t="s">
        <v>46</v>
      </c>
      <c r="C22" s="5">
        <v>2</v>
      </c>
      <c r="D22" s="5"/>
      <c r="E22" s="5"/>
      <c r="F22" s="5">
        <v>400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616</v>
      </c>
      <c r="K22" s="5">
        <f>C22*F22*H22</f>
        <v>664</v>
      </c>
      <c r="L22" s="5">
        <f>C22*F22*I22</f>
        <v>696</v>
      </c>
    </row>
    <row r="23" spans="2:12" hidden="1" x14ac:dyDescent="0.3">
      <c r="B23" s="5" t="s">
        <v>47</v>
      </c>
      <c r="C23" s="5">
        <v>1</v>
      </c>
      <c r="D23" s="5"/>
      <c r="E23" s="5"/>
      <c r="F23" s="5">
        <v>350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269.5</v>
      </c>
      <c r="K23" s="5">
        <f>C23*F23*H23</f>
        <v>290.5</v>
      </c>
      <c r="L23" s="5">
        <f>C23*F23*I23</f>
        <v>304.5</v>
      </c>
    </row>
    <row r="24" spans="2:12" ht="28.8" hidden="1" x14ac:dyDescent="0.3">
      <c r="B24" s="6" t="s">
        <v>48</v>
      </c>
      <c r="C24" s="26">
        <v>1</v>
      </c>
      <c r="D24" s="5"/>
      <c r="E24" s="5"/>
      <c r="F24" s="5">
        <v>1050</v>
      </c>
      <c r="G24" s="5">
        <f>G23</f>
        <v>0.77</v>
      </c>
      <c r="H24" s="5">
        <f>H22</f>
        <v>0.83</v>
      </c>
      <c r="I24" s="5">
        <f>I22</f>
        <v>0.87</v>
      </c>
      <c r="J24" s="5">
        <f>C24*F24*G24</f>
        <v>808.5</v>
      </c>
      <c r="K24" s="5">
        <f>C24*F24*H24</f>
        <v>871.5</v>
      </c>
      <c r="L24" s="5">
        <f>C24*F24*I24</f>
        <v>913.5</v>
      </c>
    </row>
    <row r="25" spans="2:12" ht="28.8" hidden="1" x14ac:dyDescent="0.3">
      <c r="B25" s="6" t="s">
        <v>49</v>
      </c>
      <c r="C25" s="27"/>
      <c r="D25" s="5"/>
      <c r="E25" s="5">
        <v>450</v>
      </c>
      <c r="F25" s="5"/>
      <c r="G25" s="5"/>
      <c r="H25" s="5"/>
      <c r="I25" s="5"/>
      <c r="J25" s="5">
        <f>C24*E25</f>
        <v>450</v>
      </c>
      <c r="K25" s="5">
        <f>J25</f>
        <v>450</v>
      </c>
      <c r="L25" s="5">
        <f>J25</f>
        <v>450</v>
      </c>
    </row>
    <row r="26" spans="2:12" ht="28.8" hidden="1" x14ac:dyDescent="0.3">
      <c r="B26" s="6" t="s">
        <v>50</v>
      </c>
      <c r="C26" s="12">
        <v>1</v>
      </c>
      <c r="D26" s="5"/>
      <c r="E26" s="5"/>
      <c r="F26" s="5">
        <v>767.5</v>
      </c>
      <c r="G26" s="5">
        <f>G24</f>
        <v>0.77</v>
      </c>
      <c r="H26" s="5">
        <f>H24</f>
        <v>0.83</v>
      </c>
      <c r="I26" s="5">
        <f>I24</f>
        <v>0.87</v>
      </c>
      <c r="J26" s="5">
        <f>C26*F26*G26</f>
        <v>590.97500000000002</v>
      </c>
      <c r="K26" s="5">
        <f>C26*F26*H26</f>
        <v>637.02499999999998</v>
      </c>
      <c r="L26" s="5">
        <f>C26*F26*I26</f>
        <v>667.72500000000002</v>
      </c>
    </row>
    <row r="27" spans="2:12" ht="28.8" hidden="1" x14ac:dyDescent="0.3">
      <c r="B27" s="6" t="s">
        <v>51</v>
      </c>
      <c r="C27" s="26">
        <v>2</v>
      </c>
      <c r="D27" s="5"/>
      <c r="E27" s="5"/>
      <c r="F27" s="5">
        <v>21</v>
      </c>
      <c r="G27" s="5">
        <f>G26</f>
        <v>0.77</v>
      </c>
      <c r="H27" s="5">
        <f>H26</f>
        <v>0.83</v>
      </c>
      <c r="I27" s="5">
        <f>I26</f>
        <v>0.87</v>
      </c>
      <c r="J27" s="5">
        <f>C27*F27*G27</f>
        <v>32.340000000000003</v>
      </c>
      <c r="K27" s="5">
        <f>C27*F27*H27</f>
        <v>34.86</v>
      </c>
      <c r="L27" s="5">
        <f>C27*F27*I27</f>
        <v>36.54</v>
      </c>
    </row>
    <row r="28" spans="2:12" ht="28.8" hidden="1" x14ac:dyDescent="0.3">
      <c r="B28" s="6" t="s">
        <v>52</v>
      </c>
      <c r="C28" s="27"/>
      <c r="D28" s="5"/>
      <c r="E28" s="5">
        <v>14</v>
      </c>
      <c r="F28" s="5"/>
      <c r="G28" s="5"/>
      <c r="H28" s="5"/>
      <c r="I28" s="5"/>
      <c r="J28" s="5">
        <f>C27*E28</f>
        <v>28</v>
      </c>
      <c r="K28" s="5">
        <f>J28</f>
        <v>28</v>
      </c>
      <c r="L28" s="5">
        <f>J28</f>
        <v>28</v>
      </c>
    </row>
    <row r="29" spans="2:12" ht="15" customHeight="1" x14ac:dyDescent="0.3">
      <c r="B29" s="7" t="s">
        <v>34</v>
      </c>
      <c r="C29" s="5"/>
      <c r="D29" s="5"/>
      <c r="E29" s="5"/>
      <c r="F29" s="5"/>
      <c r="G29" s="5"/>
      <c r="H29" s="5"/>
      <c r="I29" s="5"/>
      <c r="J29" s="7">
        <f>J18+J19</f>
        <v>1342.0515800000001</v>
      </c>
      <c r="K29" s="7">
        <f t="shared" ref="K29:L29" si="4">K18+K19</f>
        <v>1426.4516599999999</v>
      </c>
      <c r="L29" s="7">
        <f t="shared" si="4"/>
        <v>1493.4017199999998</v>
      </c>
    </row>
    <row r="30" spans="2:12" x14ac:dyDescent="0.3">
      <c r="B30" s="7" t="s">
        <v>35</v>
      </c>
      <c r="C30" s="5"/>
      <c r="D30" s="5"/>
      <c r="E30" s="5"/>
      <c r="F30" s="5"/>
      <c r="G30" s="5"/>
      <c r="H30" s="5"/>
      <c r="I30" s="5"/>
      <c r="J30" s="7">
        <f>J20</f>
        <v>590</v>
      </c>
      <c r="K30" s="7">
        <f t="shared" ref="K30:L30" si="5">K20</f>
        <v>590</v>
      </c>
      <c r="L30" s="7">
        <f t="shared" si="5"/>
        <v>590</v>
      </c>
    </row>
    <row r="33" spans="2:10" ht="57.6" x14ac:dyDescent="0.3">
      <c r="B33" s="5"/>
      <c r="C33" s="2" t="s">
        <v>38</v>
      </c>
      <c r="D33" s="2" t="s">
        <v>37</v>
      </c>
      <c r="E33" s="2" t="s">
        <v>36</v>
      </c>
      <c r="F33" s="2" t="s">
        <v>39</v>
      </c>
      <c r="H33" s="2" t="s">
        <v>78</v>
      </c>
      <c r="I33" s="2" t="s">
        <v>112</v>
      </c>
      <c r="J33" s="2" t="s">
        <v>77</v>
      </c>
    </row>
    <row r="34" spans="2:10" x14ac:dyDescent="0.3">
      <c r="B34" s="33">
        <v>0.5</v>
      </c>
      <c r="C34" s="5">
        <f>R9+J13+J29</f>
        <v>6601.5477896283337</v>
      </c>
      <c r="D34" s="5">
        <f>K13+J30</f>
        <v>2345.0512359999993</v>
      </c>
      <c r="E34" s="5">
        <f>C34+D34</f>
        <v>8946.599025628333</v>
      </c>
      <c r="F34" s="5">
        <f>(E34*0.0002843)</f>
        <v>2.5435181029861353</v>
      </c>
      <c r="H34" s="5">
        <f>(E36/(100-62))*0.001</f>
        <v>0.26023938108890349</v>
      </c>
      <c r="I34" s="5">
        <f>H34*0.8757</f>
        <v>0.22789162601955279</v>
      </c>
      <c r="J34" s="5">
        <f>SQRT((4*H34)/(3.14*6.3*0.8757))</f>
        <v>0.24513410094143673</v>
      </c>
    </row>
    <row r="35" spans="2:10" x14ac:dyDescent="0.3">
      <c r="B35" s="33">
        <v>0.58333333333333337</v>
      </c>
      <c r="C35" s="5">
        <f>S9+J13+K29</f>
        <v>7368.5831238283336</v>
      </c>
      <c r="D35" s="5">
        <f>D34</f>
        <v>2345.0512359999993</v>
      </c>
      <c r="E35" s="5">
        <f t="shared" ref="E35:E36" si="6">C35+D35</f>
        <v>9713.6343598283329</v>
      </c>
      <c r="F35" s="5">
        <f t="shared" ref="F35:F36" si="7">(E35*0.0002843)</f>
        <v>2.7615862484991953</v>
      </c>
    </row>
    <row r="36" spans="2:10" x14ac:dyDescent="0.3">
      <c r="B36" s="33">
        <v>0.66666666666666663</v>
      </c>
      <c r="C36" s="5">
        <f>T9+J13+L29</f>
        <v>7544.0452453783328</v>
      </c>
      <c r="D36" s="5">
        <f>D35</f>
        <v>2345.0512359999993</v>
      </c>
      <c r="E36" s="5">
        <f t="shared" si="6"/>
        <v>9889.0964813783321</v>
      </c>
      <c r="F36" s="7">
        <f t="shared" si="7"/>
        <v>2.8114701296558602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5EA7-A49C-4371-A213-599363A5BC39}">
  <dimension ref="B2:T38"/>
  <sheetViews>
    <sheetView topLeftCell="A21" zoomScale="90" zoomScaleNormal="90" workbookViewId="0">
      <selection activeCell="M35" sqref="M35"/>
    </sheetView>
  </sheetViews>
  <sheetFormatPr defaultRowHeight="14.4" x14ac:dyDescent="0.3"/>
  <cols>
    <col min="1" max="1" width="8.88671875" style="30"/>
    <col min="2" max="2" width="13.109375" style="30" customWidth="1"/>
    <col min="3" max="3" width="10" style="30" customWidth="1"/>
    <col min="4" max="4" width="8.88671875" style="30"/>
    <col min="5" max="5" width="8.77734375" style="30" customWidth="1"/>
    <col min="6" max="6" width="8.88671875" style="30"/>
    <col min="7" max="7" width="10.5546875" style="30" customWidth="1"/>
    <col min="8" max="8" width="7.88671875" style="30" customWidth="1"/>
    <col min="9" max="9" width="8.88671875" style="30"/>
    <col min="10" max="10" width="9.6640625" style="30" customWidth="1"/>
    <col min="11" max="16384" width="8.88671875" style="30"/>
  </cols>
  <sheetData>
    <row r="2" spans="2:20" ht="49.8" customHeight="1" x14ac:dyDescent="0.3">
      <c r="B2" s="1" t="s">
        <v>0</v>
      </c>
      <c r="C2" s="2" t="s">
        <v>107</v>
      </c>
      <c r="D2" s="2" t="s">
        <v>1</v>
      </c>
      <c r="E2" s="2" t="s">
        <v>2</v>
      </c>
      <c r="F2" s="2" t="s">
        <v>3</v>
      </c>
      <c r="G2" s="2" t="s">
        <v>115</v>
      </c>
      <c r="H2" s="2" t="s">
        <v>4</v>
      </c>
      <c r="I2" s="2" t="s">
        <v>116</v>
      </c>
      <c r="J2" s="2" t="s">
        <v>117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ht="16.2" customHeight="1" x14ac:dyDescent="0.3">
      <c r="B4" s="5" t="s">
        <v>8</v>
      </c>
      <c r="C4" s="21">
        <v>1.2090000000000001</v>
      </c>
      <c r="D4" s="5">
        <v>6.57</v>
      </c>
      <c r="E4" s="5">
        <v>7.23</v>
      </c>
      <c r="F4" s="5"/>
      <c r="G4" s="5">
        <f>D4*E4</f>
        <v>47.501100000000008</v>
      </c>
      <c r="H4" s="21">
        <v>2</v>
      </c>
      <c r="I4" s="5">
        <f>G4</f>
        <v>47.501100000000008</v>
      </c>
      <c r="J4" s="5"/>
      <c r="K4" s="5"/>
      <c r="L4" s="21">
        <v>40</v>
      </c>
      <c r="M4" s="21">
        <v>44</v>
      </c>
      <c r="N4" s="21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2545.5328853175006</v>
      </c>
      <c r="S4" s="5">
        <f>C4*I4*P4</f>
        <v>2717.8193750175005</v>
      </c>
      <c r="T4" s="5">
        <f>C4*I4*Q4</f>
        <v>2502.4612628925006</v>
      </c>
    </row>
    <row r="5" spans="2:20" ht="28.8" hidden="1" x14ac:dyDescent="0.3">
      <c r="B5" s="6" t="s">
        <v>43</v>
      </c>
      <c r="C5" s="21">
        <v>3.323</v>
      </c>
      <c r="D5" s="5">
        <v>6.42</v>
      </c>
      <c r="E5" s="5"/>
      <c r="F5" s="5">
        <v>4</v>
      </c>
      <c r="G5" s="5">
        <f>D5*F5</f>
        <v>25.68</v>
      </c>
      <c r="H5" s="5">
        <v>-4</v>
      </c>
      <c r="I5" s="5">
        <f>G5</f>
        <v>25.68</v>
      </c>
      <c r="J5" s="5"/>
      <c r="K5" s="5"/>
      <c r="L5" s="5">
        <v>7.22</v>
      </c>
      <c r="M5" s="5">
        <v>13.33</v>
      </c>
      <c r="N5" s="5">
        <v>17.77</v>
      </c>
      <c r="O5" s="5">
        <f>(L5+H5)*1+(25.5-22)+(43-29.4)</f>
        <v>20.32</v>
      </c>
      <c r="P5" s="5">
        <f>(M5+H5)*1+(25.5-22)+(43-29.4)</f>
        <v>26.43</v>
      </c>
      <c r="Q5" s="5">
        <f>(N5+H5)*1+(25.5-22)+(43-29.4)</f>
        <v>30.87</v>
      </c>
      <c r="R5" s="5">
        <f t="shared" ref="R5:R6" si="0">C5*I5*O5</f>
        <v>1733.9998847999998</v>
      </c>
      <c r="S5" s="5">
        <f t="shared" ref="S5:S6" si="1">C5*I5*P5</f>
        <v>2255.3945351999996</v>
      </c>
      <c r="T5" s="5">
        <f t="shared" ref="T5:T6" si="2">C5*I5*Q5</f>
        <v>2634.2803368</v>
      </c>
    </row>
    <row r="6" spans="2:20" ht="28.8" x14ac:dyDescent="0.3">
      <c r="B6" s="6" t="s">
        <v>53</v>
      </c>
      <c r="C6" s="21">
        <v>3.323</v>
      </c>
      <c r="D6" s="5"/>
      <c r="E6" s="5">
        <v>7.23</v>
      </c>
      <c r="F6" s="5">
        <v>4</v>
      </c>
      <c r="G6" s="5">
        <f>E6*F6</f>
        <v>28.92</v>
      </c>
      <c r="H6" s="5">
        <v>0</v>
      </c>
      <c r="I6" s="5">
        <f>G6-G9</f>
        <v>22.92</v>
      </c>
      <c r="J6" s="5"/>
      <c r="K6" s="5"/>
      <c r="L6" s="5">
        <v>20</v>
      </c>
      <c r="M6" s="5">
        <v>20.55</v>
      </c>
      <c r="N6" s="5">
        <v>18.88</v>
      </c>
      <c r="O6" s="5">
        <f>(L6+H6)*1+(25.5-22)+(43-29.4)</f>
        <v>37.1</v>
      </c>
      <c r="P6" s="5">
        <f>(M6+H6)*1+(25.5-22)+(43-29.4)</f>
        <v>37.650000000000006</v>
      </c>
      <c r="Q6" s="5">
        <f>(N6+H6)*1+(25.5-22)+(43-29.4)</f>
        <v>35.980000000000004</v>
      </c>
      <c r="R6" s="5">
        <f t="shared" si="0"/>
        <v>2825.6532360000001</v>
      </c>
      <c r="S6" s="5">
        <f t="shared" si="1"/>
        <v>2867.5429740000004</v>
      </c>
      <c r="T6" s="5">
        <f t="shared" si="2"/>
        <v>2740.3504968000007</v>
      </c>
    </row>
    <row r="7" spans="2:20" ht="43.2" x14ac:dyDescent="0.3">
      <c r="B7" s="6" t="s">
        <v>56</v>
      </c>
      <c r="C7" s="21">
        <v>2.1640000000000001</v>
      </c>
      <c r="D7" s="5">
        <v>6.42</v>
      </c>
      <c r="E7" s="5"/>
      <c r="F7" s="5">
        <v>4</v>
      </c>
      <c r="G7" s="5">
        <f>D7*F7</f>
        <v>25.68</v>
      </c>
      <c r="H7" s="5"/>
      <c r="I7" s="5">
        <f>G7-G8</f>
        <v>23.68</v>
      </c>
      <c r="J7" s="5"/>
      <c r="K7" s="5"/>
      <c r="L7" s="5"/>
      <c r="M7" s="5"/>
      <c r="N7" s="5"/>
      <c r="O7" s="5"/>
      <c r="P7" s="5"/>
      <c r="Q7" s="5"/>
      <c r="R7" s="5">
        <f>I7*C7*(30-22)</f>
        <v>409.94816000000003</v>
      </c>
      <c r="S7" s="5">
        <f>R7</f>
        <v>409.94816000000003</v>
      </c>
      <c r="T7" s="5">
        <f>R7</f>
        <v>409.94816000000003</v>
      </c>
    </row>
    <row r="8" spans="2:20" ht="43.2" x14ac:dyDescent="0.3">
      <c r="B8" s="6" t="s">
        <v>59</v>
      </c>
      <c r="C8" s="21">
        <v>2.87</v>
      </c>
      <c r="D8" s="5">
        <v>1</v>
      </c>
      <c r="E8" s="5"/>
      <c r="F8" s="5">
        <v>2</v>
      </c>
      <c r="G8" s="5">
        <f>D8*F8</f>
        <v>2</v>
      </c>
      <c r="H8" s="5"/>
      <c r="I8" s="5">
        <f>G8</f>
        <v>2</v>
      </c>
      <c r="J8" s="5"/>
      <c r="K8" s="5"/>
      <c r="L8" s="5"/>
      <c r="M8" s="5"/>
      <c r="N8" s="5"/>
      <c r="O8" s="5"/>
      <c r="P8" s="5"/>
      <c r="Q8" s="5"/>
      <c r="R8" s="5">
        <f>C8*I8*(30-22)*2</f>
        <v>91.84</v>
      </c>
      <c r="S8" s="5">
        <f>R8</f>
        <v>91.84</v>
      </c>
      <c r="T8" s="5">
        <f>R8</f>
        <v>91.84</v>
      </c>
    </row>
    <row r="9" spans="2:20" ht="28.8" x14ac:dyDescent="0.3">
      <c r="B9" s="6" t="s">
        <v>12</v>
      </c>
      <c r="C9" s="21">
        <v>3.7</v>
      </c>
      <c r="D9" s="5"/>
      <c r="E9" s="5">
        <v>3</v>
      </c>
      <c r="F9" s="5">
        <v>2</v>
      </c>
      <c r="G9" s="5">
        <f>E9*F9</f>
        <v>6</v>
      </c>
      <c r="H9" s="5"/>
      <c r="I9" s="5">
        <f>G9</f>
        <v>6</v>
      </c>
      <c r="J9" s="5"/>
      <c r="K9" s="5"/>
      <c r="L9" s="5"/>
      <c r="M9" s="5"/>
      <c r="N9" s="5"/>
      <c r="O9" s="5"/>
      <c r="P9" s="5"/>
      <c r="Q9" s="5"/>
      <c r="R9" s="5">
        <f>C9*G9*(43-22)</f>
        <v>466.20000000000005</v>
      </c>
      <c r="S9" s="5">
        <f>R9</f>
        <v>466.20000000000005</v>
      </c>
      <c r="T9" s="5">
        <f>R9</f>
        <v>466.20000000000005</v>
      </c>
    </row>
    <row r="10" spans="2:20" ht="28.8" x14ac:dyDescent="0.3">
      <c r="B10" s="6" t="s">
        <v>54</v>
      </c>
      <c r="C10" s="21">
        <v>3.7</v>
      </c>
      <c r="D10" s="5"/>
      <c r="E10" s="5">
        <v>3</v>
      </c>
      <c r="F10" s="5">
        <v>2</v>
      </c>
      <c r="G10" s="5">
        <f>E10*F10</f>
        <v>6</v>
      </c>
      <c r="H10" s="5"/>
      <c r="I10" s="5">
        <f>G10</f>
        <v>6</v>
      </c>
      <c r="J10" s="5">
        <v>673.45799999999997</v>
      </c>
      <c r="K10" s="21">
        <v>0.64</v>
      </c>
      <c r="L10" s="5">
        <v>0.27</v>
      </c>
      <c r="M10" s="5">
        <v>0.22</v>
      </c>
      <c r="N10" s="5">
        <v>0.17</v>
      </c>
      <c r="O10" s="5"/>
      <c r="P10" s="5"/>
      <c r="Q10" s="5"/>
      <c r="R10" s="5">
        <f>I10*K10*J10*L10</f>
        <v>698.2412544</v>
      </c>
      <c r="S10" s="5">
        <f>I10*K10*J10*M10</f>
        <v>568.93731839999998</v>
      </c>
      <c r="T10" s="5">
        <f>I10*K10*J10*N10</f>
        <v>439.63338240000002</v>
      </c>
    </row>
    <row r="11" spans="2:20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7" t="s">
        <v>14</v>
      </c>
      <c r="R11" s="7">
        <f>R4+R6+R9+R10+R7+R8</f>
        <v>7037.4155357175005</v>
      </c>
      <c r="S11" s="7">
        <f t="shared" ref="S11:T11" si="3">S4+S6+S9+S10+S7+S8</f>
        <v>7122.2878274175009</v>
      </c>
      <c r="T11" s="7">
        <f t="shared" si="3"/>
        <v>6650.4333020925014</v>
      </c>
    </row>
    <row r="13" spans="2:20" x14ac:dyDescent="0.3">
      <c r="B13" s="25" t="s">
        <v>21</v>
      </c>
      <c r="C13" s="25"/>
      <c r="D13" s="25"/>
      <c r="E13" s="25"/>
      <c r="F13" s="25"/>
      <c r="G13" s="25"/>
      <c r="H13" s="25"/>
      <c r="I13" s="25"/>
      <c r="J13" s="25"/>
      <c r="K13" s="25"/>
    </row>
    <row r="14" spans="2:20" ht="43.2" x14ac:dyDescent="0.3">
      <c r="B14" s="2" t="s">
        <v>1</v>
      </c>
      <c r="C14" s="2" t="s">
        <v>2</v>
      </c>
      <c r="D14" s="2" t="s">
        <v>3</v>
      </c>
      <c r="E14" s="2" t="s">
        <v>118</v>
      </c>
      <c r="F14" s="2" t="s">
        <v>15</v>
      </c>
      <c r="G14" s="2" t="s">
        <v>16</v>
      </c>
      <c r="H14" s="2" t="s">
        <v>20</v>
      </c>
      <c r="I14" s="2" t="s">
        <v>17</v>
      </c>
      <c r="J14" s="2" t="s">
        <v>18</v>
      </c>
      <c r="K14" s="2" t="s">
        <v>19</v>
      </c>
      <c r="R14"/>
    </row>
    <row r="15" spans="2:20" x14ac:dyDescent="0.3">
      <c r="B15" s="5">
        <v>6.57</v>
      </c>
      <c r="C15" s="5">
        <v>7.23</v>
      </c>
      <c r="D15" s="5">
        <v>4</v>
      </c>
      <c r="E15" s="5">
        <f>B15*C15*D15</f>
        <v>190.00440000000003</v>
      </c>
      <c r="F15" s="5">
        <v>1</v>
      </c>
      <c r="G15" s="5">
        <f>((E15*F15*1000)/3600)</f>
        <v>52.779000000000003</v>
      </c>
      <c r="H15" s="5">
        <f>(43-22)</f>
        <v>21</v>
      </c>
      <c r="I15" s="5">
        <f>(0.022-0.0065)</f>
        <v>1.55E-2</v>
      </c>
      <c r="J15" s="5">
        <f>(1.232*G15*H15)</f>
        <v>1365.4982880000002</v>
      </c>
      <c r="K15" s="5">
        <f>(3012*G15*I15)</f>
        <v>2464.0403940000001</v>
      </c>
      <c r="R15"/>
    </row>
    <row r="16" spans="2:20" x14ac:dyDescent="0.3">
      <c r="R16"/>
    </row>
    <row r="18" spans="2:12" ht="31.8" customHeight="1" x14ac:dyDescent="0.3">
      <c r="B18" s="1"/>
      <c r="C18" s="1" t="s">
        <v>22</v>
      </c>
      <c r="D18" s="2" t="s">
        <v>23</v>
      </c>
      <c r="E18" s="2" t="s">
        <v>24</v>
      </c>
      <c r="F18" s="2" t="s">
        <v>25</v>
      </c>
      <c r="G18" s="23" t="s">
        <v>26</v>
      </c>
      <c r="H18" s="23"/>
      <c r="I18" s="23"/>
      <c r="J18" s="24" t="s">
        <v>27</v>
      </c>
      <c r="K18" s="23"/>
      <c r="L18" s="23"/>
    </row>
    <row r="19" spans="2:12" x14ac:dyDescent="0.3">
      <c r="B19" s="5"/>
      <c r="C19" s="5"/>
      <c r="D19" s="5"/>
      <c r="E19" s="5"/>
      <c r="F19" s="5"/>
      <c r="G19" s="4">
        <v>0.5</v>
      </c>
      <c r="H19" s="4">
        <v>0.58333333333333337</v>
      </c>
      <c r="I19" s="4">
        <v>0.66666666666666663</v>
      </c>
      <c r="J19" s="4">
        <v>0.5</v>
      </c>
      <c r="K19" s="4">
        <v>0.58333333333333337</v>
      </c>
      <c r="L19" s="4">
        <v>0.66666666666666663</v>
      </c>
    </row>
    <row r="20" spans="2:12" x14ac:dyDescent="0.3">
      <c r="B20" s="5" t="s">
        <v>28</v>
      </c>
      <c r="C20" s="5"/>
      <c r="D20" s="21">
        <f>(30*G4)</f>
        <v>1425.0330000000004</v>
      </c>
      <c r="E20" s="5"/>
      <c r="F20" s="5"/>
      <c r="G20" s="21">
        <v>0.79</v>
      </c>
      <c r="H20" s="21">
        <v>0.83</v>
      </c>
      <c r="I20" s="21">
        <v>0.86</v>
      </c>
      <c r="J20" s="5">
        <f>D20*G20</f>
        <v>1125.7760700000003</v>
      </c>
      <c r="K20" s="5">
        <f>D20*H20</f>
        <v>1182.7773900000002</v>
      </c>
      <c r="L20" s="5">
        <f>D20*I20</f>
        <v>1225.5283800000002</v>
      </c>
    </row>
    <row r="21" spans="2:12" ht="28.8" x14ac:dyDescent="0.3">
      <c r="B21" s="6" t="s">
        <v>29</v>
      </c>
      <c r="C21" s="22">
        <v>12</v>
      </c>
      <c r="D21" s="5"/>
      <c r="E21" s="5"/>
      <c r="F21" s="5">
        <v>73</v>
      </c>
      <c r="G21" s="21">
        <v>0.74</v>
      </c>
      <c r="H21" s="21">
        <v>0.8</v>
      </c>
      <c r="I21" s="21">
        <v>0.85</v>
      </c>
      <c r="J21" s="5">
        <f>C21*F21*G21</f>
        <v>648.24</v>
      </c>
      <c r="K21" s="5">
        <f>C21*F21*H21</f>
        <v>700.80000000000007</v>
      </c>
      <c r="L21" s="5">
        <f>C21*F21*I21</f>
        <v>744.6</v>
      </c>
    </row>
    <row r="22" spans="2:12" ht="28.8" x14ac:dyDescent="0.3">
      <c r="B22" s="6" t="s">
        <v>30</v>
      </c>
      <c r="C22" s="22"/>
      <c r="D22" s="5"/>
      <c r="E22" s="5">
        <v>59</v>
      </c>
      <c r="F22" s="5"/>
      <c r="G22" s="5"/>
      <c r="H22" s="5"/>
      <c r="I22" s="5"/>
      <c r="J22" s="5">
        <f>C21*E22</f>
        <v>708</v>
      </c>
      <c r="K22" s="5">
        <f>J22</f>
        <v>708</v>
      </c>
      <c r="L22" s="5">
        <f>J22</f>
        <v>708</v>
      </c>
    </row>
    <row r="23" spans="2:12" ht="18" customHeight="1" x14ac:dyDescent="0.3">
      <c r="B23" s="5" t="s">
        <v>31</v>
      </c>
      <c r="C23" s="5">
        <v>12</v>
      </c>
      <c r="D23" s="5"/>
      <c r="E23" s="5"/>
      <c r="F23" s="5">
        <v>55</v>
      </c>
      <c r="G23" s="5">
        <v>0.77</v>
      </c>
      <c r="H23" s="5">
        <v>0.83</v>
      </c>
      <c r="I23" s="5">
        <v>0.87</v>
      </c>
      <c r="J23" s="5">
        <f>C23*F23*G23</f>
        <v>508.2</v>
      </c>
      <c r="K23" s="5">
        <f>C23*F23*H23</f>
        <v>547.79999999999995</v>
      </c>
      <c r="L23" s="5">
        <f>C23*F23*I23</f>
        <v>574.20000000000005</v>
      </c>
    </row>
    <row r="24" spans="2:12" ht="16.8" customHeight="1" x14ac:dyDescent="0.3">
      <c r="B24" s="6" t="s">
        <v>55</v>
      </c>
      <c r="C24" s="5">
        <v>1</v>
      </c>
      <c r="D24" s="5"/>
      <c r="E24" s="5"/>
      <c r="F24" s="5">
        <v>1310</v>
      </c>
      <c r="G24" s="5">
        <f>G23</f>
        <v>0.77</v>
      </c>
      <c r="H24" s="5">
        <f>H23</f>
        <v>0.83</v>
      </c>
      <c r="I24" s="5">
        <f>I23</f>
        <v>0.87</v>
      </c>
      <c r="J24" s="5">
        <f>C24*F24*G24</f>
        <v>1008.7</v>
      </c>
      <c r="K24" s="5">
        <f>C24*F24*H24</f>
        <v>1087.3</v>
      </c>
      <c r="L24" s="5">
        <f>C24*F24*I24</f>
        <v>1139.7</v>
      </c>
    </row>
    <row r="25" spans="2:12" x14ac:dyDescent="0.3">
      <c r="B25" s="5" t="s">
        <v>47</v>
      </c>
      <c r="C25" s="5">
        <v>1</v>
      </c>
      <c r="D25" s="5"/>
      <c r="E25" s="5"/>
      <c r="F25" s="5">
        <v>350</v>
      </c>
      <c r="G25" s="5">
        <f>G24</f>
        <v>0.77</v>
      </c>
      <c r="H25" s="5">
        <f>H23</f>
        <v>0.83</v>
      </c>
      <c r="I25" s="5">
        <f>I23</f>
        <v>0.87</v>
      </c>
      <c r="J25" s="5">
        <f>C25*F25*G25</f>
        <v>269.5</v>
      </c>
      <c r="K25" s="5">
        <f>C25*F25*H25</f>
        <v>290.5</v>
      </c>
      <c r="L25" s="5">
        <f>C25*F25*I25</f>
        <v>304.5</v>
      </c>
    </row>
    <row r="26" spans="2:12" ht="28.8" hidden="1" x14ac:dyDescent="0.3">
      <c r="B26" s="6" t="s">
        <v>48</v>
      </c>
      <c r="C26" s="26">
        <v>1</v>
      </c>
      <c r="D26" s="5"/>
      <c r="E26" s="5"/>
      <c r="F26" s="5">
        <v>1050</v>
      </c>
      <c r="G26" s="5">
        <f>G25</f>
        <v>0.77</v>
      </c>
      <c r="H26" s="5">
        <f>H24</f>
        <v>0.83</v>
      </c>
      <c r="I26" s="5">
        <f>I24</f>
        <v>0.87</v>
      </c>
      <c r="J26" s="5">
        <f>C26*F26*G26</f>
        <v>808.5</v>
      </c>
      <c r="K26" s="5">
        <f>C26*F26*H26</f>
        <v>871.5</v>
      </c>
      <c r="L26" s="5">
        <f>C26*F26*I26</f>
        <v>913.5</v>
      </c>
    </row>
    <row r="27" spans="2:12" ht="28.8" hidden="1" x14ac:dyDescent="0.3">
      <c r="B27" s="6" t="s">
        <v>49</v>
      </c>
      <c r="C27" s="27"/>
      <c r="D27" s="5"/>
      <c r="E27" s="5">
        <v>450</v>
      </c>
      <c r="F27" s="5"/>
      <c r="G27" s="5"/>
      <c r="H27" s="5"/>
      <c r="I27" s="5"/>
      <c r="J27" s="5">
        <f>C26*E27</f>
        <v>450</v>
      </c>
      <c r="K27" s="5">
        <f>J27</f>
        <v>450</v>
      </c>
      <c r="L27" s="5">
        <f>J27</f>
        <v>450</v>
      </c>
    </row>
    <row r="28" spans="2:12" ht="28.8" hidden="1" x14ac:dyDescent="0.3">
      <c r="B28" s="6" t="s">
        <v>50</v>
      </c>
      <c r="C28" s="12">
        <v>1</v>
      </c>
      <c r="D28" s="5"/>
      <c r="E28" s="5"/>
      <c r="F28" s="5">
        <v>767.5</v>
      </c>
      <c r="G28" s="5">
        <f>G26</f>
        <v>0.77</v>
      </c>
      <c r="H28" s="5">
        <f>H26</f>
        <v>0.83</v>
      </c>
      <c r="I28" s="5">
        <f>I26</f>
        <v>0.87</v>
      </c>
      <c r="J28" s="5">
        <f>C28*F28*G28</f>
        <v>590.97500000000002</v>
      </c>
      <c r="K28" s="5">
        <f>C28*F28*H28</f>
        <v>637.02499999999998</v>
      </c>
      <c r="L28" s="5">
        <f>C28*F28*I28</f>
        <v>667.72500000000002</v>
      </c>
    </row>
    <row r="29" spans="2:12" ht="28.8" hidden="1" x14ac:dyDescent="0.3">
      <c r="B29" s="6" t="s">
        <v>51</v>
      </c>
      <c r="C29" s="26">
        <v>2</v>
      </c>
      <c r="D29" s="5"/>
      <c r="E29" s="5"/>
      <c r="F29" s="5">
        <v>21</v>
      </c>
      <c r="G29" s="5">
        <f>G28</f>
        <v>0.77</v>
      </c>
      <c r="H29" s="5">
        <f>H28</f>
        <v>0.83</v>
      </c>
      <c r="I29" s="5">
        <f>I28</f>
        <v>0.87</v>
      </c>
      <c r="J29" s="5">
        <f>C29*F29*G29</f>
        <v>32.340000000000003</v>
      </c>
      <c r="K29" s="5">
        <f>C29*F29*H29</f>
        <v>34.86</v>
      </c>
      <c r="L29" s="5">
        <f>C29*F29*I29</f>
        <v>36.54</v>
      </c>
    </row>
    <row r="30" spans="2:12" ht="28.8" hidden="1" x14ac:dyDescent="0.3">
      <c r="B30" s="6" t="s">
        <v>52</v>
      </c>
      <c r="C30" s="27"/>
      <c r="D30" s="5"/>
      <c r="E30" s="5">
        <v>14</v>
      </c>
      <c r="F30" s="5"/>
      <c r="G30" s="5"/>
      <c r="H30" s="5"/>
      <c r="I30" s="5"/>
      <c r="J30" s="5">
        <f>C29*E30</f>
        <v>28</v>
      </c>
      <c r="K30" s="5">
        <f>J30</f>
        <v>28</v>
      </c>
      <c r="L30" s="5">
        <f>J30</f>
        <v>28</v>
      </c>
    </row>
    <row r="31" spans="2:12" ht="15" customHeight="1" x14ac:dyDescent="0.3">
      <c r="B31" s="7" t="s">
        <v>34</v>
      </c>
      <c r="C31" s="5"/>
      <c r="D31" s="5"/>
      <c r="E31" s="5"/>
      <c r="F31" s="5"/>
      <c r="G31" s="5"/>
      <c r="H31" s="5"/>
      <c r="I31" s="5"/>
      <c r="J31" s="7">
        <f>J20+J21+J23+J24+J25</f>
        <v>3560.4160700000002</v>
      </c>
      <c r="K31" s="7">
        <f>K20+K21+K23+K24+K25</f>
        <v>3809.1773900000007</v>
      </c>
      <c r="L31" s="7">
        <f>L20+L21+L23+L24+L25</f>
        <v>3988.5283799999997</v>
      </c>
    </row>
    <row r="32" spans="2:12" x14ac:dyDescent="0.3">
      <c r="B32" s="7" t="s">
        <v>35</v>
      </c>
      <c r="C32" s="5"/>
      <c r="D32" s="5"/>
      <c r="E32" s="5"/>
      <c r="F32" s="5"/>
      <c r="G32" s="5"/>
      <c r="H32" s="5"/>
      <c r="I32" s="5"/>
      <c r="J32" s="7">
        <f>J22</f>
        <v>708</v>
      </c>
      <c r="K32" s="7">
        <f t="shared" ref="K32:L32" si="4">K22</f>
        <v>708</v>
      </c>
      <c r="L32" s="7">
        <f t="shared" si="4"/>
        <v>708</v>
      </c>
    </row>
    <row r="35" spans="2:10" ht="57.6" x14ac:dyDescent="0.3">
      <c r="B35" s="5"/>
      <c r="C35" s="2" t="s">
        <v>38</v>
      </c>
      <c r="D35" s="2" t="s">
        <v>37</v>
      </c>
      <c r="E35" s="2" t="s">
        <v>36</v>
      </c>
      <c r="F35" s="2" t="s">
        <v>39</v>
      </c>
      <c r="H35" s="2" t="s">
        <v>78</v>
      </c>
      <c r="I35" s="2" t="s">
        <v>112</v>
      </c>
      <c r="J35" s="2" t="s">
        <v>77</v>
      </c>
    </row>
    <row r="36" spans="2:10" x14ac:dyDescent="0.3">
      <c r="B36" s="33">
        <v>0.5</v>
      </c>
      <c r="C36" s="5">
        <f>R11+J15+J31</f>
        <v>11963.329893717502</v>
      </c>
      <c r="D36" s="5">
        <f>K15+J32</f>
        <v>3172.0403940000001</v>
      </c>
      <c r="E36" s="5">
        <f>C36+D36</f>
        <v>15135.370287717502</v>
      </c>
      <c r="F36" s="5">
        <f>(E36*0.0002843)</f>
        <v>4.3029857727980865</v>
      </c>
      <c r="H36" s="5">
        <f>(E37/(100-39))*0.001</f>
        <v>0.2535902278593033</v>
      </c>
      <c r="I36" s="5">
        <f>H36*0.845</f>
        <v>0.21428374254111127</v>
      </c>
      <c r="J36" s="5">
        <f>SQRT((4*H36)/(3.14*6.3*0.845))</f>
        <v>0.24633878745905624</v>
      </c>
    </row>
    <row r="37" spans="2:10" x14ac:dyDescent="0.3">
      <c r="B37" s="33">
        <v>0.58333333333333337</v>
      </c>
      <c r="C37" s="5">
        <f>S11+J15+K31</f>
        <v>12296.963505417501</v>
      </c>
      <c r="D37" s="5">
        <f>D36</f>
        <v>3172.0403940000001</v>
      </c>
      <c r="E37" s="5">
        <f t="shared" ref="E37:E38" si="5">C37+D37</f>
        <v>15469.003899417501</v>
      </c>
      <c r="F37" s="7">
        <f t="shared" ref="F37:F38" si="6">(E37*0.0002843)</f>
        <v>4.3978378086043959</v>
      </c>
    </row>
    <row r="38" spans="2:10" x14ac:dyDescent="0.3">
      <c r="B38" s="33">
        <v>0.66666666666666663</v>
      </c>
      <c r="C38" s="5">
        <f>T11+J15+L31</f>
        <v>12004.459970092501</v>
      </c>
      <c r="D38" s="5">
        <f>D37</f>
        <v>3172.0403940000001</v>
      </c>
      <c r="E38" s="5">
        <f t="shared" si="5"/>
        <v>15176.500364092501</v>
      </c>
      <c r="F38" s="5">
        <f t="shared" si="6"/>
        <v>4.3146790535114983</v>
      </c>
    </row>
  </sheetData>
  <mergeCells count="9">
    <mergeCell ref="C26:C27"/>
    <mergeCell ref="C29:C30"/>
    <mergeCell ref="L2:N2"/>
    <mergeCell ref="O2:Q2"/>
    <mergeCell ref="R2:T2"/>
    <mergeCell ref="B13:K13"/>
    <mergeCell ref="G18:I18"/>
    <mergeCell ref="J18:L18"/>
    <mergeCell ref="C21:C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325F2-3FC6-4551-8AA5-1CC6831E4580}">
  <dimension ref="B2:T36"/>
  <sheetViews>
    <sheetView topLeftCell="A16" zoomScaleNormal="100" workbookViewId="0">
      <selection activeCell="N19" sqref="N19"/>
    </sheetView>
  </sheetViews>
  <sheetFormatPr defaultRowHeight="14.4" x14ac:dyDescent="0.3"/>
  <cols>
    <col min="1" max="1" width="8.88671875" style="30"/>
    <col min="2" max="2" width="13.109375" style="30" customWidth="1"/>
    <col min="3" max="3" width="10" style="30" customWidth="1"/>
    <col min="4" max="4" width="8.88671875" style="30"/>
    <col min="5" max="5" width="8.77734375" style="30" customWidth="1"/>
    <col min="6" max="6" width="8.88671875" style="30"/>
    <col min="7" max="7" width="10.5546875" style="30" customWidth="1"/>
    <col min="8" max="8" width="7.88671875" style="30" customWidth="1"/>
    <col min="9" max="9" width="8.88671875" style="30"/>
    <col min="10" max="10" width="9.6640625" style="30" customWidth="1"/>
    <col min="11" max="16384" width="8.88671875" style="30"/>
  </cols>
  <sheetData>
    <row r="2" spans="2:20" ht="49.8" customHeight="1" x14ac:dyDescent="0.3">
      <c r="B2" s="1" t="s">
        <v>0</v>
      </c>
      <c r="C2" s="2" t="s">
        <v>107</v>
      </c>
      <c r="D2" s="2" t="s">
        <v>1</v>
      </c>
      <c r="E2" s="2" t="s">
        <v>2</v>
      </c>
      <c r="F2" s="2" t="s">
        <v>3</v>
      </c>
      <c r="G2" s="2" t="s">
        <v>108</v>
      </c>
      <c r="H2" s="2" t="s">
        <v>4</v>
      </c>
      <c r="I2" s="2" t="s">
        <v>109</v>
      </c>
      <c r="J2" s="2" t="s">
        <v>110</v>
      </c>
      <c r="K2" s="2" t="s">
        <v>5</v>
      </c>
      <c r="L2" s="23" t="s">
        <v>13</v>
      </c>
      <c r="M2" s="23"/>
      <c r="N2" s="23"/>
      <c r="O2" s="23" t="s">
        <v>6</v>
      </c>
      <c r="P2" s="23"/>
      <c r="Q2" s="23"/>
      <c r="R2" s="24" t="s">
        <v>7</v>
      </c>
      <c r="S2" s="23"/>
      <c r="T2" s="23"/>
    </row>
    <row r="3" spans="2:20" x14ac:dyDescent="0.3">
      <c r="B3" s="5"/>
      <c r="C3" s="5"/>
      <c r="D3" s="5"/>
      <c r="E3" s="5"/>
      <c r="F3" s="5"/>
      <c r="G3" s="5"/>
      <c r="H3" s="5"/>
      <c r="I3" s="5"/>
      <c r="J3" s="5"/>
      <c r="K3" s="5"/>
      <c r="L3" s="4">
        <v>0.5</v>
      </c>
      <c r="M3" s="4">
        <v>0.58333333333333337</v>
      </c>
      <c r="N3" s="4">
        <v>0.66666666666666663</v>
      </c>
      <c r="O3" s="4">
        <v>0.5</v>
      </c>
      <c r="P3" s="4">
        <v>0.58333333333333337</v>
      </c>
      <c r="Q3" s="4">
        <v>0.66666666666666663</v>
      </c>
      <c r="R3" s="4">
        <v>0.5</v>
      </c>
      <c r="S3" s="4">
        <v>0.58333333333333337</v>
      </c>
      <c r="T3" s="4">
        <v>0.66666666666666663</v>
      </c>
    </row>
    <row r="4" spans="2:20" x14ac:dyDescent="0.3">
      <c r="B4" s="5" t="s">
        <v>8</v>
      </c>
      <c r="C4" s="21">
        <v>1.2090000000000001</v>
      </c>
      <c r="D4" s="5">
        <v>6.56</v>
      </c>
      <c r="E4" s="5">
        <v>3.21</v>
      </c>
      <c r="F4" s="5"/>
      <c r="G4" s="5">
        <f>D4*E4</f>
        <v>21.057599999999997</v>
      </c>
      <c r="H4" s="21">
        <v>2</v>
      </c>
      <c r="I4" s="5">
        <f>G4</f>
        <v>21.057599999999997</v>
      </c>
      <c r="J4" s="5"/>
      <c r="K4" s="5"/>
      <c r="L4" s="21">
        <v>40</v>
      </c>
      <c r="M4" s="21">
        <v>44</v>
      </c>
      <c r="N4" s="21">
        <v>39</v>
      </c>
      <c r="O4" s="5">
        <f>((L4+H4)*1+(25.5-22)+(43-29.4))*0.75</f>
        <v>44.325000000000003</v>
      </c>
      <c r="P4" s="5">
        <f>((M4+H4)*1+(25.5-22)+(43-29.4))*0.75</f>
        <v>47.325000000000003</v>
      </c>
      <c r="Q4" s="5">
        <f>((N4+H4)*1+(25.5-22)+(43-29.4))*0.75</f>
        <v>43.575000000000003</v>
      </c>
      <c r="R4" s="5">
        <f>C4*I4*O4</f>
        <v>1128.45414708</v>
      </c>
      <c r="S4" s="5">
        <f>C4*I4*P4</f>
        <v>1204.83006228</v>
      </c>
      <c r="T4" s="5">
        <f>C4*I4*Q4</f>
        <v>1109.3601682799999</v>
      </c>
    </row>
    <row r="5" spans="2:20" ht="28.8" x14ac:dyDescent="0.3">
      <c r="B5" s="6" t="s">
        <v>9</v>
      </c>
      <c r="C5" s="5">
        <v>3.323</v>
      </c>
      <c r="D5" s="5">
        <v>3.21</v>
      </c>
      <c r="E5" s="5"/>
      <c r="F5" s="5">
        <v>4</v>
      </c>
      <c r="G5" s="5">
        <f>D5*F5</f>
        <v>12.84</v>
      </c>
      <c r="H5" s="5">
        <v>1</v>
      </c>
      <c r="I5" s="5">
        <f>G5-G7</f>
        <v>11.34</v>
      </c>
      <c r="J5" s="5"/>
      <c r="K5" s="5"/>
      <c r="L5" s="5">
        <v>5</v>
      </c>
      <c r="M5" s="5">
        <v>7.22</v>
      </c>
      <c r="N5" s="5">
        <v>9.44</v>
      </c>
      <c r="O5" s="5">
        <f>(L5+H5)*1+(25.5-22)+(43-29.4)</f>
        <v>23.1</v>
      </c>
      <c r="P5" s="5">
        <f>(M5+H5)*1+(25.5-22)+(43-29.4)</f>
        <v>25.32</v>
      </c>
      <c r="Q5" s="5">
        <f>(N5+H5)*1+(25.5-22)+(43-29.4)</f>
        <v>27.54</v>
      </c>
      <c r="R5" s="5">
        <f t="shared" ref="R5:R6" si="0">C5*I5*O5</f>
        <v>870.47314200000005</v>
      </c>
      <c r="S5" s="5">
        <f t="shared" ref="S5:S6" si="1">C5*I5*P5</f>
        <v>954.12900239999999</v>
      </c>
      <c r="T5" s="5">
        <f t="shared" ref="T5:T6" si="2">C5*I5*Q5</f>
        <v>1037.7848627999999</v>
      </c>
    </row>
    <row r="6" spans="2:20" ht="28.8" hidden="1" x14ac:dyDescent="0.3">
      <c r="B6" s="6" t="s">
        <v>53</v>
      </c>
      <c r="C6" s="28">
        <v>3.323</v>
      </c>
      <c r="D6" s="5"/>
      <c r="E6" s="5">
        <v>6.56</v>
      </c>
      <c r="F6" s="5">
        <v>4</v>
      </c>
      <c r="G6" s="5">
        <f>E6*F6</f>
        <v>26.24</v>
      </c>
      <c r="H6" s="5">
        <v>0</v>
      </c>
      <c r="I6" s="5">
        <f>G6-G7</f>
        <v>24.74</v>
      </c>
      <c r="J6" s="5"/>
      <c r="K6" s="5"/>
      <c r="L6" s="5">
        <v>20</v>
      </c>
      <c r="M6" s="5">
        <v>20.55</v>
      </c>
      <c r="N6" s="5">
        <v>18.88</v>
      </c>
      <c r="O6" s="5">
        <f>(L6+H6)*1+(25.5-22)+(43-29.4)</f>
        <v>37.1</v>
      </c>
      <c r="P6" s="5">
        <f>(M6+H6)*1+(25.5-22)+(43-29.4)</f>
        <v>37.650000000000006</v>
      </c>
      <c r="Q6" s="5">
        <f>(N6+H6)*1+(25.5-22)+(43-29.4)</f>
        <v>35.980000000000004</v>
      </c>
      <c r="R6" s="5">
        <f t="shared" si="0"/>
        <v>3050.0288419999997</v>
      </c>
      <c r="S6" s="5">
        <f t="shared" si="1"/>
        <v>3095.2449030000002</v>
      </c>
      <c r="T6" s="5">
        <f t="shared" si="2"/>
        <v>2957.9524996</v>
      </c>
    </row>
    <row r="7" spans="2:20" ht="28.8" x14ac:dyDescent="0.3">
      <c r="B7" s="6" t="s">
        <v>12</v>
      </c>
      <c r="C7" s="21">
        <v>3.7</v>
      </c>
      <c r="D7" s="5"/>
      <c r="E7" s="5">
        <v>1.5</v>
      </c>
      <c r="F7" s="5">
        <v>1</v>
      </c>
      <c r="G7" s="5">
        <f>E7*F7</f>
        <v>1.5</v>
      </c>
      <c r="H7" s="5"/>
      <c r="I7" s="5">
        <f>G7</f>
        <v>1.5</v>
      </c>
      <c r="J7" s="5"/>
      <c r="K7" s="5"/>
      <c r="L7" s="5"/>
      <c r="M7" s="5"/>
      <c r="N7" s="5"/>
      <c r="O7" s="5"/>
      <c r="P7" s="5"/>
      <c r="Q7" s="5"/>
      <c r="R7" s="5">
        <f>C7*G7*(43-22)</f>
        <v>116.55000000000001</v>
      </c>
      <c r="S7" s="5">
        <f>R7</f>
        <v>116.55000000000001</v>
      </c>
      <c r="T7" s="5">
        <f>R7</f>
        <v>116.55000000000001</v>
      </c>
    </row>
    <row r="8" spans="2:20" ht="28.8" x14ac:dyDescent="0.3">
      <c r="B8" s="6" t="s">
        <v>11</v>
      </c>
      <c r="C8" s="21">
        <v>3.7</v>
      </c>
      <c r="D8" s="5"/>
      <c r="E8" s="5">
        <v>1.5</v>
      </c>
      <c r="F8" s="5">
        <v>1</v>
      </c>
      <c r="G8" s="5">
        <f>E8*F8</f>
        <v>1.5</v>
      </c>
      <c r="H8" s="5"/>
      <c r="I8" s="5">
        <f>G8</f>
        <v>1.5</v>
      </c>
      <c r="J8" s="5">
        <v>138.46799999999999</v>
      </c>
      <c r="K8" s="21">
        <v>0.64</v>
      </c>
      <c r="L8" s="5">
        <v>0.89</v>
      </c>
      <c r="M8" s="5">
        <v>0.86</v>
      </c>
      <c r="N8" s="5">
        <v>0.75</v>
      </c>
      <c r="O8" s="5"/>
      <c r="P8" s="5"/>
      <c r="Q8" s="5"/>
      <c r="R8" s="5">
        <f>I8*K8*J8*L8</f>
        <v>118.30705919999998</v>
      </c>
      <c r="S8" s="5">
        <f>I8*K8*J8*M8</f>
        <v>114.31918079999998</v>
      </c>
      <c r="T8" s="5">
        <f>I8*K8*J8*N8</f>
        <v>99.69695999999999</v>
      </c>
    </row>
    <row r="9" spans="2:20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7" t="s">
        <v>14</v>
      </c>
      <c r="R9" s="7">
        <f>R4+R5+R7+R8</f>
        <v>2233.7843482799999</v>
      </c>
      <c r="S9" s="7">
        <f>S4+S5+S7+S8</f>
        <v>2389.8282454800001</v>
      </c>
      <c r="T9" s="7">
        <f>T4+T5+T7+T8</f>
        <v>2363.3919910800005</v>
      </c>
    </row>
    <row r="11" spans="2:20" x14ac:dyDescent="0.3">
      <c r="B11" s="25" t="s">
        <v>21</v>
      </c>
      <c r="C11" s="25"/>
      <c r="D11" s="25"/>
      <c r="E11" s="25"/>
      <c r="F11" s="25"/>
      <c r="G11" s="25"/>
      <c r="H11" s="25"/>
      <c r="I11" s="25"/>
      <c r="J11" s="25"/>
      <c r="K11" s="25"/>
    </row>
    <row r="12" spans="2:20" ht="43.2" x14ac:dyDescent="0.3">
      <c r="B12" s="2" t="s">
        <v>1</v>
      </c>
      <c r="C12" s="2" t="s">
        <v>2</v>
      </c>
      <c r="D12" s="2" t="s">
        <v>3</v>
      </c>
      <c r="E12" s="2" t="s">
        <v>118</v>
      </c>
      <c r="F12" s="2" t="s">
        <v>15</v>
      </c>
      <c r="G12" s="2" t="s">
        <v>16</v>
      </c>
      <c r="H12" s="2" t="s">
        <v>20</v>
      </c>
      <c r="I12" s="2" t="s">
        <v>17</v>
      </c>
      <c r="J12" s="2" t="s">
        <v>18</v>
      </c>
      <c r="K12" s="2" t="s">
        <v>19</v>
      </c>
    </row>
    <row r="13" spans="2:20" x14ac:dyDescent="0.3">
      <c r="B13" s="5">
        <v>6.56</v>
      </c>
      <c r="C13" s="5">
        <v>3.21</v>
      </c>
      <c r="D13" s="5">
        <v>4</v>
      </c>
      <c r="E13" s="5">
        <f>B13*C13*D13</f>
        <v>84.230399999999989</v>
      </c>
      <c r="F13" s="5">
        <v>1</v>
      </c>
      <c r="G13" s="5">
        <f>((E13*F13*1000)/3600)</f>
        <v>23.397333333333332</v>
      </c>
      <c r="H13" s="5">
        <f>(43-22)</f>
        <v>21</v>
      </c>
      <c r="I13" s="5">
        <f>(0.022-0.0065)</f>
        <v>1.55E-2</v>
      </c>
      <c r="J13" s="5">
        <f>(1.232*G13*H13)</f>
        <v>605.33580799999993</v>
      </c>
      <c r="K13" s="5">
        <f>(3012*G13*I13)</f>
        <v>1092.327904</v>
      </c>
    </row>
    <row r="16" spans="2:20" ht="31.8" customHeight="1" x14ac:dyDescent="0.3">
      <c r="B16" s="1"/>
      <c r="C16" s="1" t="s">
        <v>22</v>
      </c>
      <c r="D16" s="2" t="s">
        <v>23</v>
      </c>
      <c r="E16" s="2" t="s">
        <v>24</v>
      </c>
      <c r="F16" s="2" t="s">
        <v>25</v>
      </c>
      <c r="G16" s="23" t="s">
        <v>26</v>
      </c>
      <c r="H16" s="23"/>
      <c r="I16" s="23"/>
      <c r="J16" s="24" t="s">
        <v>27</v>
      </c>
      <c r="K16" s="23"/>
      <c r="L16" s="23"/>
    </row>
    <row r="17" spans="2:12" x14ac:dyDescent="0.3">
      <c r="B17" s="5"/>
      <c r="C17" s="5"/>
      <c r="D17" s="5"/>
      <c r="E17" s="5"/>
      <c r="F17" s="5"/>
      <c r="G17" s="4">
        <v>0.5</v>
      </c>
      <c r="H17" s="4">
        <v>0.58333333333333337</v>
      </c>
      <c r="I17" s="4">
        <v>0.66666666666666663</v>
      </c>
      <c r="J17" s="4">
        <v>0.5</v>
      </c>
      <c r="K17" s="4">
        <v>0.58333333333333337</v>
      </c>
      <c r="L17" s="4">
        <v>0.66666666666666663</v>
      </c>
    </row>
    <row r="18" spans="2:12" x14ac:dyDescent="0.3">
      <c r="B18" s="5" t="s">
        <v>28</v>
      </c>
      <c r="C18" s="5"/>
      <c r="D18" s="21">
        <f>(30*G4)</f>
        <v>631.72799999999995</v>
      </c>
      <c r="E18" s="5"/>
      <c r="F18" s="5"/>
      <c r="G18" s="21">
        <v>0.79</v>
      </c>
      <c r="H18" s="21">
        <v>0.83</v>
      </c>
      <c r="I18" s="21">
        <v>0.86</v>
      </c>
      <c r="J18" s="5">
        <f>D18*G18</f>
        <v>499.06511999999998</v>
      </c>
      <c r="K18" s="5">
        <f>D18*H18</f>
        <v>524.33423999999991</v>
      </c>
      <c r="L18" s="5">
        <f>D18*I18</f>
        <v>543.28607999999997</v>
      </c>
    </row>
    <row r="19" spans="2:12" ht="28.8" x14ac:dyDescent="0.3">
      <c r="B19" s="6" t="s">
        <v>29</v>
      </c>
      <c r="C19" s="22">
        <v>1</v>
      </c>
      <c r="D19" s="5"/>
      <c r="E19" s="5"/>
      <c r="F19" s="5">
        <v>73</v>
      </c>
      <c r="G19" s="21">
        <v>0.74</v>
      </c>
      <c r="H19" s="21">
        <v>0.8</v>
      </c>
      <c r="I19" s="21">
        <v>0.85</v>
      </c>
      <c r="J19" s="5">
        <f>C19*F19*G19</f>
        <v>54.019999999999996</v>
      </c>
      <c r="K19" s="5">
        <f>C19*F19*H19</f>
        <v>58.400000000000006</v>
      </c>
      <c r="L19" s="5">
        <f>C19*F19*I19</f>
        <v>62.05</v>
      </c>
    </row>
    <row r="20" spans="2:12" ht="28.8" x14ac:dyDescent="0.3">
      <c r="B20" s="6" t="s">
        <v>30</v>
      </c>
      <c r="C20" s="22"/>
      <c r="D20" s="5"/>
      <c r="E20" s="5">
        <v>59</v>
      </c>
      <c r="F20" s="5"/>
      <c r="G20" s="5"/>
      <c r="H20" s="5"/>
      <c r="I20" s="5"/>
      <c r="J20" s="5">
        <f>C19*E20</f>
        <v>59</v>
      </c>
      <c r="K20" s="5">
        <f>J20</f>
        <v>59</v>
      </c>
      <c r="L20" s="5">
        <f>J20</f>
        <v>59</v>
      </c>
    </row>
    <row r="21" spans="2:12" ht="18" customHeight="1" x14ac:dyDescent="0.3">
      <c r="B21" s="5" t="s">
        <v>31</v>
      </c>
      <c r="C21" s="5">
        <v>1</v>
      </c>
      <c r="D21" s="5"/>
      <c r="E21" s="5"/>
      <c r="F21" s="5">
        <v>55</v>
      </c>
      <c r="G21" s="5">
        <v>0.77</v>
      </c>
      <c r="H21" s="5">
        <v>0.83</v>
      </c>
      <c r="I21" s="5">
        <v>0.87</v>
      </c>
      <c r="J21" s="5">
        <f>C21*F21*G21</f>
        <v>42.35</v>
      </c>
      <c r="K21" s="5">
        <f>C21*F21*H21</f>
        <v>45.65</v>
      </c>
      <c r="L21" s="5">
        <f>C21*F21*I21</f>
        <v>47.85</v>
      </c>
    </row>
    <row r="22" spans="2:12" ht="16.8" customHeight="1" x14ac:dyDescent="0.3">
      <c r="B22" s="6" t="s">
        <v>55</v>
      </c>
      <c r="C22" s="5">
        <v>1</v>
      </c>
      <c r="D22" s="5"/>
      <c r="E22" s="5"/>
      <c r="F22" s="5">
        <v>1310</v>
      </c>
      <c r="G22" s="5">
        <f>G21</f>
        <v>0.77</v>
      </c>
      <c r="H22" s="5">
        <f>H21</f>
        <v>0.83</v>
      </c>
      <c r="I22" s="5">
        <f>I21</f>
        <v>0.87</v>
      </c>
      <c r="J22" s="5">
        <f>C22*F22*G22</f>
        <v>1008.7</v>
      </c>
      <c r="K22" s="5">
        <f>C22*F22*H22</f>
        <v>1087.3</v>
      </c>
      <c r="L22" s="5">
        <f>C22*F22*I22</f>
        <v>1139.7</v>
      </c>
    </row>
    <row r="23" spans="2:12" ht="43.2" x14ac:dyDescent="0.3">
      <c r="B23" s="6" t="s">
        <v>57</v>
      </c>
      <c r="C23" s="5">
        <v>1</v>
      </c>
      <c r="D23" s="5"/>
      <c r="E23" s="5"/>
      <c r="F23" s="5">
        <v>130</v>
      </c>
      <c r="G23" s="5">
        <f>G22</f>
        <v>0.77</v>
      </c>
      <c r="H23" s="5">
        <f>H21</f>
        <v>0.83</v>
      </c>
      <c r="I23" s="5">
        <f>I21</f>
        <v>0.87</v>
      </c>
      <c r="J23" s="5">
        <f>C23*F23*G23</f>
        <v>100.10000000000001</v>
      </c>
      <c r="K23" s="5">
        <f>C23*F23*H23</f>
        <v>107.89999999999999</v>
      </c>
      <c r="L23" s="5">
        <f>C23*F23*I23</f>
        <v>113.1</v>
      </c>
    </row>
    <row r="24" spans="2:12" ht="28.8" hidden="1" x14ac:dyDescent="0.3">
      <c r="B24" s="6" t="s">
        <v>48</v>
      </c>
      <c r="C24" s="26">
        <v>1</v>
      </c>
      <c r="D24" s="5"/>
      <c r="E24" s="5"/>
      <c r="F24" s="5">
        <v>1050</v>
      </c>
      <c r="G24" s="5">
        <f>G23</f>
        <v>0.77</v>
      </c>
      <c r="H24" s="5">
        <f>H22</f>
        <v>0.83</v>
      </c>
      <c r="I24" s="5">
        <f>I22</f>
        <v>0.87</v>
      </c>
      <c r="J24" s="5">
        <f>C24*F24*G24</f>
        <v>808.5</v>
      </c>
      <c r="K24" s="5">
        <f>C24*F24*H24</f>
        <v>871.5</v>
      </c>
      <c r="L24" s="5">
        <f>C24*F24*I24</f>
        <v>913.5</v>
      </c>
    </row>
    <row r="25" spans="2:12" ht="28.8" hidden="1" x14ac:dyDescent="0.3">
      <c r="B25" s="6" t="s">
        <v>49</v>
      </c>
      <c r="C25" s="27"/>
      <c r="D25" s="5"/>
      <c r="E25" s="5">
        <v>450</v>
      </c>
      <c r="F25" s="5"/>
      <c r="G25" s="5"/>
      <c r="H25" s="5"/>
      <c r="I25" s="5"/>
      <c r="J25" s="5">
        <f>C24*E25</f>
        <v>450</v>
      </c>
      <c r="K25" s="5">
        <f>J25</f>
        <v>450</v>
      </c>
      <c r="L25" s="5">
        <f>J25</f>
        <v>450</v>
      </c>
    </row>
    <row r="26" spans="2:12" ht="28.8" hidden="1" x14ac:dyDescent="0.3">
      <c r="B26" s="6" t="s">
        <v>50</v>
      </c>
      <c r="C26" s="12">
        <v>1</v>
      </c>
      <c r="D26" s="5"/>
      <c r="E26" s="5"/>
      <c r="F26" s="5">
        <v>767.5</v>
      </c>
      <c r="G26" s="5">
        <f>G24</f>
        <v>0.77</v>
      </c>
      <c r="H26" s="5">
        <f>H24</f>
        <v>0.83</v>
      </c>
      <c r="I26" s="5">
        <f>I24</f>
        <v>0.87</v>
      </c>
      <c r="J26" s="5">
        <f>C26*F26*G26</f>
        <v>590.97500000000002</v>
      </c>
      <c r="K26" s="5">
        <f>C26*F26*H26</f>
        <v>637.02499999999998</v>
      </c>
      <c r="L26" s="5">
        <f>C26*F26*I26</f>
        <v>667.72500000000002</v>
      </c>
    </row>
    <row r="27" spans="2:12" ht="28.8" hidden="1" x14ac:dyDescent="0.3">
      <c r="B27" s="6" t="s">
        <v>51</v>
      </c>
      <c r="C27" s="26">
        <v>2</v>
      </c>
      <c r="D27" s="5"/>
      <c r="E27" s="5"/>
      <c r="F27" s="5">
        <v>21</v>
      </c>
      <c r="G27" s="5">
        <f>G26</f>
        <v>0.77</v>
      </c>
      <c r="H27" s="5">
        <f>H26</f>
        <v>0.83</v>
      </c>
      <c r="I27" s="5">
        <f>I26</f>
        <v>0.87</v>
      </c>
      <c r="J27" s="5">
        <f>C27*F27*G27</f>
        <v>32.340000000000003</v>
      </c>
      <c r="K27" s="5">
        <f>C27*F27*H27</f>
        <v>34.86</v>
      </c>
      <c r="L27" s="5">
        <f>C27*F27*I27</f>
        <v>36.54</v>
      </c>
    </row>
    <row r="28" spans="2:12" ht="28.8" hidden="1" x14ac:dyDescent="0.3">
      <c r="B28" s="6" t="s">
        <v>52</v>
      </c>
      <c r="C28" s="27"/>
      <c r="D28" s="5"/>
      <c r="E28" s="5">
        <v>14</v>
      </c>
      <c r="F28" s="5"/>
      <c r="G28" s="5"/>
      <c r="H28" s="5"/>
      <c r="I28" s="5"/>
      <c r="J28" s="5">
        <f>C27*E28</f>
        <v>28</v>
      </c>
      <c r="K28" s="5">
        <f>J28</f>
        <v>28</v>
      </c>
      <c r="L28" s="5">
        <f>J28</f>
        <v>28</v>
      </c>
    </row>
    <row r="29" spans="2:12" ht="15" customHeight="1" x14ac:dyDescent="0.3">
      <c r="B29" s="7" t="s">
        <v>34</v>
      </c>
      <c r="C29" s="5"/>
      <c r="D29" s="5"/>
      <c r="E29" s="5"/>
      <c r="F29" s="5"/>
      <c r="G29" s="5"/>
      <c r="H29" s="5"/>
      <c r="I29" s="5"/>
      <c r="J29" s="7">
        <f>J18+J19+J21+J22+J23</f>
        <v>1704.2351199999998</v>
      </c>
      <c r="K29" s="7">
        <f>K18+K19+K21+K22+K23</f>
        <v>1823.5842399999999</v>
      </c>
      <c r="L29" s="7">
        <f>L18+L19+L21+L22+L23</f>
        <v>1905.9860799999999</v>
      </c>
    </row>
    <row r="30" spans="2:12" x14ac:dyDescent="0.3">
      <c r="B30" s="7" t="s">
        <v>35</v>
      </c>
      <c r="C30" s="5"/>
      <c r="D30" s="5"/>
      <c r="E30" s="5"/>
      <c r="F30" s="5"/>
      <c r="G30" s="5"/>
      <c r="H30" s="5"/>
      <c r="I30" s="5"/>
      <c r="J30" s="7">
        <f>J20</f>
        <v>59</v>
      </c>
      <c r="K30" s="7">
        <f t="shared" ref="K30:L30" si="3">K20</f>
        <v>59</v>
      </c>
      <c r="L30" s="7">
        <f t="shared" si="3"/>
        <v>59</v>
      </c>
    </row>
    <row r="33" spans="2:10" ht="57.6" x14ac:dyDescent="0.3">
      <c r="B33" s="5"/>
      <c r="C33" s="2" t="s">
        <v>38</v>
      </c>
      <c r="D33" s="2" t="s">
        <v>37</v>
      </c>
      <c r="E33" s="2" t="s">
        <v>36</v>
      </c>
      <c r="F33" s="2" t="s">
        <v>39</v>
      </c>
      <c r="H33" s="2" t="s">
        <v>78</v>
      </c>
      <c r="I33" s="2" t="s">
        <v>112</v>
      </c>
      <c r="J33" s="2" t="s">
        <v>77</v>
      </c>
    </row>
    <row r="34" spans="2:10" x14ac:dyDescent="0.3">
      <c r="B34" s="33">
        <v>0.5</v>
      </c>
      <c r="C34" s="5">
        <f>R9+J13+J29</f>
        <v>4543.3552762799991</v>
      </c>
      <c r="D34" s="5">
        <f>K13+J30</f>
        <v>1151.327904</v>
      </c>
      <c r="E34" s="5">
        <f>C34+D34</f>
        <v>5694.6831802799989</v>
      </c>
      <c r="F34" s="5">
        <f>(E34*0.0002843)</f>
        <v>1.6189984281536038</v>
      </c>
      <c r="H34" s="5">
        <f>(E36/(100-39))*0.001</f>
        <v>9.8787570214426232E-2</v>
      </c>
      <c r="I34" s="5">
        <f>H34*0.845</f>
        <v>8.3475496831190169E-2</v>
      </c>
      <c r="J34" s="5">
        <f>SQRT((4*H34)/(3.14*6.3*0.845))</f>
        <v>0.15375090976674757</v>
      </c>
    </row>
    <row r="35" spans="2:10" x14ac:dyDescent="0.3">
      <c r="B35" s="33">
        <v>0.58333333333333337</v>
      </c>
      <c r="C35" s="5">
        <f>S9+J13+K29</f>
        <v>4818.74829348</v>
      </c>
      <c r="D35" s="5">
        <f>D34</f>
        <v>1151.327904</v>
      </c>
      <c r="E35" s="5">
        <f t="shared" ref="E35:E36" si="4">C35+D35</f>
        <v>5970.0761974799998</v>
      </c>
      <c r="F35" s="5">
        <f t="shared" ref="F35:F36" si="5">(E35*0.0002843)</f>
        <v>1.6972926629435641</v>
      </c>
    </row>
    <row r="36" spans="2:10" x14ac:dyDescent="0.3">
      <c r="B36" s="33">
        <v>0.66666666666666663</v>
      </c>
      <c r="C36" s="5">
        <f>T9+J13+L29</f>
        <v>4874.71387908</v>
      </c>
      <c r="D36" s="5">
        <f>D35</f>
        <v>1151.327904</v>
      </c>
      <c r="E36" s="5">
        <f t="shared" si="4"/>
        <v>6026.0417830799997</v>
      </c>
      <c r="F36" s="7">
        <f t="shared" si="5"/>
        <v>1.7132036789296441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EEB1-9AC4-4FC3-9A46-50D73A3947D4}">
  <dimension ref="B2:T36"/>
  <sheetViews>
    <sheetView topLeftCell="A18" zoomScaleNormal="100" workbookViewId="0">
      <selection activeCell="M33" sqref="M33"/>
    </sheetView>
  </sheetViews>
  <sheetFormatPr defaultRowHeight="14.4" x14ac:dyDescent="0.3"/>
  <cols>
    <col min="1" max="1" width="8.88671875" style="38"/>
    <col min="2" max="2" width="13.109375" style="38" customWidth="1"/>
    <col min="3" max="3" width="10" style="38" customWidth="1"/>
    <col min="4" max="4" width="8.88671875" style="38"/>
    <col min="5" max="5" width="8.77734375" style="38" customWidth="1"/>
    <col min="6" max="6" width="8.88671875" style="38"/>
    <col min="7" max="7" width="10.5546875" style="38" customWidth="1"/>
    <col min="8" max="8" width="7.88671875" style="38" customWidth="1"/>
    <col min="9" max="9" width="8.88671875" style="38"/>
    <col min="10" max="10" width="9.6640625" style="38" customWidth="1"/>
    <col min="11" max="16384" width="8.88671875" style="38"/>
  </cols>
  <sheetData>
    <row r="2" spans="2:20" s="38" customFormat="1" ht="49.8" customHeight="1" x14ac:dyDescent="0.3">
      <c r="B2" s="34" t="s">
        <v>0</v>
      </c>
      <c r="C2" s="35" t="s">
        <v>107</v>
      </c>
      <c r="D2" s="35" t="s">
        <v>1</v>
      </c>
      <c r="E2" s="35" t="s">
        <v>2</v>
      </c>
      <c r="F2" s="35" t="s">
        <v>3</v>
      </c>
      <c r="G2" s="35" t="s">
        <v>108</v>
      </c>
      <c r="H2" s="35" t="s">
        <v>4</v>
      </c>
      <c r="I2" s="35" t="s">
        <v>109</v>
      </c>
      <c r="J2" s="35" t="s">
        <v>110</v>
      </c>
      <c r="K2" s="35" t="s">
        <v>5</v>
      </c>
      <c r="L2" s="36" t="s">
        <v>13</v>
      </c>
      <c r="M2" s="36"/>
      <c r="N2" s="36"/>
      <c r="O2" s="36" t="s">
        <v>6</v>
      </c>
      <c r="P2" s="36"/>
      <c r="Q2" s="36"/>
      <c r="R2" s="37" t="s">
        <v>7</v>
      </c>
      <c r="S2" s="36"/>
      <c r="T2" s="36"/>
    </row>
    <row r="3" spans="2:20" s="38" customForma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40">
        <v>0.5</v>
      </c>
      <c r="M3" s="40">
        <v>0.58333333333333337</v>
      </c>
      <c r="N3" s="40">
        <v>0.66666666666666663</v>
      </c>
      <c r="O3" s="40">
        <v>0.5</v>
      </c>
      <c r="P3" s="40">
        <v>0.58333333333333337</v>
      </c>
      <c r="Q3" s="40">
        <v>0.66666666666666663</v>
      </c>
      <c r="R3" s="40">
        <v>0.5</v>
      </c>
      <c r="S3" s="40">
        <v>0.58333333333333337</v>
      </c>
      <c r="T3" s="40">
        <v>0.66666666666666663</v>
      </c>
    </row>
    <row r="4" spans="2:20" s="38" customFormat="1" x14ac:dyDescent="0.3">
      <c r="B4" s="39" t="s">
        <v>8</v>
      </c>
      <c r="C4" s="39">
        <v>1.2090000000000001</v>
      </c>
      <c r="D4" s="39">
        <v>6.56</v>
      </c>
      <c r="E4" s="39">
        <v>3.21</v>
      </c>
      <c r="F4" s="39"/>
      <c r="G4" s="39">
        <f>D4*E4</f>
        <v>21.057599999999997</v>
      </c>
      <c r="H4" s="39">
        <v>2</v>
      </c>
      <c r="I4" s="39">
        <f>G4</f>
        <v>21.057599999999997</v>
      </c>
      <c r="J4" s="39"/>
      <c r="K4" s="39"/>
      <c r="L4" s="39">
        <v>40</v>
      </c>
      <c r="M4" s="39">
        <v>44</v>
      </c>
      <c r="N4" s="39">
        <v>39</v>
      </c>
      <c r="O4" s="39">
        <f>((L4+H4)*1+(25.5-22)+(43-29.4))*0.75</f>
        <v>44.325000000000003</v>
      </c>
      <c r="P4" s="39">
        <f>((M4+H4)*1+(25.5-22)+(43-29.4))*0.75</f>
        <v>47.325000000000003</v>
      </c>
      <c r="Q4" s="39">
        <f>((N4+H4)*1+(25.5-22)+(43-29.4))*0.75</f>
        <v>43.575000000000003</v>
      </c>
      <c r="R4" s="39">
        <f>C4*I4*O4</f>
        <v>1128.45414708</v>
      </c>
      <c r="S4" s="39">
        <f>C4*I4*P4</f>
        <v>1204.83006228</v>
      </c>
      <c r="T4" s="39">
        <f>C4*I4*Q4</f>
        <v>1109.3601682799999</v>
      </c>
    </row>
    <row r="5" spans="2:20" s="38" customFormat="1" ht="28.8" x14ac:dyDescent="0.3">
      <c r="B5" s="41" t="s">
        <v>9</v>
      </c>
      <c r="C5" s="39">
        <v>3.323</v>
      </c>
      <c r="D5" s="39">
        <v>3.21</v>
      </c>
      <c r="E5" s="39"/>
      <c r="F5" s="39">
        <v>4</v>
      </c>
      <c r="G5" s="39">
        <f>D5*F5</f>
        <v>12.84</v>
      </c>
      <c r="H5" s="39">
        <v>1</v>
      </c>
      <c r="I5" s="39">
        <f>G5</f>
        <v>12.84</v>
      </c>
      <c r="J5" s="39"/>
      <c r="K5" s="39"/>
      <c r="L5" s="39">
        <v>5</v>
      </c>
      <c r="M5" s="39">
        <v>7.22</v>
      </c>
      <c r="N5" s="39">
        <v>9.44</v>
      </c>
      <c r="O5" s="39">
        <f>(L5+H5)*1+(25.5-22)+(43-29.4)</f>
        <v>23.1</v>
      </c>
      <c r="P5" s="39">
        <f>(M5+H5)*1+(25.5-22)+(43-29.4)</f>
        <v>25.32</v>
      </c>
      <c r="Q5" s="39">
        <f>(N5+H5)*1+(25.5-22)+(43-29.4)</f>
        <v>27.54</v>
      </c>
      <c r="R5" s="39">
        <f t="shared" ref="R5:R6" si="0">C5*I5*O5</f>
        <v>985.615092</v>
      </c>
      <c r="S5" s="39">
        <f t="shared" ref="S5:S6" si="1">C5*I5*P5</f>
        <v>1080.3365423999999</v>
      </c>
      <c r="T5" s="39">
        <f t="shared" ref="T5:T6" si="2">C5*I5*Q5</f>
        <v>1175.0579928</v>
      </c>
    </row>
    <row r="6" spans="2:20" s="38" customFormat="1" ht="28.8" x14ac:dyDescent="0.3">
      <c r="B6" s="41" t="s">
        <v>53</v>
      </c>
      <c r="C6" s="39">
        <v>3.323</v>
      </c>
      <c r="D6" s="39"/>
      <c r="E6" s="39">
        <v>6.56</v>
      </c>
      <c r="F6" s="39">
        <v>4</v>
      </c>
      <c r="G6" s="39">
        <f>E6*F6</f>
        <v>26.24</v>
      </c>
      <c r="H6" s="39">
        <v>0</v>
      </c>
      <c r="I6" s="39">
        <f>G6-G7</f>
        <v>20.239999999999998</v>
      </c>
      <c r="J6" s="39"/>
      <c r="K6" s="39"/>
      <c r="L6" s="39">
        <v>20</v>
      </c>
      <c r="M6" s="39">
        <v>20.55</v>
      </c>
      <c r="N6" s="39">
        <v>18.88</v>
      </c>
      <c r="O6" s="39">
        <f>(L6+H6)*1+(25.5-22)+(43-29.4)</f>
        <v>37.1</v>
      </c>
      <c r="P6" s="39">
        <f>(M6+H6)*1+(25.5-22)+(43-29.4)</f>
        <v>37.650000000000006</v>
      </c>
      <c r="Q6" s="39">
        <f>(N6+H6)*1+(25.5-22)+(43-29.4)</f>
        <v>35.980000000000004</v>
      </c>
      <c r="R6" s="39">
        <f t="shared" si="0"/>
        <v>2495.2539919999999</v>
      </c>
      <c r="S6" s="39">
        <f t="shared" si="1"/>
        <v>2532.2456280000006</v>
      </c>
      <c r="T6" s="39">
        <f t="shared" si="2"/>
        <v>2419.9255696000005</v>
      </c>
    </row>
    <row r="7" spans="2:20" s="38" customFormat="1" ht="28.8" x14ac:dyDescent="0.3">
      <c r="B7" s="41" t="s">
        <v>12</v>
      </c>
      <c r="C7" s="39">
        <v>3.7</v>
      </c>
      <c r="D7" s="39"/>
      <c r="E7" s="39">
        <v>3</v>
      </c>
      <c r="F7" s="39">
        <v>2</v>
      </c>
      <c r="G7" s="39">
        <f>E7*F7</f>
        <v>6</v>
      </c>
      <c r="H7" s="39"/>
      <c r="I7" s="39">
        <f>G7</f>
        <v>6</v>
      </c>
      <c r="J7" s="39"/>
      <c r="K7" s="39"/>
      <c r="L7" s="39"/>
      <c r="M7" s="39"/>
      <c r="N7" s="39"/>
      <c r="O7" s="39"/>
      <c r="P7" s="39"/>
      <c r="Q7" s="39"/>
      <c r="R7" s="39">
        <f>C7*G7*(43-22)</f>
        <v>466.20000000000005</v>
      </c>
      <c r="S7" s="39">
        <f>R7</f>
        <v>466.20000000000005</v>
      </c>
      <c r="T7" s="39">
        <f>R7</f>
        <v>466.20000000000005</v>
      </c>
    </row>
    <row r="8" spans="2:20" s="38" customFormat="1" ht="28.8" x14ac:dyDescent="0.3">
      <c r="B8" s="41" t="s">
        <v>54</v>
      </c>
      <c r="C8" s="39">
        <v>3.7</v>
      </c>
      <c r="D8" s="39"/>
      <c r="E8" s="39">
        <v>3</v>
      </c>
      <c r="F8" s="39">
        <v>2</v>
      </c>
      <c r="G8" s="39">
        <f>E8*F8</f>
        <v>6</v>
      </c>
      <c r="H8" s="39"/>
      <c r="I8" s="39">
        <f>G8</f>
        <v>6</v>
      </c>
      <c r="J8" s="39">
        <v>673.45799999999997</v>
      </c>
      <c r="K8" s="39">
        <v>0.64</v>
      </c>
      <c r="L8" s="39">
        <v>0.27</v>
      </c>
      <c r="M8" s="39">
        <v>0.22</v>
      </c>
      <c r="N8" s="39">
        <v>0.17</v>
      </c>
      <c r="O8" s="39"/>
      <c r="P8" s="39"/>
      <c r="Q8" s="39"/>
      <c r="R8" s="39">
        <f>I8*K8*J8*L8</f>
        <v>698.2412544</v>
      </c>
      <c r="S8" s="39">
        <f>I8*K8*J8*M8</f>
        <v>568.93731839999998</v>
      </c>
      <c r="T8" s="39">
        <f>I8*K8*J8*N8</f>
        <v>439.63338240000002</v>
      </c>
    </row>
    <row r="9" spans="2:20" s="38" customFormat="1" x14ac:dyDescent="0.3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2" t="s">
        <v>14</v>
      </c>
      <c r="R9" s="42">
        <f>R4+R6+R7+R8</f>
        <v>4788.1493934800001</v>
      </c>
      <c r="S9" s="42">
        <f t="shared" ref="S9:T9" si="3">S4+S6+S7+S8</f>
        <v>4772.2130086799998</v>
      </c>
      <c r="T9" s="42">
        <f t="shared" si="3"/>
        <v>4435.119120280001</v>
      </c>
    </row>
    <row r="11" spans="2:20" s="38" customFormat="1" x14ac:dyDescent="0.3">
      <c r="B11" s="43" t="s">
        <v>21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2:20" s="38" customFormat="1" ht="43.2" x14ac:dyDescent="0.3">
      <c r="B12" s="35" t="s">
        <v>1</v>
      </c>
      <c r="C12" s="35" t="s">
        <v>2</v>
      </c>
      <c r="D12" s="35" t="s">
        <v>3</v>
      </c>
      <c r="E12" s="35" t="s">
        <v>118</v>
      </c>
      <c r="F12" s="35" t="s">
        <v>15</v>
      </c>
      <c r="G12" s="35" t="s">
        <v>16</v>
      </c>
      <c r="H12" s="35" t="s">
        <v>20</v>
      </c>
      <c r="I12" s="35" t="s">
        <v>17</v>
      </c>
      <c r="J12" s="35" t="s">
        <v>18</v>
      </c>
      <c r="K12" s="35" t="s">
        <v>19</v>
      </c>
    </row>
    <row r="13" spans="2:20" s="38" customFormat="1" x14ac:dyDescent="0.3">
      <c r="B13" s="39">
        <v>6.56</v>
      </c>
      <c r="C13" s="39">
        <v>3.21</v>
      </c>
      <c r="D13" s="39">
        <v>4</v>
      </c>
      <c r="E13" s="39">
        <f>B13*C13*D13</f>
        <v>84.230399999999989</v>
      </c>
      <c r="F13" s="39">
        <v>1</v>
      </c>
      <c r="G13" s="39">
        <f>((E13*F13*1000)/3600)</f>
        <v>23.397333333333332</v>
      </c>
      <c r="H13" s="39">
        <f>(43-22)</f>
        <v>21</v>
      </c>
      <c r="I13" s="39">
        <f>(0.022-0.0065)</f>
        <v>1.55E-2</v>
      </c>
      <c r="J13" s="39">
        <f>(1.232*G13*H13)</f>
        <v>605.33580799999993</v>
      </c>
      <c r="K13" s="39">
        <f>(3012*G13*I13)</f>
        <v>1092.327904</v>
      </c>
    </row>
    <row r="16" spans="2:20" s="38" customFormat="1" ht="31.8" customHeight="1" x14ac:dyDescent="0.3">
      <c r="B16" s="34"/>
      <c r="C16" s="34" t="s">
        <v>22</v>
      </c>
      <c r="D16" s="35" t="s">
        <v>23</v>
      </c>
      <c r="E16" s="35" t="s">
        <v>24</v>
      </c>
      <c r="F16" s="35" t="s">
        <v>25</v>
      </c>
      <c r="G16" s="36" t="s">
        <v>26</v>
      </c>
      <c r="H16" s="36"/>
      <c r="I16" s="36"/>
      <c r="J16" s="37" t="s">
        <v>27</v>
      </c>
      <c r="K16" s="36"/>
      <c r="L16" s="36"/>
    </row>
    <row r="17" spans="2:12" s="38" customFormat="1" x14ac:dyDescent="0.3">
      <c r="B17" s="39"/>
      <c r="C17" s="39"/>
      <c r="D17" s="39"/>
      <c r="E17" s="39"/>
      <c r="F17" s="39"/>
      <c r="G17" s="40">
        <v>0.5</v>
      </c>
      <c r="H17" s="40">
        <v>0.58333333333333337</v>
      </c>
      <c r="I17" s="40">
        <v>0.66666666666666663</v>
      </c>
      <c r="J17" s="40">
        <v>0.5</v>
      </c>
      <c r="K17" s="40">
        <v>0.58333333333333337</v>
      </c>
      <c r="L17" s="40">
        <v>0.66666666666666663</v>
      </c>
    </row>
    <row r="18" spans="2:12" s="38" customFormat="1" x14ac:dyDescent="0.3">
      <c r="B18" s="39" t="s">
        <v>28</v>
      </c>
      <c r="C18" s="39"/>
      <c r="D18" s="39">
        <f>(30*G4)</f>
        <v>631.72799999999995</v>
      </c>
      <c r="E18" s="39"/>
      <c r="F18" s="39"/>
      <c r="G18" s="39">
        <v>0.79</v>
      </c>
      <c r="H18" s="39">
        <v>0.83</v>
      </c>
      <c r="I18" s="39">
        <v>0.86</v>
      </c>
      <c r="J18" s="39">
        <f>D18*G18</f>
        <v>499.06511999999998</v>
      </c>
      <c r="K18" s="39">
        <f>D18*H18</f>
        <v>524.33423999999991</v>
      </c>
      <c r="L18" s="39">
        <f>D18*I18</f>
        <v>543.28607999999997</v>
      </c>
    </row>
    <row r="19" spans="2:12" s="38" customFormat="1" ht="28.8" x14ac:dyDescent="0.3">
      <c r="B19" s="41" t="s">
        <v>29</v>
      </c>
      <c r="C19" s="44">
        <v>1</v>
      </c>
      <c r="D19" s="39"/>
      <c r="E19" s="39"/>
      <c r="F19" s="39">
        <v>73</v>
      </c>
      <c r="G19" s="39">
        <v>0.74</v>
      </c>
      <c r="H19" s="39">
        <v>0.8</v>
      </c>
      <c r="I19" s="39">
        <v>0.85</v>
      </c>
      <c r="J19" s="39">
        <f>C19*F19*G19</f>
        <v>54.019999999999996</v>
      </c>
      <c r="K19" s="39">
        <f>C19*F19*H19</f>
        <v>58.400000000000006</v>
      </c>
      <c r="L19" s="39">
        <f>C19*F19*I19</f>
        <v>62.05</v>
      </c>
    </row>
    <row r="20" spans="2:12" s="38" customFormat="1" ht="28.8" x14ac:dyDescent="0.3">
      <c r="B20" s="41" t="s">
        <v>30</v>
      </c>
      <c r="C20" s="44"/>
      <c r="D20" s="39"/>
      <c r="E20" s="39">
        <v>59</v>
      </c>
      <c r="F20" s="39"/>
      <c r="G20" s="39"/>
      <c r="H20" s="39"/>
      <c r="I20" s="39"/>
      <c r="J20" s="39">
        <f>C19*E20</f>
        <v>59</v>
      </c>
      <c r="K20" s="39">
        <f>J20</f>
        <v>59</v>
      </c>
      <c r="L20" s="39">
        <f>J20</f>
        <v>59</v>
      </c>
    </row>
    <row r="21" spans="2:12" s="38" customFormat="1" ht="18" customHeight="1" x14ac:dyDescent="0.3">
      <c r="B21" s="39" t="s">
        <v>31</v>
      </c>
      <c r="C21" s="39">
        <v>1</v>
      </c>
      <c r="D21" s="39"/>
      <c r="E21" s="39"/>
      <c r="F21" s="39">
        <v>55</v>
      </c>
      <c r="G21" s="39">
        <v>0.77</v>
      </c>
      <c r="H21" s="39">
        <v>0.83</v>
      </c>
      <c r="I21" s="39">
        <v>0.87</v>
      </c>
      <c r="J21" s="39">
        <f>C21*F21*G21</f>
        <v>42.35</v>
      </c>
      <c r="K21" s="39">
        <f>C21*F21*H21</f>
        <v>45.65</v>
      </c>
      <c r="L21" s="39">
        <f>C21*F21*I21</f>
        <v>47.85</v>
      </c>
    </row>
    <row r="22" spans="2:12" s="38" customFormat="1" ht="16.8" customHeight="1" x14ac:dyDescent="0.3">
      <c r="B22" s="41" t="s">
        <v>55</v>
      </c>
      <c r="C22" s="39">
        <v>1</v>
      </c>
      <c r="D22" s="39"/>
      <c r="E22" s="39"/>
      <c r="F22" s="39">
        <v>1310</v>
      </c>
      <c r="G22" s="39">
        <f>G21</f>
        <v>0.77</v>
      </c>
      <c r="H22" s="39">
        <f>H21</f>
        <v>0.83</v>
      </c>
      <c r="I22" s="39">
        <f>I21</f>
        <v>0.87</v>
      </c>
      <c r="J22" s="39">
        <f>C22*F22*G22</f>
        <v>1008.7</v>
      </c>
      <c r="K22" s="39">
        <f>C22*F22*H22</f>
        <v>1087.3</v>
      </c>
      <c r="L22" s="39">
        <f>C22*F22*I22</f>
        <v>1139.7</v>
      </c>
    </row>
    <row r="23" spans="2:12" s="38" customFormat="1" ht="43.2" x14ac:dyDescent="0.3">
      <c r="B23" s="41" t="s">
        <v>57</v>
      </c>
      <c r="C23" s="39">
        <v>1</v>
      </c>
      <c r="D23" s="39"/>
      <c r="E23" s="39"/>
      <c r="F23" s="39">
        <v>130</v>
      </c>
      <c r="G23" s="39">
        <f>G22</f>
        <v>0.77</v>
      </c>
      <c r="H23" s="39">
        <f>H21</f>
        <v>0.83</v>
      </c>
      <c r="I23" s="39">
        <f>I21</f>
        <v>0.87</v>
      </c>
      <c r="J23" s="39">
        <f>C23*F23*G23</f>
        <v>100.10000000000001</v>
      </c>
      <c r="K23" s="39">
        <f>C23*F23*H23</f>
        <v>107.89999999999999</v>
      </c>
      <c r="L23" s="39">
        <f>C23*F23*I23</f>
        <v>113.1</v>
      </c>
    </row>
    <row r="24" spans="2:12" s="38" customFormat="1" ht="28.8" hidden="1" x14ac:dyDescent="0.3">
      <c r="B24" s="41" t="s">
        <v>48</v>
      </c>
      <c r="C24" s="45">
        <v>1</v>
      </c>
      <c r="D24" s="39"/>
      <c r="E24" s="39"/>
      <c r="F24" s="39">
        <v>1050</v>
      </c>
      <c r="G24" s="39">
        <f>G23</f>
        <v>0.77</v>
      </c>
      <c r="H24" s="39">
        <f>H22</f>
        <v>0.83</v>
      </c>
      <c r="I24" s="39">
        <f>I22</f>
        <v>0.87</v>
      </c>
      <c r="J24" s="39">
        <f>C24*F24*G24</f>
        <v>808.5</v>
      </c>
      <c r="K24" s="39">
        <f>C24*F24*H24</f>
        <v>871.5</v>
      </c>
      <c r="L24" s="39">
        <f>C24*F24*I24</f>
        <v>913.5</v>
      </c>
    </row>
    <row r="25" spans="2:12" s="38" customFormat="1" ht="28.8" hidden="1" x14ac:dyDescent="0.3">
      <c r="B25" s="41" t="s">
        <v>49</v>
      </c>
      <c r="C25" s="46"/>
      <c r="D25" s="39"/>
      <c r="E25" s="39">
        <v>450</v>
      </c>
      <c r="F25" s="39"/>
      <c r="G25" s="39"/>
      <c r="H25" s="39"/>
      <c r="I25" s="39"/>
      <c r="J25" s="39">
        <f>C24*E25</f>
        <v>450</v>
      </c>
      <c r="K25" s="39">
        <f>J25</f>
        <v>450</v>
      </c>
      <c r="L25" s="39">
        <f>J25</f>
        <v>450</v>
      </c>
    </row>
    <row r="26" spans="2:12" s="38" customFormat="1" ht="28.8" hidden="1" x14ac:dyDescent="0.3">
      <c r="B26" s="41" t="s">
        <v>50</v>
      </c>
      <c r="C26" s="47">
        <v>1</v>
      </c>
      <c r="D26" s="39"/>
      <c r="E26" s="39"/>
      <c r="F26" s="39">
        <v>767.5</v>
      </c>
      <c r="G26" s="39">
        <f>G24</f>
        <v>0.77</v>
      </c>
      <c r="H26" s="39">
        <f>H24</f>
        <v>0.83</v>
      </c>
      <c r="I26" s="39">
        <f>I24</f>
        <v>0.87</v>
      </c>
      <c r="J26" s="39">
        <f>C26*F26*G26</f>
        <v>590.97500000000002</v>
      </c>
      <c r="K26" s="39">
        <f>C26*F26*H26</f>
        <v>637.02499999999998</v>
      </c>
      <c r="L26" s="39">
        <f>C26*F26*I26</f>
        <v>667.72500000000002</v>
      </c>
    </row>
    <row r="27" spans="2:12" s="38" customFormat="1" ht="28.8" hidden="1" x14ac:dyDescent="0.3">
      <c r="B27" s="41" t="s">
        <v>51</v>
      </c>
      <c r="C27" s="45">
        <v>2</v>
      </c>
      <c r="D27" s="39"/>
      <c r="E27" s="39"/>
      <c r="F27" s="39">
        <v>21</v>
      </c>
      <c r="G27" s="39">
        <f>G26</f>
        <v>0.77</v>
      </c>
      <c r="H27" s="39">
        <f>H26</f>
        <v>0.83</v>
      </c>
      <c r="I27" s="39">
        <f>I26</f>
        <v>0.87</v>
      </c>
      <c r="J27" s="39">
        <f>C27*F27*G27</f>
        <v>32.340000000000003</v>
      </c>
      <c r="K27" s="39">
        <f>C27*F27*H27</f>
        <v>34.86</v>
      </c>
      <c r="L27" s="39">
        <f>C27*F27*I27</f>
        <v>36.54</v>
      </c>
    </row>
    <row r="28" spans="2:12" s="38" customFormat="1" ht="28.8" hidden="1" x14ac:dyDescent="0.3">
      <c r="B28" s="41" t="s">
        <v>52</v>
      </c>
      <c r="C28" s="46"/>
      <c r="D28" s="39"/>
      <c r="E28" s="39">
        <v>14</v>
      </c>
      <c r="F28" s="39"/>
      <c r="G28" s="39"/>
      <c r="H28" s="39"/>
      <c r="I28" s="39"/>
      <c r="J28" s="39">
        <f>C27*E28</f>
        <v>28</v>
      </c>
      <c r="K28" s="39">
        <f>J28</f>
        <v>28</v>
      </c>
      <c r="L28" s="39">
        <f>J28</f>
        <v>28</v>
      </c>
    </row>
    <row r="29" spans="2:12" s="38" customFormat="1" ht="15" customHeight="1" x14ac:dyDescent="0.3">
      <c r="B29" s="42" t="s">
        <v>34</v>
      </c>
      <c r="C29" s="39"/>
      <c r="D29" s="39"/>
      <c r="E29" s="39"/>
      <c r="F29" s="39"/>
      <c r="G29" s="39"/>
      <c r="H29" s="39"/>
      <c r="I29" s="39"/>
      <c r="J29" s="42">
        <f>J18+J19+J21+J22+J23</f>
        <v>1704.2351199999998</v>
      </c>
      <c r="K29" s="42">
        <f>K18+K19+K21+K22+K23</f>
        <v>1823.5842399999999</v>
      </c>
      <c r="L29" s="42">
        <f>L18+L19+L21+L22+L23</f>
        <v>1905.9860799999999</v>
      </c>
    </row>
    <row r="30" spans="2:12" s="38" customFormat="1" x14ac:dyDescent="0.3">
      <c r="B30" s="42" t="s">
        <v>35</v>
      </c>
      <c r="C30" s="39"/>
      <c r="D30" s="39"/>
      <c r="E30" s="39"/>
      <c r="F30" s="39"/>
      <c r="G30" s="39"/>
      <c r="H30" s="39"/>
      <c r="I30" s="39"/>
      <c r="J30" s="42">
        <f>J20</f>
        <v>59</v>
      </c>
      <c r="K30" s="42">
        <f t="shared" ref="K30:L30" si="4">K20</f>
        <v>59</v>
      </c>
      <c r="L30" s="42">
        <f t="shared" si="4"/>
        <v>59</v>
      </c>
    </row>
    <row r="33" spans="2:10" s="38" customFormat="1" ht="57.6" x14ac:dyDescent="0.3">
      <c r="B33" s="39"/>
      <c r="C33" s="35" t="s">
        <v>38</v>
      </c>
      <c r="D33" s="35" t="s">
        <v>37</v>
      </c>
      <c r="E33" s="35" t="s">
        <v>36</v>
      </c>
      <c r="F33" s="35" t="s">
        <v>39</v>
      </c>
      <c r="H33" s="35" t="s">
        <v>78</v>
      </c>
      <c r="I33" s="35" t="s">
        <v>112</v>
      </c>
      <c r="J33" s="35" t="s">
        <v>77</v>
      </c>
    </row>
    <row r="34" spans="2:10" s="38" customFormat="1" x14ac:dyDescent="0.3">
      <c r="B34" s="48">
        <v>0.5</v>
      </c>
      <c r="C34" s="39">
        <f>R9+J13+J29</f>
        <v>7097.7203214799993</v>
      </c>
      <c r="D34" s="39">
        <f>K13+J30</f>
        <v>1151.327904</v>
      </c>
      <c r="E34" s="39">
        <f>C34+D34</f>
        <v>8249.048225479999</v>
      </c>
      <c r="F34" s="39">
        <f>(E34*0.0002843)</f>
        <v>2.345204410503964</v>
      </c>
      <c r="H34" s="39">
        <f>(E35/(100-39))*0.001</f>
        <v>0.13692558951934428</v>
      </c>
      <c r="I34" s="39">
        <f>H34*0.845</f>
        <v>0.11570212314384591</v>
      </c>
      <c r="J34" s="39">
        <f>SQRT((4*H34)/(3.14*6.3*0.845))</f>
        <v>0.18101261903189556</v>
      </c>
    </row>
    <row r="35" spans="2:10" s="38" customFormat="1" x14ac:dyDescent="0.3">
      <c r="B35" s="48">
        <v>0.58333333333333337</v>
      </c>
      <c r="C35" s="39">
        <f>S9+J13+K29</f>
        <v>7201.1330566799998</v>
      </c>
      <c r="D35" s="39">
        <f>D34</f>
        <v>1151.327904</v>
      </c>
      <c r="E35" s="39">
        <f t="shared" ref="E35:E36" si="5">C35+D35</f>
        <v>8352.4609606800004</v>
      </c>
      <c r="F35" s="42">
        <f t="shared" ref="F35:F36" si="6">(E35*0.0002843)</f>
        <v>2.3746046511213241</v>
      </c>
    </row>
    <row r="36" spans="2:10" s="38" customFormat="1" x14ac:dyDescent="0.3">
      <c r="B36" s="48">
        <v>0.66666666666666663</v>
      </c>
      <c r="C36" s="39">
        <f>T9+J13+L29</f>
        <v>6946.4410082800005</v>
      </c>
      <c r="D36" s="39">
        <f>D35</f>
        <v>1151.327904</v>
      </c>
      <c r="E36" s="39">
        <f t="shared" si="5"/>
        <v>8097.7689122800002</v>
      </c>
      <c r="F36" s="39">
        <f t="shared" si="6"/>
        <v>2.3021957017612045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DEA0-0A7E-4E08-AF5A-49038C37BB40}">
  <dimension ref="B2:T36"/>
  <sheetViews>
    <sheetView topLeftCell="A23" zoomScaleNormal="100" workbookViewId="0">
      <selection activeCell="V12" sqref="V12"/>
    </sheetView>
  </sheetViews>
  <sheetFormatPr defaultRowHeight="14.4" x14ac:dyDescent="0.3"/>
  <cols>
    <col min="1" max="1" width="8.88671875" style="38"/>
    <col min="2" max="2" width="13.109375" style="38" customWidth="1"/>
    <col min="3" max="3" width="10" style="38" customWidth="1"/>
    <col min="4" max="4" width="8.88671875" style="38"/>
    <col min="5" max="5" width="8.77734375" style="38" customWidth="1"/>
    <col min="6" max="6" width="8.88671875" style="38"/>
    <col min="7" max="7" width="10.5546875" style="38" customWidth="1"/>
    <col min="8" max="8" width="7.88671875" style="38" customWidth="1"/>
    <col min="9" max="9" width="8.88671875" style="38"/>
    <col min="10" max="10" width="9.6640625" style="38" customWidth="1"/>
    <col min="11" max="16384" width="8.88671875" style="38"/>
  </cols>
  <sheetData>
    <row r="2" spans="2:20" s="38" customFormat="1" ht="49.8" customHeight="1" x14ac:dyDescent="0.3">
      <c r="B2" s="34" t="s">
        <v>0</v>
      </c>
      <c r="C2" s="35" t="s">
        <v>107</v>
      </c>
      <c r="D2" s="35" t="s">
        <v>1</v>
      </c>
      <c r="E2" s="35" t="s">
        <v>2</v>
      </c>
      <c r="F2" s="35" t="s">
        <v>3</v>
      </c>
      <c r="G2" s="35" t="s">
        <v>108</v>
      </c>
      <c r="H2" s="35" t="s">
        <v>4</v>
      </c>
      <c r="I2" s="35" t="s">
        <v>109</v>
      </c>
      <c r="J2" s="35" t="s">
        <v>110</v>
      </c>
      <c r="K2" s="35" t="s">
        <v>5</v>
      </c>
      <c r="L2" s="36" t="s">
        <v>13</v>
      </c>
      <c r="M2" s="36"/>
      <c r="N2" s="36"/>
      <c r="O2" s="36" t="s">
        <v>6</v>
      </c>
      <c r="P2" s="36"/>
      <c r="Q2" s="36"/>
      <c r="R2" s="37" t="s">
        <v>7</v>
      </c>
      <c r="S2" s="36"/>
      <c r="T2" s="36"/>
    </row>
    <row r="3" spans="2:20" s="38" customFormat="1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40">
        <v>0.5</v>
      </c>
      <c r="M3" s="40">
        <v>0.58333333333333337</v>
      </c>
      <c r="N3" s="40">
        <v>0.66666666666666663</v>
      </c>
      <c r="O3" s="40">
        <v>0.5</v>
      </c>
      <c r="P3" s="40">
        <v>0.58333333333333337</v>
      </c>
      <c r="Q3" s="40">
        <v>0.66666666666666663</v>
      </c>
      <c r="R3" s="40">
        <v>0.5</v>
      </c>
      <c r="S3" s="40">
        <v>0.58333333333333337</v>
      </c>
      <c r="T3" s="40">
        <v>0.66666666666666663</v>
      </c>
    </row>
    <row r="4" spans="2:20" s="38" customFormat="1" x14ac:dyDescent="0.3">
      <c r="B4" s="39" t="s">
        <v>8</v>
      </c>
      <c r="C4" s="39">
        <v>1.2090000000000001</v>
      </c>
      <c r="D4" s="39"/>
      <c r="E4" s="39"/>
      <c r="F4" s="39"/>
      <c r="G4" s="39">
        <v>150.4</v>
      </c>
      <c r="H4" s="39">
        <v>2</v>
      </c>
      <c r="I4" s="39">
        <f>G4</f>
        <v>150.4</v>
      </c>
      <c r="J4" s="39"/>
      <c r="K4" s="39"/>
      <c r="L4" s="39">
        <v>40</v>
      </c>
      <c r="M4" s="39">
        <v>44</v>
      </c>
      <c r="N4" s="39">
        <v>39</v>
      </c>
      <c r="O4" s="39">
        <f>((L4+H4)*1+(25.5-22)+(43-29.4))*0.75</f>
        <v>44.325000000000003</v>
      </c>
      <c r="P4" s="39">
        <f>((M4+H4)*1+(25.5-22)+(43-29.4))*0.75</f>
        <v>47.325000000000003</v>
      </c>
      <c r="Q4" s="39">
        <f>((N4+H4)*1+(25.5-22)+(43-29.4))*0.75</f>
        <v>43.575000000000003</v>
      </c>
      <c r="R4" s="39">
        <f>C4*I4*O4</f>
        <v>8059.7743200000014</v>
      </c>
      <c r="S4" s="39">
        <f>C4*I4*P4</f>
        <v>8605.2751200000021</v>
      </c>
      <c r="T4" s="39">
        <f>C4*I4*Q4</f>
        <v>7923.3991200000009</v>
      </c>
    </row>
    <row r="5" spans="2:20" s="38" customFormat="1" ht="28.8" x14ac:dyDescent="0.3">
      <c r="B5" s="41" t="s">
        <v>9</v>
      </c>
      <c r="C5" s="39">
        <v>3.323</v>
      </c>
      <c r="D5" s="39">
        <v>9.75</v>
      </c>
      <c r="E5" s="39"/>
      <c r="F5" s="39">
        <v>4</v>
      </c>
      <c r="G5" s="39">
        <f>D5*F5</f>
        <v>39</v>
      </c>
      <c r="H5" s="39">
        <v>1</v>
      </c>
      <c r="I5" s="39">
        <f>G5-G7</f>
        <v>35.24</v>
      </c>
      <c r="J5" s="39"/>
      <c r="K5" s="39"/>
      <c r="L5" s="39">
        <v>5</v>
      </c>
      <c r="M5" s="39">
        <v>7.22</v>
      </c>
      <c r="N5" s="39">
        <v>9.44</v>
      </c>
      <c r="O5" s="39">
        <f>(L5+H5)*1+(25.5-22)+(43-29.4)</f>
        <v>23.1</v>
      </c>
      <c r="P5" s="39">
        <f>(M5+H5)*1+(25.5-22)+(43-29.4)</f>
        <v>25.32</v>
      </c>
      <c r="Q5" s="39">
        <f>(N5+H5)*1+(25.5-22)+(43-29.4)</f>
        <v>27.54</v>
      </c>
      <c r="R5" s="39">
        <f t="shared" ref="R5:R6" si="0">C5*I5*O5</f>
        <v>2705.0682120000001</v>
      </c>
      <c r="S5" s="39">
        <f t="shared" ref="S5:S6" si="1">C5*I5*P5</f>
        <v>2965.0358064000002</v>
      </c>
      <c r="T5" s="39">
        <f t="shared" ref="T5:T6" si="2">C5*I5*Q5</f>
        <v>3225.0034007999998</v>
      </c>
    </row>
    <row r="6" spans="2:20" s="38" customFormat="1" ht="28.8" hidden="1" x14ac:dyDescent="0.3">
      <c r="B6" s="41" t="s">
        <v>53</v>
      </c>
      <c r="C6" s="39">
        <v>3.323</v>
      </c>
      <c r="D6" s="39"/>
      <c r="E6" s="39">
        <v>6.56</v>
      </c>
      <c r="F6" s="39">
        <v>4</v>
      </c>
      <c r="G6" s="39">
        <f>E6*F6</f>
        <v>26.24</v>
      </c>
      <c r="H6" s="39">
        <v>0</v>
      </c>
      <c r="I6" s="39">
        <f>G6-G7</f>
        <v>22.479999999999997</v>
      </c>
      <c r="J6" s="39"/>
      <c r="K6" s="39"/>
      <c r="L6" s="39">
        <v>20</v>
      </c>
      <c r="M6" s="39">
        <v>20.55</v>
      </c>
      <c r="N6" s="39">
        <v>18.88</v>
      </c>
      <c r="O6" s="39">
        <f>(L6+H6)*1+(25.5-22)+(43-29.4)</f>
        <v>37.1</v>
      </c>
      <c r="P6" s="39">
        <f>(M6+H6)*1+(25.5-22)+(43-29.4)</f>
        <v>37.650000000000006</v>
      </c>
      <c r="Q6" s="39">
        <f>(N6+H6)*1+(25.5-22)+(43-29.4)</f>
        <v>35.980000000000004</v>
      </c>
      <c r="R6" s="39">
        <f t="shared" si="0"/>
        <v>2771.4085839999998</v>
      </c>
      <c r="S6" s="39">
        <f t="shared" si="1"/>
        <v>2812.4941560000002</v>
      </c>
      <c r="T6" s="39">
        <f t="shared" si="2"/>
        <v>2687.7434192000001</v>
      </c>
    </row>
    <row r="7" spans="2:20" s="38" customFormat="1" x14ac:dyDescent="0.3">
      <c r="B7" s="41" t="s">
        <v>58</v>
      </c>
      <c r="C7" s="39">
        <v>2.27</v>
      </c>
      <c r="D7" s="39"/>
      <c r="E7" s="39">
        <v>1.88</v>
      </c>
      <c r="F7" s="39">
        <v>2</v>
      </c>
      <c r="G7" s="39">
        <f>E7*F7</f>
        <v>3.76</v>
      </c>
      <c r="H7" s="39"/>
      <c r="I7" s="39">
        <f>G7</f>
        <v>3.76</v>
      </c>
      <c r="J7" s="39"/>
      <c r="K7" s="39"/>
      <c r="L7" s="39"/>
      <c r="M7" s="39"/>
      <c r="N7" s="39"/>
      <c r="O7" s="39"/>
      <c r="P7" s="39"/>
      <c r="Q7" s="39"/>
      <c r="R7" s="39">
        <f>C7*G7*(43-22)</f>
        <v>179.23919999999998</v>
      </c>
      <c r="S7" s="39">
        <f>R7</f>
        <v>179.23919999999998</v>
      </c>
      <c r="T7" s="39">
        <f>R7</f>
        <v>179.23919999999998</v>
      </c>
    </row>
    <row r="8" spans="2:20" s="38" customFormat="1" ht="28.8" hidden="1" x14ac:dyDescent="0.3">
      <c r="B8" s="41" t="s">
        <v>11</v>
      </c>
      <c r="C8" s="39">
        <v>3.7</v>
      </c>
      <c r="D8" s="39"/>
      <c r="E8" s="39">
        <v>1.5</v>
      </c>
      <c r="F8" s="39">
        <v>1</v>
      </c>
      <c r="G8" s="39">
        <f>E8*F8</f>
        <v>1.5</v>
      </c>
      <c r="H8" s="39"/>
      <c r="I8" s="39">
        <f>G8</f>
        <v>1.5</v>
      </c>
      <c r="J8" s="39">
        <v>138.46799999999999</v>
      </c>
      <c r="K8" s="39">
        <v>0.64</v>
      </c>
      <c r="L8" s="39">
        <v>0.89</v>
      </c>
      <c r="M8" s="39">
        <v>0.86</v>
      </c>
      <c r="N8" s="39">
        <v>0.75</v>
      </c>
      <c r="O8" s="39"/>
      <c r="P8" s="39"/>
      <c r="Q8" s="39"/>
      <c r="R8" s="39">
        <f>I8*K8*J8*L8</f>
        <v>118.30705919999998</v>
      </c>
      <c r="S8" s="39">
        <f>I8*K8*J8*M8</f>
        <v>114.31918079999998</v>
      </c>
      <c r="T8" s="39">
        <f>I8*K8*J8*N8</f>
        <v>99.69695999999999</v>
      </c>
    </row>
    <row r="9" spans="2:20" s="38" customFormat="1" x14ac:dyDescent="0.3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2" t="s">
        <v>14</v>
      </c>
      <c r="R9" s="42">
        <f>R4+R5+R7</f>
        <v>10944.081732000002</v>
      </c>
      <c r="S9" s="42">
        <f t="shared" ref="S9:T9" si="3">S4+S5+S7</f>
        <v>11749.550126400001</v>
      </c>
      <c r="T9" s="42">
        <f t="shared" si="3"/>
        <v>11327.6417208</v>
      </c>
    </row>
    <row r="11" spans="2:20" s="38" customFormat="1" x14ac:dyDescent="0.3">
      <c r="B11" s="43" t="s">
        <v>21</v>
      </c>
      <c r="C11" s="43"/>
      <c r="D11" s="43"/>
      <c r="E11" s="43"/>
      <c r="F11" s="43"/>
      <c r="G11" s="43"/>
      <c r="H11" s="43"/>
      <c r="I11" s="43"/>
      <c r="J11" s="43"/>
      <c r="K11" s="43"/>
    </row>
    <row r="12" spans="2:20" s="38" customFormat="1" ht="43.2" x14ac:dyDescent="0.3">
      <c r="B12" s="35" t="s">
        <v>1</v>
      </c>
      <c r="C12" s="35" t="s">
        <v>2</v>
      </c>
      <c r="D12" s="35" t="s">
        <v>3</v>
      </c>
      <c r="E12" s="35" t="s">
        <v>118</v>
      </c>
      <c r="F12" s="35" t="s">
        <v>15</v>
      </c>
      <c r="G12" s="35" t="s">
        <v>16</v>
      </c>
      <c r="H12" s="35" t="s">
        <v>20</v>
      </c>
      <c r="I12" s="35" t="s">
        <v>17</v>
      </c>
      <c r="J12" s="35" t="s">
        <v>18</v>
      </c>
      <c r="K12" s="35" t="s">
        <v>19</v>
      </c>
    </row>
    <row r="13" spans="2:20" s="38" customFormat="1" x14ac:dyDescent="0.3">
      <c r="B13" s="39"/>
      <c r="C13" s="39"/>
      <c r="D13" s="39">
        <v>4</v>
      </c>
      <c r="E13" s="39">
        <f>I4*D13</f>
        <v>601.6</v>
      </c>
      <c r="F13" s="39">
        <v>1</v>
      </c>
      <c r="G13" s="39">
        <f>((E13*F13*1000)/3600)</f>
        <v>167.11111111111111</v>
      </c>
      <c r="H13" s="39">
        <f>(43-22)</f>
        <v>21</v>
      </c>
      <c r="I13" s="39">
        <f>(0.022-0.0065)</f>
        <v>1.55E-2</v>
      </c>
      <c r="J13" s="39">
        <f>(1.232*G13*H13)</f>
        <v>4323.4986666666664</v>
      </c>
      <c r="K13" s="39">
        <f>(3012*G13*I13)</f>
        <v>7801.7493333333332</v>
      </c>
    </row>
    <row r="16" spans="2:20" s="38" customFormat="1" ht="31.8" customHeight="1" x14ac:dyDescent="0.3">
      <c r="B16" s="34"/>
      <c r="C16" s="34" t="s">
        <v>22</v>
      </c>
      <c r="D16" s="35" t="s">
        <v>23</v>
      </c>
      <c r="E16" s="35" t="s">
        <v>24</v>
      </c>
      <c r="F16" s="35" t="s">
        <v>25</v>
      </c>
      <c r="G16" s="36" t="s">
        <v>26</v>
      </c>
      <c r="H16" s="36"/>
      <c r="I16" s="36"/>
      <c r="J16" s="37" t="s">
        <v>27</v>
      </c>
      <c r="K16" s="36"/>
      <c r="L16" s="36"/>
    </row>
    <row r="17" spans="2:12" s="38" customFormat="1" x14ac:dyDescent="0.3">
      <c r="B17" s="39"/>
      <c r="C17" s="39"/>
      <c r="D17" s="39"/>
      <c r="E17" s="39"/>
      <c r="F17" s="39"/>
      <c r="G17" s="40">
        <v>0.5</v>
      </c>
      <c r="H17" s="40">
        <v>0.58333333333333337</v>
      </c>
      <c r="I17" s="40">
        <v>0.66666666666666663</v>
      </c>
      <c r="J17" s="40">
        <v>0.5</v>
      </c>
      <c r="K17" s="40">
        <v>0.58333333333333337</v>
      </c>
      <c r="L17" s="40">
        <v>0.66666666666666663</v>
      </c>
    </row>
    <row r="18" spans="2:12" s="38" customFormat="1" x14ac:dyDescent="0.3">
      <c r="B18" s="39" t="s">
        <v>28</v>
      </c>
      <c r="C18" s="39"/>
      <c r="D18" s="39">
        <f>(30*G4)</f>
        <v>4512</v>
      </c>
      <c r="E18" s="39"/>
      <c r="F18" s="39"/>
      <c r="G18" s="39">
        <v>0.79</v>
      </c>
      <c r="H18" s="39">
        <v>0.83</v>
      </c>
      <c r="I18" s="39">
        <v>0.86</v>
      </c>
      <c r="J18" s="39">
        <f>D18*G18</f>
        <v>3564.48</v>
      </c>
      <c r="K18" s="39">
        <f>D18*H18</f>
        <v>3744.96</v>
      </c>
      <c r="L18" s="39">
        <f>D18*I18</f>
        <v>3880.32</v>
      </c>
    </row>
    <row r="19" spans="2:12" s="38" customFormat="1" ht="28.8" x14ac:dyDescent="0.3">
      <c r="B19" s="41" t="s">
        <v>29</v>
      </c>
      <c r="C19" s="44">
        <v>10</v>
      </c>
      <c r="D19" s="39"/>
      <c r="E19" s="39"/>
      <c r="F19" s="39">
        <v>73</v>
      </c>
      <c r="G19" s="39">
        <v>0.74</v>
      </c>
      <c r="H19" s="39">
        <v>0.8</v>
      </c>
      <c r="I19" s="39">
        <v>0.85</v>
      </c>
      <c r="J19" s="39">
        <f>C19*F19*G19</f>
        <v>540.20000000000005</v>
      </c>
      <c r="K19" s="39">
        <f>C19*F19*H19</f>
        <v>584</v>
      </c>
      <c r="L19" s="39">
        <f>C19*F19*I19</f>
        <v>620.5</v>
      </c>
    </row>
    <row r="20" spans="2:12" s="38" customFormat="1" ht="28.8" x14ac:dyDescent="0.3">
      <c r="B20" s="41" t="s">
        <v>30</v>
      </c>
      <c r="C20" s="44"/>
      <c r="D20" s="39"/>
      <c r="E20" s="39">
        <v>59</v>
      </c>
      <c r="F20" s="39"/>
      <c r="G20" s="39"/>
      <c r="H20" s="39"/>
      <c r="I20" s="39"/>
      <c r="J20" s="39">
        <f>C19*E20</f>
        <v>590</v>
      </c>
      <c r="K20" s="39">
        <f>J20</f>
        <v>590</v>
      </c>
      <c r="L20" s="39">
        <f>J20</f>
        <v>590</v>
      </c>
    </row>
    <row r="21" spans="2:12" s="38" customFormat="1" ht="18" customHeight="1" x14ac:dyDescent="0.3">
      <c r="B21" s="39" t="s">
        <v>31</v>
      </c>
      <c r="C21" s="39">
        <v>2</v>
      </c>
      <c r="D21" s="39"/>
      <c r="E21" s="39"/>
      <c r="F21" s="39">
        <v>55</v>
      </c>
      <c r="G21" s="39">
        <v>0.77</v>
      </c>
      <c r="H21" s="39">
        <v>0.83</v>
      </c>
      <c r="I21" s="39">
        <v>0.87</v>
      </c>
      <c r="J21" s="39">
        <f>C21*F21*G21</f>
        <v>84.7</v>
      </c>
      <c r="K21" s="39">
        <f>C21*F21*H21</f>
        <v>91.3</v>
      </c>
      <c r="L21" s="39">
        <f>C21*F21*I21</f>
        <v>95.7</v>
      </c>
    </row>
    <row r="22" spans="2:12" s="38" customFormat="1" ht="16.8" customHeight="1" x14ac:dyDescent="0.3">
      <c r="B22" s="41" t="s">
        <v>33</v>
      </c>
      <c r="C22" s="39">
        <v>1</v>
      </c>
      <c r="D22" s="39"/>
      <c r="E22" s="39"/>
      <c r="F22" s="39">
        <v>350</v>
      </c>
      <c r="G22" s="39">
        <f>G21</f>
        <v>0.77</v>
      </c>
      <c r="H22" s="39">
        <f>H21</f>
        <v>0.83</v>
      </c>
      <c r="I22" s="39">
        <f>I21</f>
        <v>0.87</v>
      </c>
      <c r="J22" s="39">
        <f>C22*F22*G22</f>
        <v>269.5</v>
      </c>
      <c r="K22" s="39">
        <f>C22*F22*H22</f>
        <v>290.5</v>
      </c>
      <c r="L22" s="39">
        <f>C22*F22*I22</f>
        <v>304.5</v>
      </c>
    </row>
    <row r="23" spans="2:12" s="38" customFormat="1" ht="43.2" x14ac:dyDescent="0.3">
      <c r="B23" s="41" t="s">
        <v>57</v>
      </c>
      <c r="C23" s="39">
        <v>1</v>
      </c>
      <c r="D23" s="39"/>
      <c r="E23" s="39"/>
      <c r="F23" s="39">
        <v>130</v>
      </c>
      <c r="G23" s="39">
        <f>G22</f>
        <v>0.77</v>
      </c>
      <c r="H23" s="39">
        <f>H21</f>
        <v>0.83</v>
      </c>
      <c r="I23" s="39">
        <f>I21</f>
        <v>0.87</v>
      </c>
      <c r="J23" s="39">
        <f>C23*F23*G23</f>
        <v>100.10000000000001</v>
      </c>
      <c r="K23" s="39">
        <f>C23*F23*H23</f>
        <v>107.89999999999999</v>
      </c>
      <c r="L23" s="39">
        <f>C23*F23*I23</f>
        <v>113.1</v>
      </c>
    </row>
    <row r="24" spans="2:12" s="38" customFormat="1" ht="28.8" hidden="1" x14ac:dyDescent="0.3">
      <c r="B24" s="41" t="s">
        <v>48</v>
      </c>
      <c r="C24" s="45">
        <v>1</v>
      </c>
      <c r="D24" s="39"/>
      <c r="E24" s="39"/>
      <c r="F24" s="39">
        <v>1050</v>
      </c>
      <c r="G24" s="39">
        <f>G23</f>
        <v>0.77</v>
      </c>
      <c r="H24" s="39">
        <f>H22</f>
        <v>0.83</v>
      </c>
      <c r="I24" s="39">
        <f>I22</f>
        <v>0.87</v>
      </c>
      <c r="J24" s="39">
        <f>C24*F24*G24</f>
        <v>808.5</v>
      </c>
      <c r="K24" s="39">
        <f>C24*F24*H24</f>
        <v>871.5</v>
      </c>
      <c r="L24" s="39">
        <f>C24*F24*I24</f>
        <v>913.5</v>
      </c>
    </row>
    <row r="25" spans="2:12" s="38" customFormat="1" ht="28.8" hidden="1" x14ac:dyDescent="0.3">
      <c r="B25" s="41" t="s">
        <v>49</v>
      </c>
      <c r="C25" s="46"/>
      <c r="D25" s="39"/>
      <c r="E25" s="39">
        <v>450</v>
      </c>
      <c r="F25" s="39"/>
      <c r="G25" s="39"/>
      <c r="H25" s="39"/>
      <c r="I25" s="39"/>
      <c r="J25" s="39">
        <f>C24*E25</f>
        <v>450</v>
      </c>
      <c r="K25" s="39">
        <f>J25</f>
        <v>450</v>
      </c>
      <c r="L25" s="39">
        <f>J25</f>
        <v>450</v>
      </c>
    </row>
    <row r="26" spans="2:12" s="38" customFormat="1" ht="28.8" hidden="1" x14ac:dyDescent="0.3">
      <c r="B26" s="41" t="s">
        <v>50</v>
      </c>
      <c r="C26" s="47">
        <v>1</v>
      </c>
      <c r="D26" s="39"/>
      <c r="E26" s="39"/>
      <c r="F26" s="39">
        <v>767.5</v>
      </c>
      <c r="G26" s="39">
        <f>G24</f>
        <v>0.77</v>
      </c>
      <c r="H26" s="39">
        <f>H24</f>
        <v>0.83</v>
      </c>
      <c r="I26" s="39">
        <f>I24</f>
        <v>0.87</v>
      </c>
      <c r="J26" s="39">
        <f>C26*F26*G26</f>
        <v>590.97500000000002</v>
      </c>
      <c r="K26" s="39">
        <f>C26*F26*H26</f>
        <v>637.02499999999998</v>
      </c>
      <c r="L26" s="39">
        <f>C26*F26*I26</f>
        <v>667.72500000000002</v>
      </c>
    </row>
    <row r="27" spans="2:12" s="38" customFormat="1" ht="28.8" hidden="1" x14ac:dyDescent="0.3">
      <c r="B27" s="41" t="s">
        <v>51</v>
      </c>
      <c r="C27" s="45">
        <v>2</v>
      </c>
      <c r="D27" s="39"/>
      <c r="E27" s="39"/>
      <c r="F27" s="39">
        <v>21</v>
      </c>
      <c r="G27" s="39">
        <f>G26</f>
        <v>0.77</v>
      </c>
      <c r="H27" s="39">
        <f>H26</f>
        <v>0.83</v>
      </c>
      <c r="I27" s="39">
        <f>I26</f>
        <v>0.87</v>
      </c>
      <c r="J27" s="39">
        <f>C27*F27*G27</f>
        <v>32.340000000000003</v>
      </c>
      <c r="K27" s="39">
        <f>C27*F27*H27</f>
        <v>34.86</v>
      </c>
      <c r="L27" s="39">
        <f>C27*F27*I27</f>
        <v>36.54</v>
      </c>
    </row>
    <row r="28" spans="2:12" s="38" customFormat="1" ht="28.8" hidden="1" x14ac:dyDescent="0.3">
      <c r="B28" s="41" t="s">
        <v>52</v>
      </c>
      <c r="C28" s="46"/>
      <c r="D28" s="39"/>
      <c r="E28" s="39">
        <v>14</v>
      </c>
      <c r="F28" s="39"/>
      <c r="G28" s="39"/>
      <c r="H28" s="39"/>
      <c r="I28" s="39"/>
      <c r="J28" s="39">
        <f>C27*E28</f>
        <v>28</v>
      </c>
      <c r="K28" s="39">
        <f>J28</f>
        <v>28</v>
      </c>
      <c r="L28" s="39">
        <f>J28</f>
        <v>28</v>
      </c>
    </row>
    <row r="29" spans="2:12" s="38" customFormat="1" ht="15" customHeight="1" x14ac:dyDescent="0.3">
      <c r="B29" s="42" t="s">
        <v>34</v>
      </c>
      <c r="C29" s="39"/>
      <c r="D29" s="39"/>
      <c r="E29" s="39"/>
      <c r="F29" s="39"/>
      <c r="G29" s="39"/>
      <c r="H29" s="39"/>
      <c r="I29" s="39"/>
      <c r="J29" s="42">
        <f>J18+J19+J21+J22+J23</f>
        <v>4558.9800000000005</v>
      </c>
      <c r="K29" s="42">
        <f>K18+K19+K21+K22+K23</f>
        <v>4818.66</v>
      </c>
      <c r="L29" s="42">
        <f>L18+L19+L21+L22+L23</f>
        <v>5014.12</v>
      </c>
    </row>
    <row r="30" spans="2:12" s="38" customFormat="1" x14ac:dyDescent="0.3">
      <c r="B30" s="42" t="s">
        <v>35</v>
      </c>
      <c r="C30" s="39"/>
      <c r="D30" s="39"/>
      <c r="E30" s="39"/>
      <c r="F30" s="39"/>
      <c r="G30" s="39"/>
      <c r="H30" s="39"/>
      <c r="I30" s="39"/>
      <c r="J30" s="42">
        <f>J20</f>
        <v>590</v>
      </c>
      <c r="K30" s="42">
        <f t="shared" ref="K30:L30" si="4">K20</f>
        <v>590</v>
      </c>
      <c r="L30" s="42">
        <f t="shared" si="4"/>
        <v>590</v>
      </c>
    </row>
    <row r="33" spans="2:10" s="38" customFormat="1" ht="57.6" x14ac:dyDescent="0.3">
      <c r="B33" s="39"/>
      <c r="C33" s="35" t="s">
        <v>38</v>
      </c>
      <c r="D33" s="35" t="s">
        <v>37</v>
      </c>
      <c r="E33" s="35" t="s">
        <v>36</v>
      </c>
      <c r="F33" s="35" t="s">
        <v>39</v>
      </c>
      <c r="H33" s="35" t="s">
        <v>78</v>
      </c>
      <c r="I33" s="35" t="s">
        <v>112</v>
      </c>
      <c r="J33" s="35" t="s">
        <v>77</v>
      </c>
    </row>
    <row r="34" spans="2:10" s="38" customFormat="1" x14ac:dyDescent="0.3">
      <c r="B34" s="48">
        <v>0.5</v>
      </c>
      <c r="C34" s="39">
        <f>R9+J13+J29</f>
        <v>19826.560398666668</v>
      </c>
      <c r="D34" s="39">
        <f>K13+J30</f>
        <v>8391.7493333333332</v>
      </c>
      <c r="E34" s="39">
        <f>C34+D34</f>
        <v>28218.309732000002</v>
      </c>
      <c r="F34" s="39">
        <f>(E34*0.0002843)</f>
        <v>8.0224654568076019</v>
      </c>
      <c r="H34" s="39">
        <f>(E35/(100-39))*0.001</f>
        <v>0.48005669059672129</v>
      </c>
      <c r="I34" s="39">
        <f>H34*0.845</f>
        <v>0.40564790355422947</v>
      </c>
      <c r="J34" s="39">
        <f>SQRT((4*H34)/(3.14*6.3*0.845))</f>
        <v>0.33893218067945069</v>
      </c>
    </row>
    <row r="35" spans="2:10" s="38" customFormat="1" x14ac:dyDescent="0.3">
      <c r="B35" s="48">
        <v>0.58333333333333337</v>
      </c>
      <c r="C35" s="39">
        <f>S9+J13+K29</f>
        <v>20891.708793066668</v>
      </c>
      <c r="D35" s="39">
        <f>D34</f>
        <v>8391.7493333333332</v>
      </c>
      <c r="E35" s="42">
        <f t="shared" ref="E35:E36" si="5">C35+D35</f>
        <v>29283.458126400001</v>
      </c>
      <c r="F35" s="42">
        <f t="shared" ref="F35:F36" si="6">(E35*0.0002843)</f>
        <v>8.3252871453355208</v>
      </c>
    </row>
    <row r="36" spans="2:10" s="38" customFormat="1" x14ac:dyDescent="0.3">
      <c r="B36" s="48">
        <v>0.66666666666666663</v>
      </c>
      <c r="C36" s="39">
        <f>T9+J13+L29</f>
        <v>20665.260387466667</v>
      </c>
      <c r="D36" s="39">
        <f>D35</f>
        <v>8391.7493333333332</v>
      </c>
      <c r="E36" s="39">
        <f t="shared" si="5"/>
        <v>29057.009720800001</v>
      </c>
      <c r="F36" s="39">
        <f t="shared" si="6"/>
        <v>8.2609078636234408</v>
      </c>
    </row>
  </sheetData>
  <mergeCells count="9">
    <mergeCell ref="C24:C25"/>
    <mergeCell ref="C27:C28"/>
    <mergeCell ref="L2:N2"/>
    <mergeCell ref="O2:Q2"/>
    <mergeCell ref="R2:T2"/>
    <mergeCell ref="B11:K11"/>
    <mergeCell ref="G16:I16"/>
    <mergeCell ref="J16:L16"/>
    <mergeCell ref="C19:C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95FB438022D4E8E67A01ADE010B6D" ma:contentTypeVersion="10" ma:contentTypeDescription="Create a new document." ma:contentTypeScope="" ma:versionID="9979852db0ed0ce1a0d2a4cca1b5ebd0">
  <xsd:schema xmlns:xsd="http://www.w3.org/2001/XMLSchema" xmlns:xs="http://www.w3.org/2001/XMLSchema" xmlns:p="http://schemas.microsoft.com/office/2006/metadata/properties" xmlns:ns2="dc43b1a1-8ed5-4207-a1f5-1134341eff0d" xmlns:ns3="610e1ba6-9fcb-49c4-93cd-843c8ba7a67c" targetNamespace="http://schemas.microsoft.com/office/2006/metadata/properties" ma:root="true" ma:fieldsID="186523e0f7709dfca9daa13cf76eb67e" ns2:_="" ns3:_="">
    <xsd:import namespace="dc43b1a1-8ed5-4207-a1f5-1134341eff0d"/>
    <xsd:import namespace="610e1ba6-9fcb-49c4-93cd-843c8ba7a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43b1a1-8ed5-4207-a1f5-1134341ef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111843b-6948-4e45-a4d0-217e70d3d4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e1ba6-9fcb-49c4-93cd-843c8ba7a67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86c20d3-1ac9-4858-b19e-24d57bac7f92}" ma:internalName="TaxCatchAll" ma:showField="CatchAllData" ma:web="610e1ba6-9fcb-49c4-93cd-843c8ba7a6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0e1ba6-9fcb-49c4-93cd-843c8ba7a67c" xsi:nil="true"/>
    <lcf76f155ced4ddcb4097134ff3c332f xmlns="dc43b1a1-8ed5-4207-a1f5-1134341eff0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E506A7-4B03-4A0A-9119-AC8285B145EC}"/>
</file>

<file path=customXml/itemProps2.xml><?xml version="1.0" encoding="utf-8"?>
<ds:datastoreItem xmlns:ds="http://schemas.openxmlformats.org/officeDocument/2006/customXml" ds:itemID="{6A33F6C9-B205-4E4B-9C8B-85241471C685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dc43b1a1-8ed5-4207-a1f5-1134341eff0d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10B6A7-B4FE-4266-A61C-F6282A88DD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Conference room</vt:lpstr>
      <vt:lpstr> Admin</vt:lpstr>
      <vt:lpstr>Lunch Area</vt:lpstr>
      <vt:lpstr>Board room</vt:lpstr>
      <vt:lpstr>Washrooms</vt:lpstr>
      <vt:lpstr>Common Working Space</vt:lpstr>
      <vt:lpstr>Cabin 1</vt:lpstr>
      <vt:lpstr>Cabin 2</vt:lpstr>
      <vt:lpstr>Lobby</vt:lpstr>
      <vt:lpstr>Total</vt:lpstr>
      <vt:lpstr>Duct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Jain</dc:creator>
  <cp:lastModifiedBy>Harsh Jain</cp:lastModifiedBy>
  <dcterms:created xsi:type="dcterms:W3CDTF">2015-06-05T18:17:20Z</dcterms:created>
  <dcterms:modified xsi:type="dcterms:W3CDTF">2025-04-09T21:07:32Z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0x0101000F195FB438022D4E8E67A01ADE010B6D</vt:lpwstr>
  </property>
</Properties>
</file>