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prathameshprabhudesai/Desktop/Genereic_Cache_Simulator/Plots/"/>
    </mc:Choice>
  </mc:AlternateContent>
  <bookViews>
    <workbookView xWindow="0" yWindow="0" windowWidth="28800" windowHeight="18000" tabRatio="50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6" i="3" l="1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E105" i="1"/>
  <c r="F105" i="1"/>
  <c r="G104" i="1"/>
  <c r="F104" i="1"/>
  <c r="E104" i="1"/>
  <c r="E95" i="1"/>
  <c r="F95" i="1"/>
  <c r="G95" i="1"/>
  <c r="G96" i="1"/>
  <c r="F96" i="1"/>
  <c r="E96" i="1"/>
  <c r="G97" i="1"/>
  <c r="F97" i="1"/>
  <c r="E97" i="1"/>
  <c r="E98" i="1"/>
  <c r="F98" i="1"/>
  <c r="G98" i="1"/>
  <c r="G94" i="1"/>
  <c r="F94" i="1"/>
  <c r="E94" i="1"/>
  <c r="E93" i="1"/>
  <c r="F93" i="1"/>
  <c r="G93" i="1"/>
  <c r="E92" i="1"/>
  <c r="F92" i="1"/>
  <c r="G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F86" i="1"/>
  <c r="G86" i="1"/>
  <c r="E86" i="1"/>
  <c r="G85" i="1"/>
  <c r="F85" i="1"/>
  <c r="E85" i="1"/>
  <c r="E84" i="1"/>
  <c r="F84" i="1"/>
  <c r="G84" i="1"/>
  <c r="G83" i="1"/>
  <c r="F83" i="1"/>
  <c r="E83" i="1"/>
  <c r="G23" i="3"/>
</calcChain>
</file>

<file path=xl/sharedStrings.xml><?xml version="1.0" encoding="utf-8"?>
<sst xmlns="http://schemas.openxmlformats.org/spreadsheetml/2006/main" count="181" uniqueCount="53">
  <si>
    <t>8 KiB</t>
  </si>
  <si>
    <t>16 KiB</t>
  </si>
  <si>
    <t>32 KiB</t>
  </si>
  <si>
    <t>64 KiB</t>
  </si>
  <si>
    <t>GCC.t</t>
  </si>
  <si>
    <t>MCF.t</t>
  </si>
  <si>
    <t>LBM.t</t>
  </si>
  <si>
    <t>plot 1</t>
  </si>
  <si>
    <t>plot 2</t>
  </si>
  <si>
    <t>plot 3a</t>
  </si>
  <si>
    <t>FIFO</t>
  </si>
  <si>
    <t>LRU</t>
  </si>
  <si>
    <t>plot 3b</t>
  </si>
  <si>
    <t>plot 3c</t>
  </si>
  <si>
    <t>128 KiB</t>
  </si>
  <si>
    <t>256 KiB</t>
  </si>
  <si>
    <t>512 KiB</t>
  </si>
  <si>
    <t>1024 KiB</t>
  </si>
  <si>
    <t>Non-Inclusive</t>
  </si>
  <si>
    <t>Inclusive</t>
  </si>
  <si>
    <t>Exclusive</t>
  </si>
  <si>
    <t>L1=8KiB, L2=128 KiB</t>
  </si>
  <si>
    <t>L1=8KiB, L2=256 KiB</t>
  </si>
  <si>
    <t>L1=8KiB, L2=512 KiB</t>
  </si>
  <si>
    <t>L1=8KiB, L2=1024 KiB</t>
  </si>
  <si>
    <t>L1=16KiB, L2=128 KiB</t>
  </si>
  <si>
    <t>L1=16KiB, L2=256 KiB</t>
  </si>
  <si>
    <t>L1=16KiB, L2=512 KiB</t>
  </si>
  <si>
    <t>L1=16KiB, L2=1024 KiB</t>
  </si>
  <si>
    <t>L1=32KiB, L2=128 KiB</t>
  </si>
  <si>
    <t>L1=32KiB, L2=256 KiB</t>
  </si>
  <si>
    <t>L1=32KiB, L2=512 KiB</t>
  </si>
  <si>
    <t>L1=32KiB, L2=1024 KiB</t>
  </si>
  <si>
    <t>L1=64KiB, L2=128 KiB</t>
  </si>
  <si>
    <t>L1=64KiB, L2=256 KiB</t>
  </si>
  <si>
    <t>L1=64KiB, L2=512 KiB</t>
  </si>
  <si>
    <t>L1=64KiB, L2=1024 KiB</t>
  </si>
  <si>
    <t>plot 4</t>
  </si>
  <si>
    <t>L2 Cache Miss Rates</t>
  </si>
  <si>
    <t>L2 Cache Size</t>
  </si>
  <si>
    <t>Non-Incl</t>
  </si>
  <si>
    <t>Non-Inclu</t>
  </si>
  <si>
    <t>L1 Cache Miss Rates</t>
  </si>
  <si>
    <t>Log2 Cache Size(bytes)</t>
  </si>
  <si>
    <t>Cache Size(bytes)</t>
  </si>
  <si>
    <t xml:space="preserve"> Cache Size(KiB)</t>
  </si>
  <si>
    <t xml:space="preserve"> Block Size(bytes)</t>
  </si>
  <si>
    <t xml:space="preserve"> Associativity</t>
  </si>
  <si>
    <t xml:space="preserve"> Hit Time(ns) {L1 or L2}</t>
  </si>
  <si>
    <t xml:space="preserve"> </t>
  </si>
  <si>
    <t xml:space="preserve"> FA</t>
  </si>
  <si>
    <t>L1 AMAT (ns)</t>
  </si>
  <si>
    <t>L1 Associativity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</si>
</sst>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MU Typewriter Text Variable Wi"/>
    </font>
    <font>
      <b/>
      <sz val="11"/>
      <color rgb="FF000000"/>
      <name val="CMU Typewriter Text Variable Wi"/>
    </font>
    <font>
      <b/>
      <sz val="11"/>
      <color theme="1"/>
      <name val="CMU Typewriter Text Variable Wi"/>
    </font>
    <font>
      <sz val="11"/>
      <color rgb="FF000000"/>
      <name val="CMU Typewriter Text Variable Wi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0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themeOverride" Target="../theme/themeOverrid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Plot</a:t>
            </a:r>
            <a:r>
              <a:rPr lang="en-US" sz="1200" b="1" baseline="0"/>
              <a:t> #3 - MissRate vs Replacement Policy - GCC.t</a:t>
            </a:r>
            <a:endParaRPr lang="en-US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Sheet1!$E$32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Sheet1!$D$33:$D$36</c:f>
              <c:strCache>
                <c:ptCount val="4"/>
                <c:pt idx="0">
                  <c:v>8 KiB</c:v>
                </c:pt>
                <c:pt idx="1">
                  <c:v>16 KiB</c:v>
                </c:pt>
                <c:pt idx="2">
                  <c:v>32 KiB</c:v>
                </c:pt>
                <c:pt idx="3">
                  <c:v>64 KiB</c:v>
                </c:pt>
              </c:strCache>
            </c:strRef>
          </c:cat>
          <c:val>
            <c:numRef>
              <c:f>Sheet1!$E$33:$E$36</c:f>
              <c:numCache>
                <c:formatCode>General</c:formatCode>
                <c:ptCount val="4"/>
                <c:pt idx="0">
                  <c:v>0.0328635</c:v>
                </c:pt>
                <c:pt idx="1">
                  <c:v>0.021876</c:v>
                </c:pt>
                <c:pt idx="2">
                  <c:v>0.0187845</c:v>
                </c:pt>
                <c:pt idx="3">
                  <c:v>0.017017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Sheet1!$F$32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Sheet1!$D$33:$D$36</c:f>
              <c:strCache>
                <c:ptCount val="4"/>
                <c:pt idx="0">
                  <c:v>8 KiB</c:v>
                </c:pt>
                <c:pt idx="1">
                  <c:v>16 KiB</c:v>
                </c:pt>
                <c:pt idx="2">
                  <c:v>32 KiB</c:v>
                </c:pt>
                <c:pt idx="3">
                  <c:v>64 KiB</c:v>
                </c:pt>
              </c:strCache>
            </c:strRef>
          </c:cat>
          <c:val>
            <c:numRef>
              <c:f>Sheet1!$F$33:$F$36</c:f>
              <c:numCache>
                <c:formatCode>General</c:formatCode>
                <c:ptCount val="4"/>
                <c:pt idx="0">
                  <c:v>0.026388</c:v>
                </c:pt>
                <c:pt idx="1">
                  <c:v>0.018553</c:v>
                </c:pt>
                <c:pt idx="2">
                  <c:v>0.0169005</c:v>
                </c:pt>
                <c:pt idx="3">
                  <c:v>0.016156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762672"/>
        <c:axId val="1656798352"/>
      </c:lineChart>
      <c:catAx>
        <c:axId val="165676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Cache Size</a:t>
                </a:r>
              </a:p>
            </c:rich>
          </c:tx>
          <c:layout>
            <c:manualLayout>
              <c:xMode val="edge"/>
              <c:yMode val="edge"/>
              <c:x val="0.451609798775153"/>
              <c:y val="0.775346675415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798352"/>
        <c:crosses val="autoZero"/>
        <c:auto val="1"/>
        <c:lblAlgn val="ctr"/>
        <c:lblOffset val="100"/>
        <c:noMultiLvlLbl val="0"/>
      </c:catAx>
      <c:valAx>
        <c:axId val="16567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L1 Miss Rate</a:t>
                </a:r>
              </a:p>
            </c:rich>
          </c:tx>
          <c:layout>
            <c:manualLayout>
              <c:xMode val="edge"/>
              <c:yMode val="edge"/>
              <c:x val="0.0194444444444444"/>
              <c:y val="0.265396981627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7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Plot #3 - MissRate vs Replacement Policy - MCF.t</a:t>
            </a:r>
            <a:endParaRPr lang="en-US" sz="105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Sheet1!$E$50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Sheet1!$D$51:$D$54</c:f>
              <c:strCache>
                <c:ptCount val="4"/>
                <c:pt idx="0">
                  <c:v>8 KiB</c:v>
                </c:pt>
                <c:pt idx="1">
                  <c:v>16 KiB</c:v>
                </c:pt>
                <c:pt idx="2">
                  <c:v>32 KiB</c:v>
                </c:pt>
                <c:pt idx="3">
                  <c:v>64 KiB</c:v>
                </c:pt>
              </c:strCache>
            </c:strRef>
          </c:cat>
          <c:val>
            <c:numRef>
              <c:f>Sheet1!$E$51:$E$54</c:f>
              <c:numCache>
                <c:formatCode>General</c:formatCode>
                <c:ptCount val="4"/>
                <c:pt idx="0">
                  <c:v>0.280598</c:v>
                </c:pt>
                <c:pt idx="1">
                  <c:v>0.273329</c:v>
                </c:pt>
                <c:pt idx="2">
                  <c:v>0.265338</c:v>
                </c:pt>
                <c:pt idx="3">
                  <c:v>0.250573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Sheet1!$F$50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Sheet1!$D$51:$D$54</c:f>
              <c:strCache>
                <c:ptCount val="4"/>
                <c:pt idx="0">
                  <c:v>8 KiB</c:v>
                </c:pt>
                <c:pt idx="1">
                  <c:v>16 KiB</c:v>
                </c:pt>
                <c:pt idx="2">
                  <c:v>32 KiB</c:v>
                </c:pt>
                <c:pt idx="3">
                  <c:v>64 KiB</c:v>
                </c:pt>
              </c:strCache>
            </c:strRef>
          </c:cat>
          <c:val>
            <c:numRef>
              <c:f>Sheet1!$F$51:$F$54</c:f>
              <c:numCache>
                <c:formatCode>General</c:formatCode>
                <c:ptCount val="4"/>
                <c:pt idx="0">
                  <c:v>0.279413</c:v>
                </c:pt>
                <c:pt idx="1">
                  <c:v>0.272435</c:v>
                </c:pt>
                <c:pt idx="2">
                  <c:v>0.264445</c:v>
                </c:pt>
                <c:pt idx="3">
                  <c:v>0.247528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347296"/>
        <c:axId val="1657628272"/>
      </c:lineChart>
      <c:catAx>
        <c:axId val="166034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Cache</a:t>
                </a:r>
                <a:r>
                  <a:rPr lang="en-US" sz="1200" b="1" baseline="0"/>
                  <a:t> Size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51609798775153"/>
              <c:y val="0.775346675415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628272"/>
        <c:crosses val="autoZero"/>
        <c:auto val="1"/>
        <c:lblAlgn val="ctr"/>
        <c:lblOffset val="100"/>
        <c:noMultiLvlLbl val="0"/>
      </c:catAx>
      <c:valAx>
        <c:axId val="1657628272"/>
        <c:scaling>
          <c:orientation val="minMax"/>
          <c:max val="0.285"/>
          <c:min val="0.2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L1 Miss Rate</a:t>
                </a:r>
              </a:p>
            </c:rich>
          </c:tx>
          <c:layout>
            <c:manualLayout>
              <c:xMode val="edge"/>
              <c:yMode val="edge"/>
              <c:x val="0.0194444444444444"/>
              <c:y val="0.265396981627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Plot #3 - MissRate vs Replacement Policy - LBM.t</a:t>
            </a:r>
            <a:endParaRPr lang="en-US" sz="105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Sheet1!$E$63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Sheet1!$D$64:$D$67</c:f>
              <c:strCache>
                <c:ptCount val="4"/>
                <c:pt idx="0">
                  <c:v>8 KiB</c:v>
                </c:pt>
                <c:pt idx="1">
                  <c:v>16 KiB</c:v>
                </c:pt>
                <c:pt idx="2">
                  <c:v>32 KiB</c:v>
                </c:pt>
                <c:pt idx="3">
                  <c:v>64 KiB</c:v>
                </c:pt>
              </c:strCache>
            </c:strRef>
          </c:cat>
          <c:val>
            <c:numRef>
              <c:f>Sheet1!$E$64:$E$67</c:f>
              <c:numCache>
                <c:formatCode>General</c:formatCode>
                <c:ptCount val="4"/>
                <c:pt idx="0">
                  <c:v>0.110667</c:v>
                </c:pt>
                <c:pt idx="1">
                  <c:v>0.109162</c:v>
                </c:pt>
                <c:pt idx="2">
                  <c:v>0.108364</c:v>
                </c:pt>
                <c:pt idx="3">
                  <c:v>0.101733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Sheet1!$F$63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Sheet1!$D$64:$D$67</c:f>
              <c:strCache>
                <c:ptCount val="4"/>
                <c:pt idx="0">
                  <c:v>8 KiB</c:v>
                </c:pt>
                <c:pt idx="1">
                  <c:v>16 KiB</c:v>
                </c:pt>
                <c:pt idx="2">
                  <c:v>32 KiB</c:v>
                </c:pt>
                <c:pt idx="3">
                  <c:v>64 KiB</c:v>
                </c:pt>
              </c:strCache>
            </c:strRef>
          </c:cat>
          <c:val>
            <c:numRef>
              <c:f>Sheet1!$F$64:$F$67</c:f>
              <c:numCache>
                <c:formatCode>General</c:formatCode>
                <c:ptCount val="4"/>
                <c:pt idx="0">
                  <c:v>0.107725</c:v>
                </c:pt>
                <c:pt idx="1">
                  <c:v>0.107721</c:v>
                </c:pt>
                <c:pt idx="2">
                  <c:v>0.107721</c:v>
                </c:pt>
                <c:pt idx="3">
                  <c:v>0.101465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382400"/>
        <c:axId val="1659977600"/>
      </c:lineChart>
      <c:catAx>
        <c:axId val="165738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Cache Size</a:t>
                </a:r>
              </a:p>
            </c:rich>
          </c:tx>
          <c:layout>
            <c:manualLayout>
              <c:xMode val="edge"/>
              <c:yMode val="edge"/>
              <c:x val="0.451609798775153"/>
              <c:y val="0.775346675415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977600"/>
        <c:crosses val="autoZero"/>
        <c:auto val="1"/>
        <c:lblAlgn val="ctr"/>
        <c:lblOffset val="100"/>
        <c:noMultiLvlLbl val="0"/>
      </c:catAx>
      <c:valAx>
        <c:axId val="1659977600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L1 Miss Rate</a:t>
                </a:r>
              </a:p>
            </c:rich>
          </c:tx>
          <c:layout>
            <c:manualLayout>
              <c:xMode val="edge"/>
              <c:yMode val="edge"/>
              <c:x val="0.0194444444444444"/>
              <c:y val="0.265396981627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8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Plot</a:t>
            </a:r>
            <a:r>
              <a:rPr lang="en-US" b="1" baseline="0"/>
              <a:t> #1: L1 MissRate vs Cache Size</a:t>
            </a:r>
            <a:endParaRPr lang="en-US" b="1"/>
          </a:p>
        </c:rich>
      </c:tx>
      <c:layout>
        <c:manualLayout>
          <c:xMode val="edge"/>
          <c:yMode val="edge"/>
          <c:x val="0.219729002624672"/>
          <c:y val="0.037037037037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GCC.t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Sheet1!$C$5:$C$8</c:f>
              <c:strCache>
                <c:ptCount val="4"/>
                <c:pt idx="0">
                  <c:v>8 KiB</c:v>
                </c:pt>
                <c:pt idx="1">
                  <c:v>16 KiB</c:v>
                </c:pt>
                <c:pt idx="2">
                  <c:v>32 KiB</c:v>
                </c:pt>
                <c:pt idx="3">
                  <c:v>64 KiB</c:v>
                </c:pt>
              </c:strCache>
            </c:strRef>
          </c:cat>
          <c:val>
            <c:numRef>
              <c:f>Sheet1!$D$5:$D$8</c:f>
              <c:numCache>
                <c:formatCode>General</c:formatCode>
                <c:ptCount val="4"/>
                <c:pt idx="0">
                  <c:v>0.026388</c:v>
                </c:pt>
                <c:pt idx="1">
                  <c:v>0.018553</c:v>
                </c:pt>
                <c:pt idx="2">
                  <c:v>0.0169005</c:v>
                </c:pt>
                <c:pt idx="3">
                  <c:v>0.016156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MCF.t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Sheet1!$C$5:$C$8</c:f>
              <c:strCache>
                <c:ptCount val="4"/>
                <c:pt idx="0">
                  <c:v>8 KiB</c:v>
                </c:pt>
                <c:pt idx="1">
                  <c:v>16 KiB</c:v>
                </c:pt>
                <c:pt idx="2">
                  <c:v>32 KiB</c:v>
                </c:pt>
                <c:pt idx="3">
                  <c:v>64 KiB</c:v>
                </c:pt>
              </c:strCache>
            </c:strRef>
          </c:cat>
          <c:val>
            <c:numRef>
              <c:f>Sheet1!$E$5:$E$8</c:f>
              <c:numCache>
                <c:formatCode>General</c:formatCode>
                <c:ptCount val="4"/>
                <c:pt idx="0">
                  <c:v>0.279413</c:v>
                </c:pt>
                <c:pt idx="1">
                  <c:v>0.272435</c:v>
                </c:pt>
                <c:pt idx="2">
                  <c:v>0.264445</c:v>
                </c:pt>
                <c:pt idx="3">
                  <c:v>0.247528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LBM.t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Sheet1!$C$5:$C$8</c:f>
              <c:strCache>
                <c:ptCount val="4"/>
                <c:pt idx="0">
                  <c:v>8 KiB</c:v>
                </c:pt>
                <c:pt idx="1">
                  <c:v>16 KiB</c:v>
                </c:pt>
                <c:pt idx="2">
                  <c:v>32 KiB</c:v>
                </c:pt>
                <c:pt idx="3">
                  <c:v>64 KiB</c:v>
                </c:pt>
              </c:strCache>
            </c:strRef>
          </c:cat>
          <c:val>
            <c:numRef>
              <c:f>Sheet1!$F$5:$F$8</c:f>
              <c:numCache>
                <c:formatCode>General</c:formatCode>
                <c:ptCount val="4"/>
                <c:pt idx="0">
                  <c:v>0.107725</c:v>
                </c:pt>
                <c:pt idx="1">
                  <c:v>0.107721</c:v>
                </c:pt>
                <c:pt idx="2">
                  <c:v>0.107721</c:v>
                </c:pt>
                <c:pt idx="3">
                  <c:v>0.101456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661264"/>
        <c:axId val="1657708432"/>
      </c:lineChart>
      <c:catAx>
        <c:axId val="165266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</a:t>
                </a:r>
                <a:r>
                  <a:rPr lang="en-US" sz="1200" b="1" baseline="0"/>
                  <a:t>1 Cache Size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51609798775153"/>
              <c:y val="0.775346675415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708432"/>
        <c:crosses val="autoZero"/>
        <c:auto val="1"/>
        <c:lblAlgn val="ctr"/>
        <c:lblOffset val="100"/>
        <c:noMultiLvlLbl val="0"/>
      </c:catAx>
      <c:valAx>
        <c:axId val="16577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L1 MissRate</a:t>
                </a:r>
              </a:p>
            </c:rich>
          </c:tx>
          <c:layout>
            <c:manualLayout>
              <c:xMode val="edge"/>
              <c:yMode val="edge"/>
              <c:x val="0.0194444444444444"/>
              <c:y val="0.265396981627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66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Plot #2: L1 MissRate vs L1 Associativity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Sheet1!$D$13</c:f>
              <c:strCache>
                <c:ptCount val="1"/>
                <c:pt idx="0">
                  <c:v>GCC.t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Sheet1!$C$14:$C$17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Sheet1!$D$14:$D$17</c:f>
              <c:numCache>
                <c:formatCode>General</c:formatCode>
                <c:ptCount val="4"/>
                <c:pt idx="0">
                  <c:v>0.0269015</c:v>
                </c:pt>
                <c:pt idx="1">
                  <c:v>0.01819</c:v>
                </c:pt>
                <c:pt idx="2">
                  <c:v>0.0169005</c:v>
                </c:pt>
                <c:pt idx="3">
                  <c:v>0.0164355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Sheet1!$E$13</c:f>
              <c:strCache>
                <c:ptCount val="1"/>
                <c:pt idx="0">
                  <c:v>MCF.t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Sheet1!$C$14:$C$17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Sheet1!$E$14:$E$17</c:f>
              <c:numCache>
                <c:formatCode>General</c:formatCode>
                <c:ptCount val="4"/>
                <c:pt idx="0">
                  <c:v>0.279413</c:v>
                </c:pt>
                <c:pt idx="1">
                  <c:v>0.272435</c:v>
                </c:pt>
                <c:pt idx="2">
                  <c:v>0.264445</c:v>
                </c:pt>
                <c:pt idx="3">
                  <c:v>0.264424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Sheet1!$F$13</c:f>
              <c:strCache>
                <c:ptCount val="1"/>
                <c:pt idx="0">
                  <c:v>LBM.t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Sheet1!$C$14:$C$17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Sheet1!$F$14:$F$17</c:f>
              <c:numCache>
                <c:formatCode>General</c:formatCode>
                <c:ptCount val="4"/>
                <c:pt idx="0">
                  <c:v>0.121798</c:v>
                </c:pt>
                <c:pt idx="1">
                  <c:v>0.105314</c:v>
                </c:pt>
                <c:pt idx="2">
                  <c:v>0.107721</c:v>
                </c:pt>
                <c:pt idx="3">
                  <c:v>0.107721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004448"/>
        <c:axId val="1635031504"/>
      </c:lineChart>
      <c:catAx>
        <c:axId val="163500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L1 Associativity</a:t>
                </a:r>
              </a:p>
            </c:rich>
          </c:tx>
          <c:layout>
            <c:manualLayout>
              <c:xMode val="edge"/>
              <c:yMode val="edge"/>
              <c:x val="0.451609798775153"/>
              <c:y val="0.775346675415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031504"/>
        <c:crosses val="autoZero"/>
        <c:auto val="1"/>
        <c:lblAlgn val="ctr"/>
        <c:lblOffset val="100"/>
        <c:noMultiLvlLbl val="0"/>
      </c:catAx>
      <c:valAx>
        <c:axId val="16350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L1 MissRate</a:t>
                </a:r>
              </a:p>
            </c:rich>
          </c:tx>
          <c:layout>
            <c:manualLayout>
              <c:xMode val="edge"/>
              <c:yMode val="edge"/>
              <c:x val="0.0194444444444444"/>
              <c:y val="0.265396981627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00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Plot #4: L2 MissRate vs Cache Size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Sheet1!$E$226</c:f>
              <c:strCache>
                <c:ptCount val="1"/>
                <c:pt idx="0">
                  <c:v>GCC.t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Sheet1!$D$227:$D$230</c:f>
              <c:strCache>
                <c:ptCount val="4"/>
                <c:pt idx="0">
                  <c:v>128 KiB</c:v>
                </c:pt>
                <c:pt idx="1">
                  <c:v>256 KiB</c:v>
                </c:pt>
                <c:pt idx="2">
                  <c:v>512 KiB</c:v>
                </c:pt>
                <c:pt idx="3">
                  <c:v>1024 KiB</c:v>
                </c:pt>
              </c:strCache>
            </c:strRef>
          </c:cat>
          <c:val>
            <c:numRef>
              <c:f>Sheet1!$E$227:$E$230</c:f>
              <c:numCache>
                <c:formatCode>General</c:formatCode>
                <c:ptCount val="4"/>
                <c:pt idx="0">
                  <c:v>0.459704</c:v>
                </c:pt>
                <c:pt idx="1">
                  <c:v>0.456172</c:v>
                </c:pt>
                <c:pt idx="2">
                  <c:v>0.455574</c:v>
                </c:pt>
                <c:pt idx="3">
                  <c:v>0.45546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Sheet1!$F$226</c:f>
              <c:strCache>
                <c:ptCount val="1"/>
                <c:pt idx="0">
                  <c:v>MCF.t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Sheet1!$D$227:$D$230</c:f>
              <c:strCache>
                <c:ptCount val="4"/>
                <c:pt idx="0">
                  <c:v>128 KiB</c:v>
                </c:pt>
                <c:pt idx="1">
                  <c:v>256 KiB</c:v>
                </c:pt>
                <c:pt idx="2">
                  <c:v>512 KiB</c:v>
                </c:pt>
                <c:pt idx="3">
                  <c:v>1024 KiB</c:v>
                </c:pt>
              </c:strCache>
            </c:strRef>
          </c:cat>
          <c:val>
            <c:numRef>
              <c:f>Sheet1!$F$227:$F$230</c:f>
              <c:numCache>
                <c:formatCode>General</c:formatCode>
                <c:ptCount val="4"/>
                <c:pt idx="0">
                  <c:v>0.59623</c:v>
                </c:pt>
                <c:pt idx="1">
                  <c:v>0.561573</c:v>
                </c:pt>
                <c:pt idx="2">
                  <c:v>0.533018</c:v>
                </c:pt>
                <c:pt idx="3">
                  <c:v>0.509986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Sheet1!$G$226</c:f>
              <c:strCache>
                <c:ptCount val="1"/>
                <c:pt idx="0">
                  <c:v>LBM.t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Sheet1!$D$227:$D$230</c:f>
              <c:strCache>
                <c:ptCount val="4"/>
                <c:pt idx="0">
                  <c:v>128 KiB</c:v>
                </c:pt>
                <c:pt idx="1">
                  <c:v>256 KiB</c:v>
                </c:pt>
                <c:pt idx="2">
                  <c:v>512 KiB</c:v>
                </c:pt>
                <c:pt idx="3">
                  <c:v>1024 KiB</c:v>
                </c:pt>
              </c:strCache>
            </c:strRef>
          </c:cat>
          <c:val>
            <c:numRef>
              <c:f>Sheet1!$G$227:$G$230</c:f>
              <c:numCache>
                <c:formatCode>General</c:formatCode>
                <c:ptCount val="4"/>
                <c:pt idx="0">
                  <c:v>0.391004</c:v>
                </c:pt>
                <c:pt idx="1">
                  <c:v>0.359462</c:v>
                </c:pt>
                <c:pt idx="2">
                  <c:v>0.35941</c:v>
                </c:pt>
                <c:pt idx="3">
                  <c:v>0.35941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014832"/>
        <c:axId val="1660013456"/>
      </c:lineChart>
      <c:catAx>
        <c:axId val="166001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L2 Cache Size</a:t>
                </a:r>
              </a:p>
            </c:rich>
          </c:tx>
          <c:layout>
            <c:manualLayout>
              <c:xMode val="edge"/>
              <c:yMode val="edge"/>
              <c:x val="0.451609798775153"/>
              <c:y val="0.775346675415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013456"/>
        <c:crosses val="autoZero"/>
        <c:auto val="1"/>
        <c:lblAlgn val="ctr"/>
        <c:lblOffset val="100"/>
        <c:noMultiLvlLbl val="0"/>
      </c:catAx>
      <c:valAx>
        <c:axId val="1660013456"/>
        <c:scaling>
          <c:orientation val="minMax"/>
          <c:max val="0.61"/>
          <c:min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L2 MissRate</a:t>
                </a:r>
              </a:p>
            </c:rich>
          </c:tx>
          <c:layout>
            <c:manualLayout>
              <c:xMode val="edge"/>
              <c:yMode val="edge"/>
              <c:x val="0.0194444444444444"/>
              <c:y val="0.265396981627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01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Plot #5: L2 MissRate vs Associativity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Sheet1!$E$251</c:f>
              <c:strCache>
                <c:ptCount val="1"/>
                <c:pt idx="0">
                  <c:v>GCC.t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Sheet1!$D$252:$D$255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Sheet1!$E$252:$E$255</c:f>
              <c:numCache>
                <c:formatCode>General</c:formatCode>
                <c:ptCount val="4"/>
                <c:pt idx="0">
                  <c:v>0.513062</c:v>
                </c:pt>
                <c:pt idx="1">
                  <c:v>0.469661</c:v>
                </c:pt>
                <c:pt idx="2">
                  <c:v>0.460858</c:v>
                </c:pt>
                <c:pt idx="3">
                  <c:v>0.459704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Sheet1!$F$251</c:f>
              <c:strCache>
                <c:ptCount val="1"/>
                <c:pt idx="0">
                  <c:v>MCF.t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Sheet1!$D$252:$D$255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Sheet1!$F$252:$F$255</c:f>
              <c:numCache>
                <c:formatCode>General</c:formatCode>
                <c:ptCount val="4"/>
                <c:pt idx="0">
                  <c:v>0.661931</c:v>
                </c:pt>
                <c:pt idx="1">
                  <c:v>0.621907</c:v>
                </c:pt>
                <c:pt idx="2">
                  <c:v>0.603782</c:v>
                </c:pt>
                <c:pt idx="3">
                  <c:v>0.59623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Sheet1!$G$251</c:f>
              <c:strCache>
                <c:ptCount val="1"/>
                <c:pt idx="0">
                  <c:v>LBM.t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Sheet1!$D$252:$D$255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Sheet1!$G$252:$G$255</c:f>
              <c:numCache>
                <c:formatCode>General</c:formatCode>
                <c:ptCount val="4"/>
                <c:pt idx="0">
                  <c:v>0.502475</c:v>
                </c:pt>
                <c:pt idx="1">
                  <c:v>0.432523</c:v>
                </c:pt>
                <c:pt idx="2">
                  <c:v>0.393176</c:v>
                </c:pt>
                <c:pt idx="3">
                  <c:v>0.391004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3558432"/>
        <c:axId val="1658380736"/>
      </c:lineChart>
      <c:catAx>
        <c:axId val="171355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L2 Associativity</a:t>
                </a:r>
              </a:p>
            </c:rich>
          </c:tx>
          <c:layout>
            <c:manualLayout>
              <c:xMode val="edge"/>
              <c:yMode val="edge"/>
              <c:x val="0.451609798775153"/>
              <c:y val="0.775346675415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380736"/>
        <c:crosses val="autoZero"/>
        <c:auto val="1"/>
        <c:lblAlgn val="ctr"/>
        <c:lblOffset val="100"/>
        <c:noMultiLvlLbl val="0"/>
      </c:catAx>
      <c:valAx>
        <c:axId val="1658380736"/>
        <c:scaling>
          <c:orientation val="minMax"/>
          <c:max val="0.7"/>
          <c:min val="0.3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L2 MissRate</a:t>
                </a:r>
              </a:p>
            </c:rich>
          </c:tx>
          <c:layout>
            <c:manualLayout>
              <c:xMode val="edge"/>
              <c:yMode val="edge"/>
              <c:x val="0.0194444444444444"/>
              <c:y val="0.265396981627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55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Plot</a:t>
            </a:r>
            <a:r>
              <a:rPr lang="en-US" sz="1400" b="1" baseline="0"/>
              <a:t> #2a - AMAT vs L1 Cache Size</a:t>
            </a:r>
            <a:endParaRPr lang="en-US" sz="1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Sheet3!$B$11</c:f>
              <c:strCache>
                <c:ptCount val="1"/>
                <c:pt idx="0">
                  <c:v>GCC.t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Sheet3!$A$12:$A$15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Sheet3!$B$12:$B$15</c:f>
              <c:numCache>
                <c:formatCode>General</c:formatCode>
                <c:ptCount val="4"/>
                <c:pt idx="0">
                  <c:v>1.0134965</c:v>
                </c:pt>
                <c:pt idx="1">
                  <c:v>0.789956</c:v>
                </c:pt>
                <c:pt idx="2">
                  <c:v>0.7613645</c:v>
                </c:pt>
                <c:pt idx="3">
                  <c:v>0.7651405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Sheet3!$C$11</c:f>
              <c:strCache>
                <c:ptCount val="1"/>
                <c:pt idx="0">
                  <c:v>MCF.t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Sheet3!$A$12:$A$15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Sheet3!$C$12:$C$15</c:f>
              <c:numCache>
                <c:formatCode>General</c:formatCode>
                <c:ptCount val="4"/>
                <c:pt idx="0">
                  <c:v>8.33633</c:v>
                </c:pt>
                <c:pt idx="1">
                  <c:v>8.163061000000001</c:v>
                </c:pt>
                <c:pt idx="2">
                  <c:v>7.940155</c:v>
                </c:pt>
                <c:pt idx="3">
                  <c:v>7.956807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Sheet3!$D$11</c:f>
              <c:strCache>
                <c:ptCount val="1"/>
                <c:pt idx="0">
                  <c:v>LBM.t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Sheet3!$A$12:$A$15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Sheet3!$D$12:$D$15</c:f>
              <c:numCache>
                <c:formatCode>General</c:formatCode>
                <c:ptCount val="4"/>
                <c:pt idx="0">
                  <c:v>3.765495</c:v>
                </c:pt>
                <c:pt idx="1">
                  <c:v>3.316552</c:v>
                </c:pt>
                <c:pt idx="2">
                  <c:v>3.395159</c:v>
                </c:pt>
                <c:pt idx="3">
                  <c:v>3.41242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215264"/>
        <c:axId val="1659499056"/>
      </c:lineChart>
      <c:catAx>
        <c:axId val="154221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L1 Associativity</a:t>
                </a:r>
              </a:p>
            </c:rich>
          </c:tx>
          <c:layout>
            <c:manualLayout>
              <c:xMode val="edge"/>
              <c:yMode val="edge"/>
              <c:x val="0.451609798775153"/>
              <c:y val="0.7753466754155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499056"/>
        <c:crosses val="autoZero"/>
        <c:auto val="1"/>
        <c:lblAlgn val="ctr"/>
        <c:lblOffset val="100"/>
        <c:noMultiLvlLbl val="0"/>
      </c:catAx>
      <c:valAx>
        <c:axId val="1659499056"/>
        <c:scaling>
          <c:orientation val="minMax"/>
          <c:max val="9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AMAT (ns)</a:t>
                </a:r>
              </a:p>
            </c:rich>
          </c:tx>
          <c:layout>
            <c:manualLayout>
              <c:xMode val="edge"/>
              <c:yMode val="edge"/>
              <c:x val="0.0194444444444444"/>
              <c:y val="0.265396981627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21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28</xdr:row>
      <xdr:rowOff>184150</xdr:rowOff>
    </xdr:from>
    <xdr:to>
      <xdr:col>13</xdr:col>
      <xdr:colOff>209550</xdr:colOff>
      <xdr:row>41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44</xdr:row>
      <xdr:rowOff>120650</xdr:rowOff>
    </xdr:from>
    <xdr:to>
      <xdr:col>13</xdr:col>
      <xdr:colOff>133350</xdr:colOff>
      <xdr:row>57</xdr:row>
      <xdr:rowOff>31750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60</xdr:row>
      <xdr:rowOff>146050</xdr:rowOff>
    </xdr:from>
    <xdr:to>
      <xdr:col>12</xdr:col>
      <xdr:colOff>806450</xdr:colOff>
      <xdr:row>73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719666</xdr:colOff>
      <xdr:row>0</xdr:row>
      <xdr:rowOff>194734</xdr:rowOff>
    </xdr:from>
    <xdr:to>
      <xdr:col>13</xdr:col>
      <xdr:colOff>338666</xdr:colOff>
      <xdr:row>12</xdr:row>
      <xdr:rowOff>143934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783166</xdr:colOff>
      <xdr:row>13</xdr:row>
      <xdr:rowOff>46568</xdr:rowOff>
    </xdr:from>
    <xdr:to>
      <xdr:col>13</xdr:col>
      <xdr:colOff>402166</xdr:colOff>
      <xdr:row>26</xdr:row>
      <xdr:rowOff>175684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216958</xdr:colOff>
      <xdr:row>230</xdr:row>
      <xdr:rowOff>120650</xdr:rowOff>
    </xdr:from>
    <xdr:to>
      <xdr:col>12</xdr:col>
      <xdr:colOff>661458</xdr:colOff>
      <xdr:row>244</xdr:row>
      <xdr:rowOff>48683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470958</xdr:colOff>
      <xdr:row>245</xdr:row>
      <xdr:rowOff>194734</xdr:rowOff>
    </xdr:from>
    <xdr:to>
      <xdr:col>13</xdr:col>
      <xdr:colOff>89958</xdr:colOff>
      <xdr:row>259</xdr:row>
      <xdr:rowOff>48684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755650</xdr:colOff>
      <xdr:row>22</xdr:row>
      <xdr:rowOff>38100</xdr:rowOff>
    </xdr:from>
    <xdr:to>
      <xdr:col>6</xdr:col>
      <xdr:colOff>374650</xdr:colOff>
      <xdr:row>35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A255"/>
  <sheetViews>
    <sheetView topLeftCell="A112" zoomScale="120" zoomScaleNormal="120" zoomScalePageLayoutView="120" workbookViewId="0">
      <selection activeCell="E125" sqref="E125:G141"/>
    </sheetView>
  </sheetViews>
  <sheetFormatPr baseColWidth="10" defaultRowHeight="16" x14ac:dyDescent="0.2"/>
  <cols>
    <col min="3" max="3" width="6.1640625" bestFit="1" customWidth="1"/>
    <col min="4" max="4" width="19.5" bestFit="1" customWidth="1"/>
    <col min="5" max="5" width="13.1640625" style="1" bestFit="1" customWidth="1"/>
    <col min="6" max="7" width="10.83203125" style="1"/>
  </cols>
  <sheetData>
    <row r="3" spans="3:6" ht="31" x14ac:dyDescent="0.35">
      <c r="D3" s="3" t="s">
        <v>7</v>
      </c>
    </row>
    <row r="4" spans="3:6" x14ac:dyDescent="0.2">
      <c r="C4" s="1"/>
      <c r="D4" s="1" t="s">
        <v>4</v>
      </c>
      <c r="E4" s="1" t="s">
        <v>5</v>
      </c>
      <c r="F4" s="1" t="s">
        <v>6</v>
      </c>
    </row>
    <row r="5" spans="3:6" x14ac:dyDescent="0.2">
      <c r="C5" s="1" t="s">
        <v>0</v>
      </c>
      <c r="D5" s="1">
        <v>2.6388000000000002E-2</v>
      </c>
      <c r="E5" s="1">
        <v>0.27941300000000002</v>
      </c>
      <c r="F5" s="1">
        <v>0.107725</v>
      </c>
    </row>
    <row r="6" spans="3:6" x14ac:dyDescent="0.2">
      <c r="C6" s="1" t="s">
        <v>1</v>
      </c>
      <c r="D6" s="1">
        <v>1.8553E-2</v>
      </c>
      <c r="E6" s="1">
        <v>0.27243499999999998</v>
      </c>
      <c r="F6" s="1">
        <v>0.107721</v>
      </c>
    </row>
    <row r="7" spans="3:6" x14ac:dyDescent="0.2">
      <c r="C7" s="1" t="s">
        <v>2</v>
      </c>
      <c r="D7" s="1">
        <v>1.6900499999999999E-2</v>
      </c>
      <c r="E7" s="1">
        <v>0.26444499999999999</v>
      </c>
      <c r="F7" s="1">
        <v>0.107721</v>
      </c>
    </row>
    <row r="8" spans="3:6" x14ac:dyDescent="0.2">
      <c r="C8" s="1" t="s">
        <v>3</v>
      </c>
      <c r="D8" s="1">
        <v>1.6156E-2</v>
      </c>
      <c r="E8" s="1">
        <v>0.247528</v>
      </c>
      <c r="F8" s="1">
        <v>0.101456</v>
      </c>
    </row>
    <row r="12" spans="3:6" ht="31" x14ac:dyDescent="0.35">
      <c r="D12" s="3" t="s">
        <v>8</v>
      </c>
    </row>
    <row r="13" spans="3:6" x14ac:dyDescent="0.2">
      <c r="C13" s="1"/>
      <c r="D13" s="1" t="s">
        <v>4</v>
      </c>
      <c r="E13" s="1" t="s">
        <v>5</v>
      </c>
      <c r="F13" s="1" t="s">
        <v>6</v>
      </c>
    </row>
    <row r="14" spans="3:6" x14ac:dyDescent="0.2">
      <c r="C14" s="1">
        <v>1</v>
      </c>
      <c r="D14" s="1">
        <v>2.6901499999999998E-2</v>
      </c>
      <c r="E14" s="1">
        <v>0.27941300000000002</v>
      </c>
      <c r="F14" s="1">
        <v>0.121798</v>
      </c>
    </row>
    <row r="15" spans="3:6" x14ac:dyDescent="0.2">
      <c r="C15" s="1">
        <v>2</v>
      </c>
      <c r="D15" s="1">
        <v>1.8190000000000001E-2</v>
      </c>
      <c r="E15" s="1">
        <v>0.27243499999999998</v>
      </c>
      <c r="F15" s="1">
        <v>0.105314</v>
      </c>
    </row>
    <row r="16" spans="3:6" x14ac:dyDescent="0.2">
      <c r="C16" s="1">
        <v>4</v>
      </c>
      <c r="D16" s="1">
        <v>1.6900499999999999E-2</v>
      </c>
      <c r="E16" s="1">
        <v>0.26444499999999999</v>
      </c>
      <c r="F16" s="1">
        <v>0.107721</v>
      </c>
    </row>
    <row r="17" spans="3:6" x14ac:dyDescent="0.2">
      <c r="C17" s="1">
        <v>8</v>
      </c>
      <c r="D17" s="1">
        <v>1.6435499999999999E-2</v>
      </c>
      <c r="E17" s="1">
        <v>0.26442399999999999</v>
      </c>
      <c r="F17" s="1">
        <v>0.107721</v>
      </c>
    </row>
    <row r="31" spans="3:6" ht="31" x14ac:dyDescent="0.35">
      <c r="E31" s="4" t="s">
        <v>9</v>
      </c>
    </row>
    <row r="32" spans="3:6" x14ac:dyDescent="0.2">
      <c r="D32" s="1"/>
      <c r="E32" s="1" t="s">
        <v>10</v>
      </c>
      <c r="F32" s="1" t="s">
        <v>11</v>
      </c>
    </row>
    <row r="33" spans="4:6" x14ac:dyDescent="0.2">
      <c r="D33" s="1" t="s">
        <v>0</v>
      </c>
      <c r="E33" s="1">
        <v>3.2863499999999997E-2</v>
      </c>
      <c r="F33" s="1">
        <v>2.6388000000000002E-2</v>
      </c>
    </row>
    <row r="34" spans="4:6" x14ac:dyDescent="0.2">
      <c r="D34" s="1" t="s">
        <v>1</v>
      </c>
      <c r="E34" s="1">
        <v>2.1876E-2</v>
      </c>
      <c r="F34" s="1">
        <v>1.8553E-2</v>
      </c>
    </row>
    <row r="35" spans="4:6" x14ac:dyDescent="0.2">
      <c r="D35" s="1" t="s">
        <v>2</v>
      </c>
      <c r="E35" s="1">
        <v>1.8784499999999999E-2</v>
      </c>
      <c r="F35" s="1">
        <v>1.6900499999999999E-2</v>
      </c>
    </row>
    <row r="36" spans="4:6" x14ac:dyDescent="0.2">
      <c r="D36" s="1" t="s">
        <v>3</v>
      </c>
      <c r="E36" s="1">
        <v>1.7017000000000001E-2</v>
      </c>
      <c r="F36" s="1">
        <v>1.6156E-2</v>
      </c>
    </row>
    <row r="49" spans="4:6" ht="31" x14ac:dyDescent="0.35">
      <c r="E49" s="4" t="s">
        <v>12</v>
      </c>
    </row>
    <row r="50" spans="4:6" x14ac:dyDescent="0.2">
      <c r="D50" s="1"/>
      <c r="E50" s="1" t="s">
        <v>10</v>
      </c>
      <c r="F50" s="1" t="s">
        <v>11</v>
      </c>
    </row>
    <row r="51" spans="4:6" x14ac:dyDescent="0.2">
      <c r="D51" s="1" t="s">
        <v>0</v>
      </c>
      <c r="E51" s="1">
        <v>0.28059800000000001</v>
      </c>
      <c r="F51" s="1">
        <v>0.27941300000000002</v>
      </c>
    </row>
    <row r="52" spans="4:6" x14ac:dyDescent="0.2">
      <c r="D52" s="1" t="s">
        <v>1</v>
      </c>
      <c r="E52" s="1">
        <v>0.27332899999999999</v>
      </c>
      <c r="F52" s="1">
        <v>0.27243499999999998</v>
      </c>
    </row>
    <row r="53" spans="4:6" x14ac:dyDescent="0.2">
      <c r="D53" s="1" t="s">
        <v>2</v>
      </c>
      <c r="E53" s="1">
        <v>0.26533800000000002</v>
      </c>
      <c r="F53" s="1">
        <v>0.26444499999999999</v>
      </c>
    </row>
    <row r="54" spans="4:6" x14ac:dyDescent="0.2">
      <c r="D54" s="1" t="s">
        <v>3</v>
      </c>
      <c r="E54" s="1">
        <v>0.25057299999999999</v>
      </c>
      <c r="F54" s="1">
        <v>0.247528</v>
      </c>
    </row>
    <row r="62" spans="4:6" ht="31" x14ac:dyDescent="0.35">
      <c r="E62" s="4" t="s">
        <v>13</v>
      </c>
    </row>
    <row r="63" spans="4:6" x14ac:dyDescent="0.2">
      <c r="D63" s="1"/>
      <c r="E63" s="1" t="s">
        <v>10</v>
      </c>
      <c r="F63" s="1" t="s">
        <v>11</v>
      </c>
    </row>
    <row r="64" spans="4:6" x14ac:dyDescent="0.2">
      <c r="D64" s="1" t="s">
        <v>0</v>
      </c>
      <c r="E64" s="1">
        <v>0.110667</v>
      </c>
      <c r="F64" s="1">
        <v>0.107725</v>
      </c>
    </row>
    <row r="65" spans="4:6" x14ac:dyDescent="0.2">
      <c r="D65" s="1" t="s">
        <v>1</v>
      </c>
      <c r="E65" s="1">
        <v>0.109162</v>
      </c>
      <c r="F65" s="1">
        <v>0.107721</v>
      </c>
    </row>
    <row r="66" spans="4:6" x14ac:dyDescent="0.2">
      <c r="D66" s="1" t="s">
        <v>2</v>
      </c>
      <c r="E66" s="1">
        <v>0.108364</v>
      </c>
      <c r="F66" s="1">
        <v>0.107721</v>
      </c>
    </row>
    <row r="67" spans="4:6" x14ac:dyDescent="0.2">
      <c r="D67" s="1" t="s">
        <v>3</v>
      </c>
      <c r="E67" s="1">
        <v>0.101733</v>
      </c>
      <c r="F67" s="1">
        <v>0.101465</v>
      </c>
    </row>
    <row r="81" spans="4:7" ht="31" x14ac:dyDescent="0.35">
      <c r="D81" s="2"/>
      <c r="E81" s="5" t="s">
        <v>4</v>
      </c>
    </row>
    <row r="82" spans="4:7" x14ac:dyDescent="0.2">
      <c r="D82" s="1"/>
      <c r="E82" s="1" t="s">
        <v>18</v>
      </c>
      <c r="F82" s="1" t="s">
        <v>19</v>
      </c>
      <c r="G82" s="1" t="s">
        <v>20</v>
      </c>
    </row>
    <row r="83" spans="4:7" x14ac:dyDescent="0.2">
      <c r="D83" s="1" t="s">
        <v>21</v>
      </c>
      <c r="E83" s="1">
        <f>33069+32023</f>
        <v>65092</v>
      </c>
      <c r="F83" s="1">
        <f>33134+32113</f>
        <v>65247</v>
      </c>
      <c r="G83" s="1">
        <f>33069+32019</f>
        <v>65088</v>
      </c>
    </row>
    <row r="84" spans="4:7" x14ac:dyDescent="0.2">
      <c r="D84" s="1" t="s">
        <v>22</v>
      </c>
      <c r="E84" s="1">
        <f>33069+31980</f>
        <v>65049</v>
      </c>
      <c r="F84" s="1">
        <f>33076+31990</f>
        <v>65066</v>
      </c>
      <c r="G84" s="1">
        <f>33069+31980</f>
        <v>65049</v>
      </c>
    </row>
    <row r="85" spans="4:7" x14ac:dyDescent="0.2">
      <c r="D85" s="1" t="s">
        <v>23</v>
      </c>
      <c r="E85" s="1">
        <f>33069+31976</f>
        <v>65045</v>
      </c>
      <c r="F85" s="1">
        <f>33069+31976</f>
        <v>65045</v>
      </c>
      <c r="G85" s="1">
        <f>33069+31976</f>
        <v>65045</v>
      </c>
    </row>
    <row r="86" spans="4:7" x14ac:dyDescent="0.2">
      <c r="D86" s="1" t="s">
        <v>24</v>
      </c>
      <c r="E86" s="1">
        <f>33069+31976</f>
        <v>65045</v>
      </c>
      <c r="F86" s="1">
        <f>33069+31976</f>
        <v>65045</v>
      </c>
      <c r="G86" s="1">
        <f>33069+31976</f>
        <v>65045</v>
      </c>
    </row>
    <row r="87" spans="4:7" x14ac:dyDescent="0.2">
      <c r="D87" s="1" t="s">
        <v>25</v>
      </c>
      <c r="E87" s="1">
        <f>23234+32023</f>
        <v>55257</v>
      </c>
      <c r="F87" s="1">
        <f>23464+32327</f>
        <v>55791</v>
      </c>
      <c r="G87" s="1">
        <f>23234+32011</f>
        <v>55245</v>
      </c>
    </row>
    <row r="88" spans="4:7" x14ac:dyDescent="0.2">
      <c r="D88" s="1" t="s">
        <v>26</v>
      </c>
      <c r="E88" s="1">
        <f>23234+31980</f>
        <v>55214</v>
      </c>
      <c r="F88" s="1">
        <f>23272+32026</f>
        <v>55298</v>
      </c>
      <c r="G88" s="1">
        <f>23234+31979</f>
        <v>55213</v>
      </c>
    </row>
    <row r="89" spans="4:7" x14ac:dyDescent="0.2">
      <c r="D89" s="1" t="s">
        <v>27</v>
      </c>
      <c r="E89" s="1">
        <f>23234+31976</f>
        <v>55210</v>
      </c>
      <c r="F89" s="1">
        <f>23239+31983</f>
        <v>55222</v>
      </c>
      <c r="G89" s="1">
        <f>23234+31976</f>
        <v>55210</v>
      </c>
    </row>
    <row r="90" spans="4:7" x14ac:dyDescent="0.2">
      <c r="D90" s="1" t="s">
        <v>28</v>
      </c>
      <c r="E90" s="1">
        <f>23234+31976</f>
        <v>55210</v>
      </c>
      <c r="F90" s="1">
        <f>23234+31976</f>
        <v>55210</v>
      </c>
      <c r="G90" s="1">
        <f>23234+31976</f>
        <v>55210</v>
      </c>
    </row>
    <row r="91" spans="4:7" x14ac:dyDescent="0.2">
      <c r="D91" s="1" t="s">
        <v>29</v>
      </c>
      <c r="E91" s="1">
        <f>21142+32024</f>
        <v>53166</v>
      </c>
      <c r="F91" s="1">
        <f>21521+32565</f>
        <v>54086</v>
      </c>
      <c r="G91" s="1">
        <f>21142+32000</f>
        <v>53142</v>
      </c>
    </row>
    <row r="92" spans="4:7" x14ac:dyDescent="0.2">
      <c r="D92" s="1" t="s">
        <v>30</v>
      </c>
      <c r="E92" s="1">
        <f>21142+31987</f>
        <v>53129</v>
      </c>
      <c r="F92" s="1">
        <f>21198+32053</f>
        <v>53251</v>
      </c>
      <c r="G92" s="1">
        <f>21142+31978</f>
        <v>53120</v>
      </c>
    </row>
    <row r="93" spans="4:7" x14ac:dyDescent="0.2">
      <c r="D93" s="1" t="s">
        <v>31</v>
      </c>
      <c r="E93" s="1">
        <f>21142+31976</f>
        <v>53118</v>
      </c>
      <c r="F93" s="1">
        <f>21149+31985</f>
        <v>53134</v>
      </c>
      <c r="G93" s="1">
        <f>21142+31976</f>
        <v>53118</v>
      </c>
    </row>
    <row r="94" spans="4:7" x14ac:dyDescent="0.2">
      <c r="D94" s="1" t="s">
        <v>32</v>
      </c>
      <c r="E94" s="1">
        <f>21142 + 31976</f>
        <v>53118</v>
      </c>
      <c r="F94" s="1">
        <f>21142+31976</f>
        <v>53118</v>
      </c>
      <c r="G94" s="1">
        <f>21142+31976</f>
        <v>53118</v>
      </c>
    </row>
    <row r="95" spans="4:7" x14ac:dyDescent="0.2">
      <c r="D95" s="1" t="s">
        <v>33</v>
      </c>
      <c r="E95" s="1">
        <f>20195+32022</f>
        <v>52217</v>
      </c>
      <c r="F95" s="1">
        <f>20865+33016</f>
        <v>53881</v>
      </c>
      <c r="G95" s="1">
        <f>20195+31992</f>
        <v>52187</v>
      </c>
    </row>
    <row r="96" spans="4:7" x14ac:dyDescent="0.2">
      <c r="D96" s="1" t="s">
        <v>34</v>
      </c>
      <c r="E96" s="1">
        <f>20195+31980</f>
        <v>52175</v>
      </c>
      <c r="F96" s="1">
        <f>20301 + 32123</f>
        <v>52424</v>
      </c>
      <c r="G96" s="1">
        <f>20195+31978</f>
        <v>52173</v>
      </c>
    </row>
    <row r="97" spans="4:7" x14ac:dyDescent="0.2">
      <c r="D97" s="1" t="s">
        <v>35</v>
      </c>
      <c r="E97" s="1">
        <f>20195+31976</f>
        <v>52171</v>
      </c>
      <c r="F97" s="1">
        <f>20205+31990</f>
        <v>52195</v>
      </c>
      <c r="G97" s="1">
        <f>20195+31976</f>
        <v>52171</v>
      </c>
    </row>
    <row r="98" spans="4:7" x14ac:dyDescent="0.2">
      <c r="D98" s="1" t="s">
        <v>36</v>
      </c>
      <c r="E98" s="1">
        <f>20195+31976</f>
        <v>52171</v>
      </c>
      <c r="F98" s="1">
        <f>20195+31976</f>
        <v>52171</v>
      </c>
      <c r="G98" s="1">
        <f>20195 + 31976</f>
        <v>52171</v>
      </c>
    </row>
    <row r="102" spans="4:7" ht="31" x14ac:dyDescent="0.35">
      <c r="D102" s="2"/>
      <c r="E102" s="5" t="s">
        <v>5</v>
      </c>
    </row>
    <row r="103" spans="4:7" x14ac:dyDescent="0.2">
      <c r="D103" s="1"/>
      <c r="E103" s="1" t="s">
        <v>18</v>
      </c>
      <c r="F103" s="1" t="s">
        <v>19</v>
      </c>
      <c r="G103" s="1" t="s">
        <v>20</v>
      </c>
    </row>
    <row r="104" spans="4:7" x14ac:dyDescent="0.2">
      <c r="D104" s="1" t="s">
        <v>21</v>
      </c>
      <c r="E104" s="1">
        <f>475337+446002</f>
        <v>921339</v>
      </c>
      <c r="F104" s="1">
        <f>475367+446024</f>
        <v>921391</v>
      </c>
      <c r="G104" s="1">
        <f>475337+444453</f>
        <v>919790</v>
      </c>
    </row>
    <row r="105" spans="4:7" x14ac:dyDescent="0.2">
      <c r="D105" s="1" t="s">
        <v>22</v>
      </c>
      <c r="E105" s="1">
        <f>475337+420068</f>
        <v>895405</v>
      </c>
      <c r="F105" s="1">
        <f>475342+420071</f>
        <v>895413</v>
      </c>
      <c r="G105" s="1">
        <f>475337+419582</f>
        <v>894919</v>
      </c>
    </row>
    <row r="106" spans="4:7" x14ac:dyDescent="0.2">
      <c r="D106" s="1" t="s">
        <v>23</v>
      </c>
      <c r="E106" s="1">
        <f>475337+398673</f>
        <v>874010</v>
      </c>
      <c r="F106" s="1">
        <f>475337+398673</f>
        <v>874010</v>
      </c>
      <c r="G106" s="1">
        <f>475337+398473</f>
        <v>873810</v>
      </c>
    </row>
    <row r="107" spans="4:7" x14ac:dyDescent="0.2">
      <c r="D107" s="1" t="s">
        <v>24</v>
      </c>
      <c r="E107" s="1">
        <f>475337+381449</f>
        <v>856786</v>
      </c>
      <c r="F107" s="1">
        <f>475337+381449</f>
        <v>856786</v>
      </c>
      <c r="G107" s="1">
        <f>475337+381339</f>
        <v>856676</v>
      </c>
    </row>
    <row r="108" spans="4:7" x14ac:dyDescent="0.2">
      <c r="D108" s="1" t="s">
        <v>25</v>
      </c>
      <c r="E108" s="1">
        <f>463482+445921</f>
        <v>909403</v>
      </c>
      <c r="F108" s="1">
        <f>463533+445971</f>
        <v>909504</v>
      </c>
      <c r="G108" s="1">
        <f>463482+442636</f>
        <v>906118</v>
      </c>
    </row>
    <row r="109" spans="4:7" x14ac:dyDescent="0.2">
      <c r="D109" s="1" t="s">
        <v>26</v>
      </c>
      <c r="E109" s="1">
        <f>463482+420011</f>
        <v>883493</v>
      </c>
      <c r="F109" s="1">
        <f>463508+420031</f>
        <v>883539</v>
      </c>
      <c r="G109" s="1">
        <f>463482+418946</f>
        <v>882428</v>
      </c>
    </row>
    <row r="110" spans="4:7" x14ac:dyDescent="0.2">
      <c r="D110" s="1" t="s">
        <v>27</v>
      </c>
      <c r="E110" s="1">
        <f>463482+398668</f>
        <v>862150</v>
      </c>
      <c r="F110" s="1">
        <f>463483+398669</f>
        <v>862152</v>
      </c>
      <c r="G110" s="1">
        <f>463482+398276</f>
        <v>861758</v>
      </c>
    </row>
    <row r="111" spans="4:7" x14ac:dyDescent="0.2">
      <c r="D111" s="1" t="s">
        <v>28</v>
      </c>
      <c r="E111" s="1">
        <f>463482+381442</f>
        <v>844924</v>
      </c>
      <c r="F111" s="1">
        <f>463482+381442</f>
        <v>844924</v>
      </c>
      <c r="G111" s="1">
        <f>463482+381230</f>
        <v>844712</v>
      </c>
    </row>
    <row r="112" spans="4:7" x14ac:dyDescent="0.2">
      <c r="D112" s="1" t="s">
        <v>29</v>
      </c>
      <c r="E112" s="1">
        <f>449851+445944</f>
        <v>895795</v>
      </c>
      <c r="F112" s="1">
        <f>449942+446089</f>
        <v>896031</v>
      </c>
      <c r="G112" s="1">
        <f>449851+438754</f>
        <v>888605</v>
      </c>
    </row>
    <row r="113" spans="4:27" x14ac:dyDescent="0.2">
      <c r="D113" s="1" t="s">
        <v>30</v>
      </c>
      <c r="E113" s="1">
        <f>449851+419949</f>
        <v>869800</v>
      </c>
      <c r="F113" s="1">
        <f>449882+419978</f>
        <v>869860</v>
      </c>
      <c r="G113" s="1">
        <f>449851+417535</f>
        <v>867386</v>
      </c>
    </row>
    <row r="114" spans="4:27" x14ac:dyDescent="0.2">
      <c r="D114" s="1" t="s">
        <v>31</v>
      </c>
      <c r="E114" s="1">
        <f>449851+398638</f>
        <v>848489</v>
      </c>
      <c r="F114" s="1">
        <f>449857+398646</f>
        <v>848503</v>
      </c>
      <c r="G114" s="1">
        <f>449851+397769</f>
        <v>847620</v>
      </c>
    </row>
    <row r="115" spans="4:27" x14ac:dyDescent="0.2">
      <c r="D115" s="1" t="s">
        <v>32</v>
      </c>
      <c r="E115" s="1">
        <f>449851+381416</f>
        <v>831267</v>
      </c>
      <c r="F115" s="1">
        <f>449851+381416</f>
        <v>831267</v>
      </c>
      <c r="G115" s="1">
        <f>449851+380997</f>
        <v>830848</v>
      </c>
    </row>
    <row r="116" spans="4:27" x14ac:dyDescent="0.2">
      <c r="D116" s="1" t="s">
        <v>33</v>
      </c>
      <c r="E116" s="1">
        <f>421018+446955</f>
        <v>867973</v>
      </c>
      <c r="F116" s="1">
        <f>422869+451038</f>
        <v>873907</v>
      </c>
      <c r="G116" s="1">
        <f>421018+432639</f>
        <v>853657</v>
      </c>
    </row>
    <row r="117" spans="4:27" x14ac:dyDescent="0.2">
      <c r="D117" s="1" t="s">
        <v>34</v>
      </c>
      <c r="E117" s="1">
        <f>421018+419840</f>
        <v>840858</v>
      </c>
      <c r="F117" s="1">
        <f>421273+420340</f>
        <v>841613</v>
      </c>
      <c r="G117" s="1">
        <f>421018+414109</f>
        <v>835127</v>
      </c>
    </row>
    <row r="118" spans="4:27" x14ac:dyDescent="0.2">
      <c r="D118" s="1" t="s">
        <v>35</v>
      </c>
      <c r="E118" s="1">
        <f>421018+398582</f>
        <v>819600</v>
      </c>
      <c r="F118" s="1">
        <f>421062+398641</f>
        <v>819703</v>
      </c>
      <c r="G118" s="1">
        <f>421018+396677</f>
        <v>817695</v>
      </c>
    </row>
    <row r="119" spans="4:27" x14ac:dyDescent="0.2">
      <c r="D119" s="1" t="s">
        <v>36</v>
      </c>
      <c r="E119" s="1">
        <f>421018+381363</f>
        <v>802381</v>
      </c>
      <c r="F119" s="1">
        <f>421024+381372</f>
        <v>802396</v>
      </c>
      <c r="G119" s="1">
        <f>421018+380474</f>
        <v>801492</v>
      </c>
    </row>
    <row r="121" spans="4:27" x14ac:dyDescent="0.2">
      <c r="K121" s="1"/>
      <c r="L121" s="1" t="s">
        <v>21</v>
      </c>
      <c r="M121" s="1" t="s">
        <v>22</v>
      </c>
      <c r="N121" s="1" t="s">
        <v>23</v>
      </c>
      <c r="O121" s="1" t="s">
        <v>24</v>
      </c>
      <c r="P121" s="1" t="s">
        <v>25</v>
      </c>
      <c r="Q121" s="1" t="s">
        <v>26</v>
      </c>
      <c r="R121" s="1" t="s">
        <v>27</v>
      </c>
      <c r="S121" s="1" t="s">
        <v>28</v>
      </c>
      <c r="T121" s="1" t="s">
        <v>29</v>
      </c>
      <c r="U121" s="1" t="s">
        <v>30</v>
      </c>
      <c r="V121" s="1" t="s">
        <v>31</v>
      </c>
      <c r="W121" s="1" t="s">
        <v>32</v>
      </c>
      <c r="X121" s="1" t="s">
        <v>33</v>
      </c>
      <c r="Y121" s="1" t="s">
        <v>34</v>
      </c>
      <c r="Z121" s="1" t="s">
        <v>35</v>
      </c>
      <c r="AA121" s="1" t="s">
        <v>36</v>
      </c>
    </row>
    <row r="122" spans="4:27" x14ac:dyDescent="0.2">
      <c r="K122" s="1" t="s">
        <v>18</v>
      </c>
      <c r="L122" s="1">
        <v>313461</v>
      </c>
      <c r="M122" s="1">
        <v>302528</v>
      </c>
      <c r="N122" s="1">
        <v>302517</v>
      </c>
      <c r="O122" s="1">
        <v>302517</v>
      </c>
      <c r="P122" s="1">
        <v>313924</v>
      </c>
      <c r="Q122" s="1">
        <v>302532</v>
      </c>
      <c r="R122" s="1">
        <v>302513</v>
      </c>
      <c r="S122" s="1">
        <v>302513</v>
      </c>
      <c r="T122" s="1">
        <v>313855</v>
      </c>
      <c r="U122" s="1">
        <v>302532</v>
      </c>
      <c r="V122" s="1">
        <v>302513</v>
      </c>
      <c r="W122" s="1">
        <v>302513</v>
      </c>
      <c r="X122" s="1">
        <v>305996</v>
      </c>
      <c r="Y122" s="1">
        <v>292616</v>
      </c>
      <c r="Z122" s="1">
        <v>292599</v>
      </c>
      <c r="AA122" s="1">
        <v>292599</v>
      </c>
    </row>
    <row r="123" spans="4:27" x14ac:dyDescent="0.2">
      <c r="K123" s="1" t="s">
        <v>19</v>
      </c>
      <c r="L123" s="1">
        <v>313673</v>
      </c>
      <c r="M123" s="1">
        <v>302528</v>
      </c>
      <c r="N123" s="1">
        <v>302517</v>
      </c>
      <c r="O123" s="1">
        <v>302517</v>
      </c>
      <c r="P123" s="1">
        <v>314172</v>
      </c>
      <c r="Q123" s="1">
        <v>302532</v>
      </c>
      <c r="R123" s="1">
        <v>302513</v>
      </c>
      <c r="S123" s="1">
        <v>302513</v>
      </c>
      <c r="T123" s="1">
        <v>314143</v>
      </c>
      <c r="U123" s="1">
        <v>302532</v>
      </c>
      <c r="V123" s="1">
        <v>302513</v>
      </c>
      <c r="W123" s="1">
        <v>302513</v>
      </c>
      <c r="X123" s="1">
        <v>306305</v>
      </c>
      <c r="Y123" s="1">
        <v>292616</v>
      </c>
      <c r="Z123" s="1">
        <v>292599</v>
      </c>
      <c r="AA123" s="1">
        <v>292599</v>
      </c>
    </row>
    <row r="124" spans="4:27" ht="31" x14ac:dyDescent="0.35">
      <c r="D124" s="2"/>
      <c r="E124" s="5" t="s">
        <v>6</v>
      </c>
      <c r="K124" s="1" t="s">
        <v>20</v>
      </c>
      <c r="L124" s="1">
        <v>310353</v>
      </c>
      <c r="M124" s="1">
        <v>302522</v>
      </c>
      <c r="N124" s="1">
        <v>302517</v>
      </c>
      <c r="O124" s="1">
        <v>302517</v>
      </c>
      <c r="P124" s="1">
        <v>310308</v>
      </c>
      <c r="Q124" s="1">
        <v>302518</v>
      </c>
      <c r="R124" s="1">
        <v>302513</v>
      </c>
      <c r="S124" s="1">
        <v>302513</v>
      </c>
      <c r="T124" s="1">
        <v>309637</v>
      </c>
      <c r="U124" s="1">
        <v>302517</v>
      </c>
      <c r="V124" s="1">
        <v>302513</v>
      </c>
      <c r="W124" s="1">
        <v>302513</v>
      </c>
      <c r="X124" s="1">
        <v>292953</v>
      </c>
      <c r="Y124" s="1">
        <v>292599</v>
      </c>
      <c r="Z124" s="1">
        <v>292599</v>
      </c>
      <c r="AA124" s="1">
        <v>292599</v>
      </c>
    </row>
    <row r="125" spans="4:27" x14ac:dyDescent="0.2">
      <c r="D125" s="1"/>
      <c r="E125" s="1" t="s">
        <v>18</v>
      </c>
      <c r="F125" s="1" t="s">
        <v>19</v>
      </c>
      <c r="G125" s="1" t="s">
        <v>20</v>
      </c>
    </row>
    <row r="126" spans="4:27" x14ac:dyDescent="0.2">
      <c r="D126" s="1" t="s">
        <v>21</v>
      </c>
      <c r="E126" s="1">
        <v>313461</v>
      </c>
      <c r="F126" s="1">
        <v>313673</v>
      </c>
      <c r="G126" s="1">
        <v>310353</v>
      </c>
    </row>
    <row r="127" spans="4:27" x14ac:dyDescent="0.2">
      <c r="D127" s="1" t="s">
        <v>22</v>
      </c>
      <c r="E127" s="1">
        <v>302528</v>
      </c>
      <c r="F127" s="1">
        <v>302528</v>
      </c>
      <c r="G127" s="1">
        <v>302522</v>
      </c>
    </row>
    <row r="128" spans="4:27" x14ac:dyDescent="0.2">
      <c r="D128" s="1" t="s">
        <v>23</v>
      </c>
      <c r="E128" s="1">
        <v>302517</v>
      </c>
      <c r="F128" s="1">
        <v>302517</v>
      </c>
      <c r="G128" s="1">
        <v>302517</v>
      </c>
    </row>
    <row r="129" spans="4:7" x14ac:dyDescent="0.2">
      <c r="D129" s="1" t="s">
        <v>24</v>
      </c>
      <c r="E129" s="1">
        <v>302517</v>
      </c>
      <c r="F129" s="1">
        <v>302517</v>
      </c>
      <c r="G129" s="1">
        <v>302517</v>
      </c>
    </row>
    <row r="130" spans="4:7" x14ac:dyDescent="0.2">
      <c r="D130" s="1" t="s">
        <v>25</v>
      </c>
      <c r="E130" s="1">
        <v>313924</v>
      </c>
      <c r="F130" s="1">
        <v>314172</v>
      </c>
      <c r="G130" s="1">
        <v>310308</v>
      </c>
    </row>
    <row r="131" spans="4:7" x14ac:dyDescent="0.2">
      <c r="D131" s="1" t="s">
        <v>26</v>
      </c>
      <c r="E131" s="1">
        <v>302532</v>
      </c>
      <c r="F131" s="1">
        <v>302532</v>
      </c>
      <c r="G131" s="1">
        <v>302518</v>
      </c>
    </row>
    <row r="132" spans="4:7" x14ac:dyDescent="0.2">
      <c r="D132" s="1" t="s">
        <v>27</v>
      </c>
      <c r="E132" s="1">
        <v>302513</v>
      </c>
      <c r="F132" s="1">
        <v>302513</v>
      </c>
      <c r="G132" s="1">
        <v>302513</v>
      </c>
    </row>
    <row r="133" spans="4:7" x14ac:dyDescent="0.2">
      <c r="D133" s="1" t="s">
        <v>28</v>
      </c>
      <c r="E133" s="1">
        <v>302513</v>
      </c>
      <c r="F133" s="1">
        <v>302513</v>
      </c>
      <c r="G133" s="1">
        <v>302513</v>
      </c>
    </row>
    <row r="134" spans="4:7" x14ac:dyDescent="0.2">
      <c r="D134" s="1" t="s">
        <v>29</v>
      </c>
      <c r="E134" s="1">
        <v>313855</v>
      </c>
      <c r="F134" s="1">
        <v>314143</v>
      </c>
      <c r="G134" s="1">
        <v>309637</v>
      </c>
    </row>
    <row r="135" spans="4:7" x14ac:dyDescent="0.2">
      <c r="D135" s="1" t="s">
        <v>30</v>
      </c>
      <c r="E135" s="1">
        <v>302532</v>
      </c>
      <c r="F135" s="1">
        <v>302532</v>
      </c>
      <c r="G135" s="1">
        <v>302517</v>
      </c>
    </row>
    <row r="136" spans="4:7" x14ac:dyDescent="0.2">
      <c r="D136" s="1" t="s">
        <v>31</v>
      </c>
      <c r="E136" s="1">
        <v>302513</v>
      </c>
      <c r="F136" s="1">
        <v>302513</v>
      </c>
      <c r="G136" s="1">
        <v>302513</v>
      </c>
    </row>
    <row r="137" spans="4:7" x14ac:dyDescent="0.2">
      <c r="D137" s="1" t="s">
        <v>32</v>
      </c>
      <c r="E137" s="1">
        <v>302513</v>
      </c>
      <c r="F137" s="1">
        <v>302513</v>
      </c>
      <c r="G137" s="1">
        <v>302513</v>
      </c>
    </row>
    <row r="138" spans="4:7" x14ac:dyDescent="0.2">
      <c r="D138" s="1" t="s">
        <v>33</v>
      </c>
      <c r="E138" s="1">
        <v>305996</v>
      </c>
      <c r="F138" s="1">
        <v>306305</v>
      </c>
      <c r="G138" s="1">
        <v>292953</v>
      </c>
    </row>
    <row r="139" spans="4:7" x14ac:dyDescent="0.2">
      <c r="D139" s="1" t="s">
        <v>34</v>
      </c>
      <c r="E139" s="1">
        <v>292616</v>
      </c>
      <c r="F139" s="1">
        <v>292616</v>
      </c>
      <c r="G139" s="1">
        <v>292599</v>
      </c>
    </row>
    <row r="140" spans="4:7" x14ac:dyDescent="0.2">
      <c r="D140" s="1" t="s">
        <v>35</v>
      </c>
      <c r="E140" s="1">
        <v>292599</v>
      </c>
      <c r="F140" s="1">
        <v>292599</v>
      </c>
      <c r="G140" s="1">
        <v>292599</v>
      </c>
    </row>
    <row r="141" spans="4:7" x14ac:dyDescent="0.2">
      <c r="D141" s="1" t="s">
        <v>36</v>
      </c>
      <c r="E141" s="1">
        <v>292599</v>
      </c>
      <c r="F141" s="1">
        <v>292599</v>
      </c>
      <c r="G141" s="1">
        <v>292599</v>
      </c>
    </row>
    <row r="224" spans="4:4" ht="17" thickBot="1" x14ac:dyDescent="0.25">
      <c r="D224" t="s">
        <v>37</v>
      </c>
    </row>
    <row r="225" spans="4:7" ht="17" thickBot="1" x14ac:dyDescent="0.25">
      <c r="D225" s="6"/>
      <c r="E225" s="12" t="s">
        <v>38</v>
      </c>
      <c r="F225" s="11"/>
      <c r="G225" s="13"/>
    </row>
    <row r="226" spans="4:7" ht="17" thickBot="1" x14ac:dyDescent="0.25">
      <c r="D226" s="7" t="s">
        <v>39</v>
      </c>
      <c r="E226" s="8" t="s">
        <v>4</v>
      </c>
      <c r="F226" s="8" t="s">
        <v>5</v>
      </c>
      <c r="G226" s="8" t="s">
        <v>6</v>
      </c>
    </row>
    <row r="227" spans="4:7" ht="17" thickBot="1" x14ac:dyDescent="0.25">
      <c r="D227" s="9" t="s">
        <v>14</v>
      </c>
      <c r="E227" s="10">
        <v>0.459704</v>
      </c>
      <c r="F227" s="10">
        <v>0.59623000000000004</v>
      </c>
      <c r="G227" s="10">
        <v>0.39100400000000002</v>
      </c>
    </row>
    <row r="228" spans="4:7" ht="17" thickBot="1" x14ac:dyDescent="0.25">
      <c r="D228" s="9" t="s">
        <v>15</v>
      </c>
      <c r="E228" s="10">
        <v>0.45617200000000002</v>
      </c>
      <c r="F228" s="10">
        <v>0.56157299999999999</v>
      </c>
      <c r="G228" s="10">
        <v>0.359462</v>
      </c>
    </row>
    <row r="229" spans="4:7" ht="17" thickBot="1" x14ac:dyDescent="0.25">
      <c r="D229" s="9" t="s">
        <v>16</v>
      </c>
      <c r="E229" s="10">
        <v>0.45557399999999998</v>
      </c>
      <c r="F229" s="10">
        <v>0.53301799999999999</v>
      </c>
      <c r="G229" s="10">
        <v>0.35941000000000001</v>
      </c>
    </row>
    <row r="230" spans="4:7" ht="17" thickBot="1" x14ac:dyDescent="0.25">
      <c r="D230" s="9" t="s">
        <v>17</v>
      </c>
      <c r="E230" s="10">
        <v>0.45545999999999998</v>
      </c>
      <c r="F230" s="10">
        <v>0.50998600000000005</v>
      </c>
      <c r="G230" s="10">
        <v>0.35941000000000001</v>
      </c>
    </row>
    <row r="249" spans="4:7" ht="17" thickBot="1" x14ac:dyDescent="0.25"/>
    <row r="250" spans="4:7" ht="17" thickBot="1" x14ac:dyDescent="0.25">
      <c r="D250" s="6"/>
      <c r="E250" s="12" t="s">
        <v>38</v>
      </c>
      <c r="F250" s="11"/>
      <c r="G250" s="13"/>
    </row>
    <row r="251" spans="4:7" ht="17" thickBot="1" x14ac:dyDescent="0.25">
      <c r="D251" s="7"/>
      <c r="E251" s="8" t="s">
        <v>4</v>
      </c>
      <c r="F251" s="8" t="s">
        <v>5</v>
      </c>
      <c r="G251" s="8" t="s">
        <v>6</v>
      </c>
    </row>
    <row r="252" spans="4:7" ht="17" thickBot="1" x14ac:dyDescent="0.25">
      <c r="D252" s="9">
        <v>1</v>
      </c>
      <c r="E252" s="10">
        <v>0.51306200000000002</v>
      </c>
      <c r="F252" s="10">
        <v>0.66193100000000005</v>
      </c>
      <c r="G252" s="10">
        <v>0.502475</v>
      </c>
    </row>
    <row r="253" spans="4:7" ht="17" thickBot="1" x14ac:dyDescent="0.25">
      <c r="D253" s="9">
        <v>2</v>
      </c>
      <c r="E253" s="10">
        <v>0.469661</v>
      </c>
      <c r="F253" s="10">
        <v>0.62190699999999999</v>
      </c>
      <c r="G253" s="10">
        <v>0.43252299999999999</v>
      </c>
    </row>
    <row r="254" spans="4:7" ht="17" thickBot="1" x14ac:dyDescent="0.25">
      <c r="D254" s="9">
        <v>4</v>
      </c>
      <c r="E254" s="10">
        <v>0.46085799999999999</v>
      </c>
      <c r="F254" s="10">
        <v>0.60378200000000004</v>
      </c>
      <c r="G254" s="10">
        <v>0.39317600000000003</v>
      </c>
    </row>
    <row r="255" spans="4:7" ht="17" thickBot="1" x14ac:dyDescent="0.25">
      <c r="D255" s="9">
        <v>8</v>
      </c>
      <c r="E255" s="10">
        <v>0.459704</v>
      </c>
      <c r="F255" s="10">
        <v>0.59623000000000004</v>
      </c>
      <c r="G255" s="10">
        <v>0.39100400000000002</v>
      </c>
    </row>
  </sheetData>
  <mergeCells count="2">
    <mergeCell ref="E225:G225"/>
    <mergeCell ref="E250:G250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A3" sqref="A3:J20"/>
    </sheetView>
  </sheetViews>
  <sheetFormatPr baseColWidth="10" defaultRowHeight="16" x14ac:dyDescent="0.2"/>
  <cols>
    <col min="1" max="1" width="19.5" bestFit="1" customWidth="1"/>
    <col min="2" max="3" width="8.1640625" bestFit="1" customWidth="1"/>
    <col min="4" max="4" width="8.5" bestFit="1" customWidth="1"/>
    <col min="5" max="6" width="8.1640625" bestFit="1" customWidth="1"/>
    <col min="7" max="7" width="8.5" bestFit="1" customWidth="1"/>
    <col min="8" max="8" width="9.1640625" bestFit="1" customWidth="1"/>
    <col min="9" max="9" width="8.1640625" bestFit="1" customWidth="1"/>
    <col min="10" max="10" width="8.5" bestFit="1" customWidth="1"/>
  </cols>
  <sheetData>
    <row r="1" spans="1:10" ht="31" x14ac:dyDescent="0.35">
      <c r="B1" s="4"/>
      <c r="C1" s="1"/>
    </row>
    <row r="2" spans="1:10" x14ac:dyDescent="0.2">
      <c r="A2" s="1"/>
      <c r="B2" s="1"/>
      <c r="C2" s="1"/>
      <c r="D2" s="1"/>
      <c r="E2" s="1"/>
      <c r="F2" s="1"/>
      <c r="G2" s="1"/>
    </row>
    <row r="3" spans="1:10" x14ac:dyDescent="0.2">
      <c r="A3" s="14"/>
      <c r="B3" s="15" t="s">
        <v>4</v>
      </c>
      <c r="C3" s="15"/>
      <c r="D3" s="15"/>
      <c r="E3" s="15" t="s">
        <v>5</v>
      </c>
      <c r="F3" s="15"/>
      <c r="G3" s="15"/>
      <c r="H3" s="15" t="s">
        <v>6</v>
      </c>
      <c r="I3" s="15"/>
      <c r="J3" s="15"/>
    </row>
    <row r="4" spans="1:10" x14ac:dyDescent="0.2">
      <c r="A4" s="14"/>
      <c r="B4" s="14" t="s">
        <v>40</v>
      </c>
      <c r="C4" s="14" t="s">
        <v>19</v>
      </c>
      <c r="D4" s="14" t="s">
        <v>20</v>
      </c>
      <c r="E4" s="14" t="s">
        <v>40</v>
      </c>
      <c r="F4" s="14" t="s">
        <v>19</v>
      </c>
      <c r="G4" s="14" t="s">
        <v>20</v>
      </c>
      <c r="H4" s="14" t="s">
        <v>41</v>
      </c>
      <c r="I4" s="14" t="s">
        <v>19</v>
      </c>
      <c r="J4" s="14" t="s">
        <v>20</v>
      </c>
    </row>
    <row r="5" spans="1:10" x14ac:dyDescent="0.2">
      <c r="A5" s="16" t="s">
        <v>21</v>
      </c>
      <c r="B5" s="16">
        <f>33069+32023</f>
        <v>65092</v>
      </c>
      <c r="C5" s="16">
        <f>33134+32113</f>
        <v>65247</v>
      </c>
      <c r="D5" s="16">
        <f>33069+32019</f>
        <v>65088</v>
      </c>
      <c r="E5" s="16">
        <f>475337+446002</f>
        <v>921339</v>
      </c>
      <c r="F5" s="16">
        <f>475367+446024</f>
        <v>921391</v>
      </c>
      <c r="G5" s="16">
        <f>475337+444453</f>
        <v>919790</v>
      </c>
      <c r="H5" s="16">
        <v>313461</v>
      </c>
      <c r="I5" s="16">
        <v>313673</v>
      </c>
      <c r="J5" s="16">
        <v>310353</v>
      </c>
    </row>
    <row r="6" spans="1:10" x14ac:dyDescent="0.2">
      <c r="A6" s="16" t="s">
        <v>22</v>
      </c>
      <c r="B6" s="16">
        <f>33069+31980</f>
        <v>65049</v>
      </c>
      <c r="C6" s="16">
        <f>33076+31990</f>
        <v>65066</v>
      </c>
      <c r="D6" s="16">
        <f>33069+31980</f>
        <v>65049</v>
      </c>
      <c r="E6" s="16">
        <f>475337+420068</f>
        <v>895405</v>
      </c>
      <c r="F6" s="16">
        <f>475342+420071</f>
        <v>895413</v>
      </c>
      <c r="G6" s="16">
        <f>475337+419582</f>
        <v>894919</v>
      </c>
      <c r="H6" s="16">
        <v>302528</v>
      </c>
      <c r="I6" s="16">
        <v>302528</v>
      </c>
      <c r="J6" s="16">
        <v>302522</v>
      </c>
    </row>
    <row r="7" spans="1:10" x14ac:dyDescent="0.2">
      <c r="A7" s="16" t="s">
        <v>23</v>
      </c>
      <c r="B7" s="16">
        <f>33069+31976</f>
        <v>65045</v>
      </c>
      <c r="C7" s="16">
        <f>33069+31976</f>
        <v>65045</v>
      </c>
      <c r="D7" s="16">
        <f>33069+31976</f>
        <v>65045</v>
      </c>
      <c r="E7" s="16">
        <f>475337+398673</f>
        <v>874010</v>
      </c>
      <c r="F7" s="16">
        <f>475337+398673</f>
        <v>874010</v>
      </c>
      <c r="G7" s="16">
        <f>475337+398473</f>
        <v>873810</v>
      </c>
      <c r="H7" s="16">
        <v>302517</v>
      </c>
      <c r="I7" s="16">
        <v>302517</v>
      </c>
      <c r="J7" s="16">
        <v>302517</v>
      </c>
    </row>
    <row r="8" spans="1:10" x14ac:dyDescent="0.2">
      <c r="A8" s="16" t="s">
        <v>24</v>
      </c>
      <c r="B8" s="16">
        <f>33069+31976</f>
        <v>65045</v>
      </c>
      <c r="C8" s="16">
        <f>33069+31976</f>
        <v>65045</v>
      </c>
      <c r="D8" s="16">
        <f>33069+31976</f>
        <v>65045</v>
      </c>
      <c r="E8" s="16">
        <f>475337+381449</f>
        <v>856786</v>
      </c>
      <c r="F8" s="16">
        <f>475337+381449</f>
        <v>856786</v>
      </c>
      <c r="G8" s="16">
        <f>475337+381339</f>
        <v>856676</v>
      </c>
      <c r="H8" s="16">
        <v>302517</v>
      </c>
      <c r="I8" s="16">
        <v>302517</v>
      </c>
      <c r="J8" s="16">
        <v>302517</v>
      </c>
    </row>
    <row r="9" spans="1:10" x14ac:dyDescent="0.2">
      <c r="A9" s="16" t="s">
        <v>25</v>
      </c>
      <c r="B9" s="16">
        <f>23234+32023</f>
        <v>55257</v>
      </c>
      <c r="C9" s="16">
        <f>23464+32327</f>
        <v>55791</v>
      </c>
      <c r="D9" s="16">
        <f>23234+32011</f>
        <v>55245</v>
      </c>
      <c r="E9" s="16">
        <f>463482+445921</f>
        <v>909403</v>
      </c>
      <c r="F9" s="16">
        <f>463533+445971</f>
        <v>909504</v>
      </c>
      <c r="G9" s="16">
        <f>463482+442636</f>
        <v>906118</v>
      </c>
      <c r="H9" s="16">
        <v>313924</v>
      </c>
      <c r="I9" s="16">
        <v>314172</v>
      </c>
      <c r="J9" s="16">
        <v>310308</v>
      </c>
    </row>
    <row r="10" spans="1:10" x14ac:dyDescent="0.2">
      <c r="A10" s="16" t="s">
        <v>26</v>
      </c>
      <c r="B10" s="16">
        <f>23234+31980</f>
        <v>55214</v>
      </c>
      <c r="C10" s="16">
        <f>23272+32026</f>
        <v>55298</v>
      </c>
      <c r="D10" s="16">
        <f>23234+31979</f>
        <v>55213</v>
      </c>
      <c r="E10" s="16">
        <f>463482+420011</f>
        <v>883493</v>
      </c>
      <c r="F10" s="16">
        <f>463508+420031</f>
        <v>883539</v>
      </c>
      <c r="G10" s="16">
        <f>463482+418946</f>
        <v>882428</v>
      </c>
      <c r="H10" s="16">
        <v>302532</v>
      </c>
      <c r="I10" s="16">
        <v>302532</v>
      </c>
      <c r="J10" s="16">
        <v>302518</v>
      </c>
    </row>
    <row r="11" spans="1:10" x14ac:dyDescent="0.2">
      <c r="A11" s="16" t="s">
        <v>27</v>
      </c>
      <c r="B11" s="16">
        <f>23234+31976</f>
        <v>55210</v>
      </c>
      <c r="C11" s="16">
        <f>23239+31983</f>
        <v>55222</v>
      </c>
      <c r="D11" s="16">
        <f>23234+31976</f>
        <v>55210</v>
      </c>
      <c r="E11" s="16">
        <f>463482+398668</f>
        <v>862150</v>
      </c>
      <c r="F11" s="16">
        <f>463483+398669</f>
        <v>862152</v>
      </c>
      <c r="G11" s="16">
        <f>463482+398276</f>
        <v>861758</v>
      </c>
      <c r="H11" s="16">
        <v>302513</v>
      </c>
      <c r="I11" s="16">
        <v>302513</v>
      </c>
      <c r="J11" s="16">
        <v>302513</v>
      </c>
    </row>
    <row r="12" spans="1:10" x14ac:dyDescent="0.2">
      <c r="A12" s="16" t="s">
        <v>28</v>
      </c>
      <c r="B12" s="16">
        <f>23234+31976</f>
        <v>55210</v>
      </c>
      <c r="C12" s="16">
        <f>23234+31976</f>
        <v>55210</v>
      </c>
      <c r="D12" s="16">
        <f>23234+31976</f>
        <v>55210</v>
      </c>
      <c r="E12" s="16">
        <f>463482+381442</f>
        <v>844924</v>
      </c>
      <c r="F12" s="16">
        <f>463482+381442</f>
        <v>844924</v>
      </c>
      <c r="G12" s="16">
        <f>463482+381230</f>
        <v>844712</v>
      </c>
      <c r="H12" s="16">
        <v>302513</v>
      </c>
      <c r="I12" s="16">
        <v>302513</v>
      </c>
      <c r="J12" s="16">
        <v>302513</v>
      </c>
    </row>
    <row r="13" spans="1:10" x14ac:dyDescent="0.2">
      <c r="A13" s="16" t="s">
        <v>29</v>
      </c>
      <c r="B13" s="16">
        <f>21142+32024</f>
        <v>53166</v>
      </c>
      <c r="C13" s="16">
        <f>21521+32565</f>
        <v>54086</v>
      </c>
      <c r="D13" s="16">
        <f>21142+32000</f>
        <v>53142</v>
      </c>
      <c r="E13" s="16">
        <f>449851+445944</f>
        <v>895795</v>
      </c>
      <c r="F13" s="16">
        <f>449942+446089</f>
        <v>896031</v>
      </c>
      <c r="G13" s="16">
        <f>449851+438754</f>
        <v>888605</v>
      </c>
      <c r="H13" s="16">
        <v>313855</v>
      </c>
      <c r="I13" s="16">
        <v>314143</v>
      </c>
      <c r="J13" s="16">
        <v>309637</v>
      </c>
    </row>
    <row r="14" spans="1:10" x14ac:dyDescent="0.2">
      <c r="A14" s="16" t="s">
        <v>30</v>
      </c>
      <c r="B14" s="16">
        <f>21142+31987</f>
        <v>53129</v>
      </c>
      <c r="C14" s="16">
        <f>21198+32053</f>
        <v>53251</v>
      </c>
      <c r="D14" s="16">
        <f>21142+31978</f>
        <v>53120</v>
      </c>
      <c r="E14" s="16">
        <f>449851+419949</f>
        <v>869800</v>
      </c>
      <c r="F14" s="16">
        <f>449882+419978</f>
        <v>869860</v>
      </c>
      <c r="G14" s="16">
        <f>449851+417535</f>
        <v>867386</v>
      </c>
      <c r="H14" s="16">
        <v>302532</v>
      </c>
      <c r="I14" s="16">
        <v>302532</v>
      </c>
      <c r="J14" s="16">
        <v>302517</v>
      </c>
    </row>
    <row r="15" spans="1:10" x14ac:dyDescent="0.2">
      <c r="A15" s="16" t="s">
        <v>31</v>
      </c>
      <c r="B15" s="16">
        <f>21142+31976</f>
        <v>53118</v>
      </c>
      <c r="C15" s="16">
        <f>21149+31985</f>
        <v>53134</v>
      </c>
      <c r="D15" s="16">
        <f>21142+31976</f>
        <v>53118</v>
      </c>
      <c r="E15" s="16">
        <f>449851+398638</f>
        <v>848489</v>
      </c>
      <c r="F15" s="16">
        <f>449857+398646</f>
        <v>848503</v>
      </c>
      <c r="G15" s="16">
        <f>449851+397769</f>
        <v>847620</v>
      </c>
      <c r="H15" s="16">
        <v>302513</v>
      </c>
      <c r="I15" s="16">
        <v>302513</v>
      </c>
      <c r="J15" s="16">
        <v>302513</v>
      </c>
    </row>
    <row r="16" spans="1:10" x14ac:dyDescent="0.2">
      <c r="A16" s="16" t="s">
        <v>32</v>
      </c>
      <c r="B16" s="16">
        <f>21142 + 31976</f>
        <v>53118</v>
      </c>
      <c r="C16" s="16">
        <f>21142+31976</f>
        <v>53118</v>
      </c>
      <c r="D16" s="16">
        <f>21142+31976</f>
        <v>53118</v>
      </c>
      <c r="E16" s="16">
        <f>449851+381416</f>
        <v>831267</v>
      </c>
      <c r="F16" s="16">
        <f>449851+381416</f>
        <v>831267</v>
      </c>
      <c r="G16" s="16">
        <f>449851+380997</f>
        <v>830848</v>
      </c>
      <c r="H16" s="16">
        <v>302513</v>
      </c>
      <c r="I16" s="16">
        <v>302513</v>
      </c>
      <c r="J16" s="16">
        <v>302513</v>
      </c>
    </row>
    <row r="17" spans="1:10" x14ac:dyDescent="0.2">
      <c r="A17" s="16" t="s">
        <v>33</v>
      </c>
      <c r="B17" s="16">
        <f>20195+32022</f>
        <v>52217</v>
      </c>
      <c r="C17" s="16">
        <f>20865+33016</f>
        <v>53881</v>
      </c>
      <c r="D17" s="16">
        <f>20195+31992</f>
        <v>52187</v>
      </c>
      <c r="E17" s="16">
        <f>421018+446955</f>
        <v>867973</v>
      </c>
      <c r="F17" s="16">
        <f>422869+451038</f>
        <v>873907</v>
      </c>
      <c r="G17" s="16">
        <f>421018+432639</f>
        <v>853657</v>
      </c>
      <c r="H17" s="16">
        <v>305996</v>
      </c>
      <c r="I17" s="16">
        <v>306305</v>
      </c>
      <c r="J17" s="16">
        <v>292953</v>
      </c>
    </row>
    <row r="18" spans="1:10" x14ac:dyDescent="0.2">
      <c r="A18" s="16" t="s">
        <v>34</v>
      </c>
      <c r="B18" s="16">
        <f>20195+31980</f>
        <v>52175</v>
      </c>
      <c r="C18" s="16">
        <f>20301 + 32123</f>
        <v>52424</v>
      </c>
      <c r="D18" s="16">
        <f>20195+31978</f>
        <v>52173</v>
      </c>
      <c r="E18" s="16">
        <f>421018+419840</f>
        <v>840858</v>
      </c>
      <c r="F18" s="16">
        <f>421273+420340</f>
        <v>841613</v>
      </c>
      <c r="G18" s="16">
        <f>421018+414109</f>
        <v>835127</v>
      </c>
      <c r="H18" s="16">
        <v>292616</v>
      </c>
      <c r="I18" s="16">
        <v>292616</v>
      </c>
      <c r="J18" s="16">
        <v>292599</v>
      </c>
    </row>
    <row r="19" spans="1:10" x14ac:dyDescent="0.2">
      <c r="A19" s="16" t="s">
        <v>35</v>
      </c>
      <c r="B19" s="16">
        <f>20195+31976</f>
        <v>52171</v>
      </c>
      <c r="C19" s="16">
        <f>20205+31990</f>
        <v>52195</v>
      </c>
      <c r="D19" s="16">
        <f>20195+31976</f>
        <v>52171</v>
      </c>
      <c r="E19" s="16">
        <f>421018+398582</f>
        <v>819600</v>
      </c>
      <c r="F19" s="16">
        <f>421062+398641</f>
        <v>819703</v>
      </c>
      <c r="G19" s="16">
        <f>421018+396677</f>
        <v>817695</v>
      </c>
      <c r="H19" s="16">
        <v>292599</v>
      </c>
      <c r="I19" s="16">
        <v>292599</v>
      </c>
      <c r="J19" s="16">
        <v>292599</v>
      </c>
    </row>
    <row r="20" spans="1:10" x14ac:dyDescent="0.2">
      <c r="A20" s="16" t="s">
        <v>36</v>
      </c>
      <c r="B20" s="16">
        <f>20195+31976</f>
        <v>52171</v>
      </c>
      <c r="C20" s="16">
        <f>20195+31976</f>
        <v>52171</v>
      </c>
      <c r="D20" s="16">
        <f>20195 + 31976</f>
        <v>52171</v>
      </c>
      <c r="E20" s="16">
        <f>421018+381363</f>
        <v>802381</v>
      </c>
      <c r="F20" s="16">
        <f>421024+381372</f>
        <v>802396</v>
      </c>
      <c r="G20" s="16">
        <f>421018+380474</f>
        <v>801492</v>
      </c>
      <c r="H20" s="16">
        <v>292599</v>
      </c>
      <c r="I20" s="16">
        <v>292599</v>
      </c>
      <c r="J20" s="16">
        <v>292599</v>
      </c>
    </row>
    <row r="21" spans="1:10" x14ac:dyDescent="0.2">
      <c r="A21" s="1"/>
    </row>
    <row r="22" spans="1:10" x14ac:dyDescent="0.2">
      <c r="A22" s="1"/>
    </row>
    <row r="23" spans="1:10" x14ac:dyDescent="0.2">
      <c r="A23" s="1"/>
    </row>
    <row r="24" spans="1:10" x14ac:dyDescent="0.2">
      <c r="A24" s="1"/>
    </row>
    <row r="25" spans="1:10" x14ac:dyDescent="0.2">
      <c r="B25" s="1"/>
      <c r="C25" s="1"/>
    </row>
    <row r="26" spans="1:10" x14ac:dyDescent="0.2">
      <c r="B26" s="1"/>
      <c r="C26" s="1"/>
    </row>
    <row r="27" spans="1:10" x14ac:dyDescent="0.2">
      <c r="B27" s="1"/>
      <c r="C27" s="1"/>
    </row>
    <row r="28" spans="1:10" x14ac:dyDescent="0.2">
      <c r="B28" s="1"/>
      <c r="C28" s="1"/>
    </row>
    <row r="29" spans="1:10" x14ac:dyDescent="0.2">
      <c r="B29" s="1"/>
      <c r="C29" s="1"/>
    </row>
    <row r="30" spans="1:10" x14ac:dyDescent="0.2">
      <c r="B30" s="1"/>
      <c r="C30" s="1"/>
    </row>
    <row r="31" spans="1:10" x14ac:dyDescent="0.2">
      <c r="B31" s="1"/>
      <c r="C31" s="1"/>
    </row>
    <row r="32" spans="1:10" ht="31" x14ac:dyDescent="0.35">
      <c r="B32" s="4"/>
      <c r="C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</sheetData>
  <mergeCells count="3">
    <mergeCell ref="B3:D3"/>
    <mergeCell ref="E3:G3"/>
    <mergeCell ref="H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workbookViewId="0">
      <selection activeCell="E20" sqref="E20"/>
    </sheetView>
  </sheetViews>
  <sheetFormatPr baseColWidth="10" defaultRowHeight="16" x14ac:dyDescent="0.2"/>
  <cols>
    <col min="1" max="1" width="14.6640625" bestFit="1" customWidth="1"/>
    <col min="7" max="7" width="19.5" bestFit="1" customWidth="1"/>
    <col min="8" max="8" width="15.1640625" bestFit="1" customWidth="1"/>
    <col min="9" max="9" width="13.83203125" bestFit="1" customWidth="1"/>
    <col min="10" max="10" width="15.1640625" bestFit="1" customWidth="1"/>
    <col min="11" max="11" width="11.6640625" bestFit="1" customWidth="1"/>
    <col min="12" max="12" width="19.5" bestFit="1" customWidth="1"/>
  </cols>
  <sheetData>
    <row r="1" spans="1:13" ht="17" thickBot="1" x14ac:dyDescent="0.25">
      <c r="G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</row>
    <row r="2" spans="1:13" ht="17" thickBot="1" x14ac:dyDescent="0.25">
      <c r="A2" s="6"/>
      <c r="B2" s="12" t="s">
        <v>42</v>
      </c>
      <c r="C2" s="11"/>
      <c r="D2" s="13"/>
      <c r="G2">
        <f>LOG(H:H,2)</f>
        <v>10</v>
      </c>
      <c r="H2" s="1">
        <v>1024</v>
      </c>
      <c r="I2" s="1">
        <v>1</v>
      </c>
      <c r="J2" s="1">
        <v>64</v>
      </c>
      <c r="K2" s="1">
        <v>1</v>
      </c>
      <c r="L2" s="1">
        <v>0.114797</v>
      </c>
    </row>
    <row r="3" spans="1:13" ht="17" thickBot="1" x14ac:dyDescent="0.25">
      <c r="A3" s="7" t="s">
        <v>52</v>
      </c>
      <c r="B3" s="8" t="s">
        <v>4</v>
      </c>
      <c r="C3" s="8" t="s">
        <v>5</v>
      </c>
      <c r="D3" s="8" t="s">
        <v>6</v>
      </c>
      <c r="G3">
        <f>LOG(H:H,2)</f>
        <v>10</v>
      </c>
      <c r="H3" s="1">
        <v>1024</v>
      </c>
      <c r="I3" s="1">
        <v>1</v>
      </c>
      <c r="J3" s="1">
        <v>64</v>
      </c>
      <c r="K3" s="1">
        <v>2</v>
      </c>
      <c r="L3" s="1">
        <v>0.14032899999999998</v>
      </c>
    </row>
    <row r="4" spans="1:13" ht="17" thickBot="1" x14ac:dyDescent="0.25">
      <c r="A4" s="9">
        <v>1</v>
      </c>
      <c r="B4" s="10">
        <v>2.6901499999999998E-2</v>
      </c>
      <c r="C4" s="10">
        <v>0.27941300000000002</v>
      </c>
      <c r="D4" s="10">
        <v>0.121798</v>
      </c>
      <c r="G4">
        <f>LOG(H:H,2)</f>
        <v>10</v>
      </c>
      <c r="H4" s="1">
        <v>1024</v>
      </c>
      <c r="I4" s="1">
        <v>1</v>
      </c>
      <c r="J4" s="1">
        <v>64</v>
      </c>
      <c r="K4" s="1">
        <v>4</v>
      </c>
      <c r="L4" s="1">
        <v>0.14682000000000001</v>
      </c>
    </row>
    <row r="5" spans="1:13" ht="17" thickBot="1" x14ac:dyDescent="0.25">
      <c r="A5" s="9">
        <v>2</v>
      </c>
      <c r="B5" s="10">
        <v>1.8190000000000001E-2</v>
      </c>
      <c r="C5" s="10">
        <v>0.27243499999999998</v>
      </c>
      <c r="D5" s="10">
        <v>0.105314</v>
      </c>
      <c r="G5">
        <f>LOG(H:H,2)</f>
        <v>10</v>
      </c>
      <c r="H5" s="1">
        <v>1024</v>
      </c>
      <c r="I5" s="1">
        <v>1</v>
      </c>
      <c r="J5" s="1">
        <v>64</v>
      </c>
      <c r="K5" s="1">
        <v>8</v>
      </c>
      <c r="L5" s="17">
        <v>0.178591</v>
      </c>
    </row>
    <row r="6" spans="1:13" ht="17" thickBot="1" x14ac:dyDescent="0.25">
      <c r="A6" s="9">
        <v>4</v>
      </c>
      <c r="B6" s="10">
        <v>1.6900499999999999E-2</v>
      </c>
      <c r="C6" s="10">
        <v>0.26444499999999999</v>
      </c>
      <c r="D6" s="10">
        <v>0.107721</v>
      </c>
      <c r="G6">
        <f>LOG(H:H,2)</f>
        <v>10</v>
      </c>
      <c r="H6" s="1">
        <v>1024</v>
      </c>
      <c r="I6" s="1">
        <v>1</v>
      </c>
      <c r="J6" s="1">
        <v>64</v>
      </c>
      <c r="K6" s="1" t="s">
        <v>50</v>
      </c>
      <c r="L6" s="1">
        <v>0.15548399999999998</v>
      </c>
    </row>
    <row r="7" spans="1:13" ht="17" thickBot="1" x14ac:dyDescent="0.25">
      <c r="A7" s="9">
        <v>8</v>
      </c>
      <c r="B7" s="10">
        <v>1.6435499999999999E-2</v>
      </c>
      <c r="C7" s="10">
        <v>0.26442399999999999</v>
      </c>
      <c r="D7" s="10">
        <v>0.107721</v>
      </c>
      <c r="G7">
        <f>LOG(H:H,2)</f>
        <v>11</v>
      </c>
      <c r="H7" s="1">
        <v>2048</v>
      </c>
      <c r="I7" s="1">
        <v>2</v>
      </c>
      <c r="J7" s="1">
        <v>64</v>
      </c>
      <c r="K7" s="1">
        <v>1</v>
      </c>
      <c r="L7" s="1">
        <v>0.12909000000000001</v>
      </c>
    </row>
    <row r="8" spans="1:13" x14ac:dyDescent="0.2">
      <c r="G8">
        <f>LOG(H:H,2)</f>
        <v>11</v>
      </c>
      <c r="H8" s="1">
        <v>2048</v>
      </c>
      <c r="I8" s="1">
        <v>2</v>
      </c>
      <c r="J8" s="1">
        <v>64</v>
      </c>
      <c r="K8" s="1">
        <v>2</v>
      </c>
      <c r="L8" s="1">
        <v>0.161691</v>
      </c>
    </row>
    <row r="9" spans="1:13" ht="17" thickBot="1" x14ac:dyDescent="0.25">
      <c r="G9">
        <f>LOG(H:H,2)</f>
        <v>11</v>
      </c>
      <c r="H9" s="1">
        <v>2048</v>
      </c>
      <c r="I9" s="1">
        <v>2</v>
      </c>
      <c r="J9" s="1">
        <v>64</v>
      </c>
      <c r="K9" s="1">
        <v>4</v>
      </c>
      <c r="L9" s="1">
        <v>0.15449599999999999</v>
      </c>
    </row>
    <row r="10" spans="1:13" ht="17" thickBot="1" x14ac:dyDescent="0.25">
      <c r="A10" s="18"/>
      <c r="B10" s="12" t="s">
        <v>51</v>
      </c>
      <c r="C10" s="11"/>
      <c r="D10" s="13"/>
      <c r="G10">
        <f>LOG(H:H,2)</f>
        <v>11</v>
      </c>
      <c r="H10" s="1">
        <v>2048</v>
      </c>
      <c r="I10" s="1">
        <v>2</v>
      </c>
      <c r="J10" s="1">
        <v>64</v>
      </c>
      <c r="K10" s="1">
        <v>8</v>
      </c>
      <c r="L10" s="1">
        <v>0.18068599999999999</v>
      </c>
    </row>
    <row r="11" spans="1:13" ht="17" thickBot="1" x14ac:dyDescent="0.25">
      <c r="A11" s="7"/>
      <c r="B11" s="8" t="s">
        <v>4</v>
      </c>
      <c r="C11" s="8" t="s">
        <v>5</v>
      </c>
      <c r="D11" s="8" t="s">
        <v>6</v>
      </c>
      <c r="G11">
        <f>LOG(H:H,2)</f>
        <v>11</v>
      </c>
      <c r="H11" s="1">
        <v>2048</v>
      </c>
      <c r="I11" s="1">
        <v>2</v>
      </c>
      <c r="J11" s="1">
        <v>64</v>
      </c>
      <c r="K11" s="1" t="s">
        <v>50</v>
      </c>
      <c r="L11" s="1">
        <v>0.17651500000000001</v>
      </c>
    </row>
    <row r="12" spans="1:13" ht="17" thickBot="1" x14ac:dyDescent="0.25">
      <c r="A12" s="19">
        <v>1</v>
      </c>
      <c r="B12" s="10">
        <v>1.0134965</v>
      </c>
      <c r="C12" s="10">
        <v>8.3363300000000002</v>
      </c>
      <c r="D12" s="10">
        <v>3.765495</v>
      </c>
      <c r="G12">
        <f>LOG(H:H,2)</f>
        <v>12</v>
      </c>
      <c r="H12" s="1">
        <v>4096</v>
      </c>
      <c r="I12" s="1">
        <v>4</v>
      </c>
      <c r="J12" s="1">
        <v>64</v>
      </c>
      <c r="K12" s="1">
        <v>1</v>
      </c>
      <c r="L12" s="1">
        <v>0.147005</v>
      </c>
    </row>
    <row r="13" spans="1:13" ht="17" thickBot="1" x14ac:dyDescent="0.25">
      <c r="A13" s="19">
        <v>2</v>
      </c>
      <c r="B13" s="10">
        <v>0.78995599999999999</v>
      </c>
      <c r="C13" s="10">
        <v>8.1630610000000008</v>
      </c>
      <c r="D13" s="10">
        <v>3.3165520000000002</v>
      </c>
      <c r="G13">
        <f>LOG(H:H,2)</f>
        <v>12</v>
      </c>
      <c r="H13" s="1">
        <v>4096</v>
      </c>
      <c r="I13" s="1">
        <v>4</v>
      </c>
      <c r="J13" s="1">
        <v>64</v>
      </c>
      <c r="K13" s="1">
        <v>2</v>
      </c>
      <c r="L13" s="1">
        <v>0.18113099999999999</v>
      </c>
    </row>
    <row r="14" spans="1:13" ht="17" thickBot="1" x14ac:dyDescent="0.25">
      <c r="A14" s="19">
        <v>4</v>
      </c>
      <c r="B14" s="10">
        <v>0.7613645</v>
      </c>
      <c r="C14" s="10">
        <v>7.9401549999999999</v>
      </c>
      <c r="D14" s="10">
        <v>3.395159</v>
      </c>
      <c r="G14">
        <f>LOG(H:H,2)</f>
        <v>12</v>
      </c>
      <c r="H14" s="1">
        <v>4096</v>
      </c>
      <c r="I14" s="1">
        <v>4</v>
      </c>
      <c r="J14" s="1">
        <v>64</v>
      </c>
      <c r="K14" s="1">
        <v>4</v>
      </c>
      <c r="L14" s="1">
        <v>0.18568499999999999</v>
      </c>
    </row>
    <row r="15" spans="1:13" ht="17" thickBot="1" x14ac:dyDescent="0.25">
      <c r="A15" s="19">
        <v>8</v>
      </c>
      <c r="B15" s="10">
        <v>0.7651405</v>
      </c>
      <c r="C15" s="10">
        <v>7.9568070000000004</v>
      </c>
      <c r="D15" s="10">
        <v>3.41242</v>
      </c>
      <c r="G15">
        <f>LOG(H:H,2)</f>
        <v>12</v>
      </c>
      <c r="H15" s="1">
        <v>4096</v>
      </c>
      <c r="I15" s="1">
        <v>4</v>
      </c>
      <c r="J15" s="1">
        <v>64</v>
      </c>
      <c r="K15" s="1">
        <v>8</v>
      </c>
      <c r="L15" s="1">
        <v>0.18906499999999998</v>
      </c>
    </row>
    <row r="16" spans="1:13" x14ac:dyDescent="0.2">
      <c r="G16">
        <f>LOG(H:H,2)</f>
        <v>12</v>
      </c>
      <c r="H16" s="1">
        <v>4096</v>
      </c>
      <c r="I16" s="1">
        <v>4</v>
      </c>
      <c r="J16" s="1">
        <v>64</v>
      </c>
      <c r="K16" s="1" t="s">
        <v>50</v>
      </c>
      <c r="L16" s="1">
        <v>0.182948</v>
      </c>
    </row>
    <row r="17" spans="7:12" x14ac:dyDescent="0.2">
      <c r="G17">
        <f>LOG(H:H,2)</f>
        <v>13</v>
      </c>
      <c r="H17" s="1">
        <v>8192</v>
      </c>
      <c r="I17" s="1">
        <v>8</v>
      </c>
      <c r="J17" s="1">
        <v>64</v>
      </c>
      <c r="K17" s="1">
        <v>1</v>
      </c>
      <c r="L17" s="1">
        <v>0.16383</v>
      </c>
    </row>
    <row r="18" spans="7:12" x14ac:dyDescent="0.2">
      <c r="G18">
        <f>LOG(H:H,2)</f>
        <v>13</v>
      </c>
      <c r="H18" s="1">
        <v>8192</v>
      </c>
      <c r="I18" s="1">
        <v>8</v>
      </c>
      <c r="J18" s="1">
        <v>64</v>
      </c>
      <c r="K18" s="1">
        <v>2</v>
      </c>
      <c r="L18" s="1">
        <v>0.19419499999999998</v>
      </c>
    </row>
    <row r="19" spans="7:12" x14ac:dyDescent="0.2">
      <c r="G19">
        <f>LOG(H:H,2)</f>
        <v>13</v>
      </c>
      <c r="H19" s="1">
        <v>8192</v>
      </c>
      <c r="I19" s="1">
        <v>8</v>
      </c>
      <c r="J19" s="1">
        <v>64</v>
      </c>
      <c r="K19" s="1">
        <v>4</v>
      </c>
      <c r="L19" s="1">
        <v>0.211173</v>
      </c>
    </row>
    <row r="20" spans="7:12" x14ac:dyDescent="0.2">
      <c r="G20">
        <f>LOG(H:H,2)</f>
        <v>13</v>
      </c>
      <c r="H20" s="1">
        <v>8192</v>
      </c>
      <c r="I20" s="1">
        <v>8</v>
      </c>
      <c r="J20" s="1">
        <v>64</v>
      </c>
      <c r="K20" s="1">
        <v>8</v>
      </c>
      <c r="L20" s="1">
        <v>0.21291099999999999</v>
      </c>
    </row>
    <row r="21" spans="7:12" x14ac:dyDescent="0.2">
      <c r="G21">
        <f>LOG(H:H,2)</f>
        <v>13</v>
      </c>
      <c r="H21" s="1">
        <v>8192</v>
      </c>
      <c r="I21" s="1">
        <v>8</v>
      </c>
      <c r="J21" s="1">
        <v>64</v>
      </c>
      <c r="K21" s="1" t="s">
        <v>50</v>
      </c>
      <c r="L21" s="1">
        <v>0.19858099999999998</v>
      </c>
    </row>
    <row r="22" spans="7:12" x14ac:dyDescent="0.2">
      <c r="G22">
        <f>LOG(H:H,2)</f>
        <v>14</v>
      </c>
      <c r="H22" s="1">
        <v>16384</v>
      </c>
      <c r="I22" s="1">
        <v>16</v>
      </c>
      <c r="J22" s="1">
        <v>64</v>
      </c>
      <c r="K22" s="1">
        <v>1</v>
      </c>
      <c r="L22" s="1">
        <v>0.19841699999999998</v>
      </c>
    </row>
    <row r="23" spans="7:12" x14ac:dyDescent="0.2">
      <c r="G23">
        <f>LOG(H:H,2)</f>
        <v>14</v>
      </c>
      <c r="H23" s="1">
        <v>16384</v>
      </c>
      <c r="I23" s="1">
        <v>16</v>
      </c>
      <c r="J23" s="1">
        <v>64</v>
      </c>
      <c r="K23" s="1">
        <v>2</v>
      </c>
      <c r="L23" s="1">
        <v>0.22391699999999998</v>
      </c>
    </row>
    <row r="24" spans="7:12" x14ac:dyDescent="0.2">
      <c r="G24">
        <f>LOG(H:H,2)</f>
        <v>14</v>
      </c>
      <c r="H24" s="1">
        <v>16384</v>
      </c>
      <c r="I24" s="1">
        <v>16</v>
      </c>
      <c r="J24" s="1">
        <v>64</v>
      </c>
      <c r="K24" s="1">
        <v>4</v>
      </c>
      <c r="L24" s="1">
        <v>0.23393599999999998</v>
      </c>
    </row>
    <row r="25" spans="7:12" x14ac:dyDescent="0.2">
      <c r="G25">
        <f>LOG(H:H,2)</f>
        <v>14</v>
      </c>
      <c r="H25" s="1">
        <v>16384</v>
      </c>
      <c r="I25" s="1">
        <v>16</v>
      </c>
      <c r="J25" s="1">
        <v>64</v>
      </c>
      <c r="K25" s="1">
        <v>8</v>
      </c>
      <c r="L25" s="1">
        <v>0.25435399999999997</v>
      </c>
    </row>
    <row r="26" spans="7:12" x14ac:dyDescent="0.2">
      <c r="G26">
        <f>LOG(H:H,2)</f>
        <v>14</v>
      </c>
      <c r="H26" s="1">
        <v>16384</v>
      </c>
      <c r="I26" s="1">
        <v>16</v>
      </c>
      <c r="J26" s="1">
        <v>64</v>
      </c>
      <c r="K26" s="1" t="s">
        <v>50</v>
      </c>
      <c r="L26" s="1">
        <v>0.20560799999999999</v>
      </c>
    </row>
    <row r="27" spans="7:12" x14ac:dyDescent="0.2">
      <c r="G27">
        <f>LOG(H:H,2)</f>
        <v>15</v>
      </c>
      <c r="H27" s="1">
        <v>32768</v>
      </c>
      <c r="I27" s="1">
        <v>32</v>
      </c>
      <c r="J27" s="1">
        <v>64</v>
      </c>
      <c r="K27" s="1">
        <v>1</v>
      </c>
      <c r="L27" s="1">
        <v>0.23335299999999998</v>
      </c>
    </row>
    <row r="28" spans="7:12" x14ac:dyDescent="0.2">
      <c r="G28">
        <f>LOG(H:H,2)</f>
        <v>15</v>
      </c>
      <c r="H28" s="1">
        <v>32768</v>
      </c>
      <c r="I28" s="1">
        <v>32</v>
      </c>
      <c r="J28" s="1">
        <v>64</v>
      </c>
      <c r="K28" s="1">
        <v>2</v>
      </c>
      <c r="L28" s="1">
        <v>0.26244600000000001</v>
      </c>
    </row>
    <row r="29" spans="7:12" x14ac:dyDescent="0.2">
      <c r="G29">
        <f>LOG(H:H,2)</f>
        <v>15</v>
      </c>
      <c r="H29" s="1">
        <v>32768</v>
      </c>
      <c r="I29" s="1">
        <v>32</v>
      </c>
      <c r="J29" s="1">
        <v>64</v>
      </c>
      <c r="K29" s="1">
        <v>4</v>
      </c>
      <c r="L29" s="1">
        <v>0.27125000000000005</v>
      </c>
    </row>
    <row r="30" spans="7:12" x14ac:dyDescent="0.2">
      <c r="G30">
        <f>LOG(H:H,2)</f>
        <v>15</v>
      </c>
      <c r="H30" s="1">
        <v>32768</v>
      </c>
      <c r="I30" s="1">
        <v>32</v>
      </c>
      <c r="J30" s="1">
        <v>64</v>
      </c>
      <c r="K30" s="1">
        <v>8</v>
      </c>
      <c r="L30" s="1">
        <v>0.28851099999999996</v>
      </c>
    </row>
    <row r="31" spans="7:12" x14ac:dyDescent="0.2">
      <c r="G31">
        <f>LOG(H:H,2)</f>
        <v>15</v>
      </c>
      <c r="H31" s="1">
        <v>32768</v>
      </c>
      <c r="I31" s="1">
        <v>32</v>
      </c>
      <c r="J31" s="1">
        <v>64</v>
      </c>
      <c r="K31" s="1" t="s">
        <v>50</v>
      </c>
      <c r="L31" s="1">
        <v>0.22474000000000002</v>
      </c>
    </row>
    <row r="32" spans="7:12" x14ac:dyDescent="0.2">
      <c r="G32">
        <f>LOG(H:H,2)</f>
        <v>16</v>
      </c>
      <c r="H32" s="1">
        <v>65536</v>
      </c>
      <c r="I32" s="1">
        <v>64</v>
      </c>
      <c r="J32" s="1">
        <v>64</v>
      </c>
      <c r="K32" s="1">
        <v>1</v>
      </c>
      <c r="L32" s="1">
        <v>0.29462699999999997</v>
      </c>
    </row>
    <row r="33" spans="7:12" x14ac:dyDescent="0.2">
      <c r="G33">
        <f>LOG(H:H,2)</f>
        <v>16</v>
      </c>
      <c r="H33" s="1">
        <v>65536</v>
      </c>
      <c r="I33" s="1">
        <v>64</v>
      </c>
      <c r="J33" s="1">
        <v>64</v>
      </c>
      <c r="K33" s="1">
        <v>2</v>
      </c>
      <c r="L33" s="1">
        <v>0.30072699999999997</v>
      </c>
    </row>
    <row r="34" spans="7:12" x14ac:dyDescent="0.2">
      <c r="G34">
        <f>LOG(H:H,2)</f>
        <v>16</v>
      </c>
      <c r="H34" s="1">
        <v>65536</v>
      </c>
      <c r="I34" s="1">
        <v>64</v>
      </c>
      <c r="J34" s="1">
        <v>64</v>
      </c>
      <c r="K34" s="1">
        <v>4</v>
      </c>
      <c r="L34" s="1">
        <v>0.31948099999999996</v>
      </c>
    </row>
    <row r="35" spans="7:12" x14ac:dyDescent="0.2">
      <c r="G35">
        <f>LOG(H:H,2)</f>
        <v>16</v>
      </c>
      <c r="H35" s="1">
        <v>65536</v>
      </c>
      <c r="I35" s="1">
        <v>64</v>
      </c>
      <c r="J35" s="1">
        <v>64</v>
      </c>
      <c r="K35" s="1">
        <v>8</v>
      </c>
      <c r="L35" s="1">
        <v>0.34121299999999999</v>
      </c>
    </row>
    <row r="36" spans="7:12" x14ac:dyDescent="0.2">
      <c r="G36">
        <f>LOG(H:H,2)</f>
        <v>16</v>
      </c>
      <c r="H36" s="1">
        <v>65536</v>
      </c>
      <c r="I36" s="1">
        <v>64</v>
      </c>
      <c r="J36" s="1">
        <v>64</v>
      </c>
      <c r="K36" s="1" t="s">
        <v>50</v>
      </c>
      <c r="L36" s="1">
        <v>0.276281</v>
      </c>
    </row>
    <row r="37" spans="7:12" x14ac:dyDescent="0.2">
      <c r="G37">
        <f>LOG(H:H,2)</f>
        <v>17</v>
      </c>
      <c r="H37" s="1">
        <v>131072</v>
      </c>
      <c r="I37" s="1">
        <v>128</v>
      </c>
      <c r="J37" s="1">
        <v>64</v>
      </c>
      <c r="K37" s="1">
        <v>1</v>
      </c>
      <c r="L37" s="1">
        <v>0.36680000000000001</v>
      </c>
    </row>
    <row r="38" spans="7:12" x14ac:dyDescent="0.2">
      <c r="G38">
        <f>LOG(H:H,2)</f>
        <v>17</v>
      </c>
      <c r="H38" s="1">
        <v>131072</v>
      </c>
      <c r="I38" s="1">
        <v>128</v>
      </c>
      <c r="J38" s="1">
        <v>64</v>
      </c>
      <c r="K38" s="1">
        <v>2</v>
      </c>
      <c r="L38" s="1">
        <v>0.37460299999999996</v>
      </c>
    </row>
    <row r="39" spans="7:12" x14ac:dyDescent="0.2">
      <c r="G39">
        <f>LOG(H:H,2)</f>
        <v>17</v>
      </c>
      <c r="H39" s="1">
        <v>131072</v>
      </c>
      <c r="I39" s="1">
        <v>128</v>
      </c>
      <c r="J39" s="1">
        <v>64</v>
      </c>
      <c r="K39" s="1">
        <v>4</v>
      </c>
      <c r="L39" s="1">
        <v>0.38028000000000001</v>
      </c>
    </row>
    <row r="40" spans="7:12" x14ac:dyDescent="0.2">
      <c r="G40">
        <f>LOG(H:H,2)</f>
        <v>17</v>
      </c>
      <c r="H40" s="1">
        <v>131072</v>
      </c>
      <c r="I40" s="1">
        <v>128</v>
      </c>
      <c r="J40" s="1">
        <v>64</v>
      </c>
      <c r="K40" s="1">
        <v>8</v>
      </c>
      <c r="L40" s="1">
        <v>0.40123599999999998</v>
      </c>
    </row>
    <row r="41" spans="7:12" x14ac:dyDescent="0.2">
      <c r="G41">
        <f>LOG(H:H,2)</f>
        <v>17</v>
      </c>
      <c r="H41" s="1">
        <v>131072</v>
      </c>
      <c r="I41" s="1">
        <v>128</v>
      </c>
      <c r="J41" s="1">
        <v>64</v>
      </c>
      <c r="K41" s="1" t="s">
        <v>50</v>
      </c>
      <c r="L41" s="1">
        <v>0.32248599999999999</v>
      </c>
    </row>
    <row r="42" spans="7:12" x14ac:dyDescent="0.2">
      <c r="G42">
        <f>LOG(H:H,2)</f>
        <v>18</v>
      </c>
      <c r="H42" s="1">
        <v>262144</v>
      </c>
      <c r="I42" s="1">
        <v>256</v>
      </c>
      <c r="J42" s="1">
        <v>64</v>
      </c>
      <c r="K42" s="1">
        <v>1</v>
      </c>
      <c r="L42" s="1">
        <v>0.44381199999999998</v>
      </c>
    </row>
    <row r="43" spans="7:12" x14ac:dyDescent="0.2">
      <c r="G43">
        <f>LOG(H:H,2)</f>
        <v>18</v>
      </c>
      <c r="H43" s="1">
        <v>262144</v>
      </c>
      <c r="I43" s="1">
        <v>256</v>
      </c>
      <c r="J43" s="1">
        <v>64</v>
      </c>
      <c r="K43" s="1">
        <v>2</v>
      </c>
      <c r="L43" s="1">
        <v>0.44592899999999996</v>
      </c>
    </row>
    <row r="44" spans="7:12" x14ac:dyDescent="0.2">
      <c r="G44">
        <f>LOG(H:H,2)</f>
        <v>18</v>
      </c>
      <c r="H44" s="1">
        <v>262144</v>
      </c>
      <c r="I44" s="1">
        <v>256</v>
      </c>
      <c r="J44" s="1">
        <v>64</v>
      </c>
      <c r="K44" s="1">
        <v>4</v>
      </c>
      <c r="L44" s="1">
        <v>0.45768499999999995</v>
      </c>
    </row>
    <row r="45" spans="7:12" x14ac:dyDescent="0.2">
      <c r="G45">
        <f>LOG(H:H,2)</f>
        <v>18</v>
      </c>
      <c r="H45" s="1">
        <v>262144</v>
      </c>
      <c r="I45" s="1">
        <v>256</v>
      </c>
      <c r="J45" s="1">
        <v>64</v>
      </c>
      <c r="K45" s="1">
        <v>8</v>
      </c>
      <c r="L45" s="1">
        <v>0.45892499999999997</v>
      </c>
    </row>
    <row r="46" spans="7:12" x14ac:dyDescent="0.2">
      <c r="G46">
        <f>LOG(H:H,2)</f>
        <v>18</v>
      </c>
      <c r="H46" s="1">
        <v>262144</v>
      </c>
      <c r="I46" s="1">
        <v>256</v>
      </c>
      <c r="J46" s="1">
        <v>64</v>
      </c>
      <c r="K46" s="1" t="s">
        <v>50</v>
      </c>
      <c r="L46" s="1">
        <v>0.396009</v>
      </c>
    </row>
    <row r="47" spans="7:12" x14ac:dyDescent="0.2">
      <c r="G47">
        <f>LOG(H:H,2)</f>
        <v>19</v>
      </c>
      <c r="H47" s="1">
        <v>524288</v>
      </c>
      <c r="I47" s="1">
        <v>512</v>
      </c>
      <c r="J47" s="1">
        <v>64</v>
      </c>
      <c r="K47" s="1">
        <v>1</v>
      </c>
      <c r="L47" s="1">
        <v>0.56345099999999992</v>
      </c>
    </row>
    <row r="48" spans="7:12" x14ac:dyDescent="0.2">
      <c r="G48">
        <f>LOG(H:H,2)</f>
        <v>19</v>
      </c>
      <c r="H48" s="1">
        <v>524288</v>
      </c>
      <c r="I48" s="1">
        <v>512</v>
      </c>
      <c r="J48" s="1">
        <v>64</v>
      </c>
      <c r="K48" s="1">
        <v>2</v>
      </c>
      <c r="L48" s="1">
        <v>0.56774400000000003</v>
      </c>
    </row>
    <row r="49" spans="7:12" x14ac:dyDescent="0.2">
      <c r="G49">
        <f>LOG(H:H,2)</f>
        <v>19</v>
      </c>
      <c r="H49" s="1">
        <v>524288</v>
      </c>
      <c r="I49" s="1">
        <v>512</v>
      </c>
      <c r="J49" s="1">
        <v>64</v>
      </c>
      <c r="K49" s="1">
        <v>4</v>
      </c>
      <c r="L49" s="1">
        <v>0.56441799999999998</v>
      </c>
    </row>
    <row r="50" spans="7:12" x14ac:dyDescent="0.2">
      <c r="G50">
        <f>LOG(H:H,2)</f>
        <v>19</v>
      </c>
      <c r="H50" s="1">
        <v>524288</v>
      </c>
      <c r="I50" s="1">
        <v>512</v>
      </c>
      <c r="J50" s="1">
        <v>64</v>
      </c>
      <c r="K50" s="1">
        <v>8</v>
      </c>
      <c r="L50" s="1">
        <v>0.57817699999999994</v>
      </c>
    </row>
    <row r="51" spans="7:12" x14ac:dyDescent="0.2">
      <c r="G51">
        <f>LOG(H:H,2)</f>
        <v>19</v>
      </c>
      <c r="H51" s="1">
        <v>524288</v>
      </c>
      <c r="I51" s="1">
        <v>512</v>
      </c>
      <c r="J51" s="1">
        <v>64</v>
      </c>
      <c r="K51" s="1" t="s">
        <v>50</v>
      </c>
      <c r="L51" s="1">
        <v>0.47572799999999998</v>
      </c>
    </row>
    <row r="52" spans="7:12" x14ac:dyDescent="0.2">
      <c r="G52">
        <f>LOG(H:H,2)</f>
        <v>20</v>
      </c>
      <c r="H52" s="1">
        <v>1048576</v>
      </c>
      <c r="I52" s="1">
        <v>1024</v>
      </c>
      <c r="J52" s="1">
        <v>64</v>
      </c>
      <c r="K52" s="1">
        <v>1</v>
      </c>
      <c r="L52" s="1">
        <v>0.69938000000000011</v>
      </c>
    </row>
    <row r="53" spans="7:12" x14ac:dyDescent="0.2">
      <c r="G53">
        <f>LOG(H:H,2)</f>
        <v>20</v>
      </c>
      <c r="H53" s="1">
        <v>1048576</v>
      </c>
      <c r="I53" s="1">
        <v>1024</v>
      </c>
      <c r="J53" s="1">
        <v>64</v>
      </c>
      <c r="K53" s="1">
        <v>2</v>
      </c>
      <c r="L53" s="1">
        <v>0.70604599999999995</v>
      </c>
    </row>
    <row r="54" spans="7:12" x14ac:dyDescent="0.2">
      <c r="G54">
        <f>LOG(H:H,2)</f>
        <v>20</v>
      </c>
      <c r="H54" s="1">
        <v>1048576</v>
      </c>
      <c r="I54" s="1">
        <v>1024</v>
      </c>
      <c r="J54" s="1">
        <v>64</v>
      </c>
      <c r="K54" s="1">
        <v>4</v>
      </c>
      <c r="L54" s="1">
        <v>0.69960699999999998</v>
      </c>
    </row>
    <row r="55" spans="7:12" x14ac:dyDescent="0.2">
      <c r="G55">
        <f>LOG(H:H,2)</f>
        <v>20</v>
      </c>
      <c r="H55" s="1">
        <v>1048576</v>
      </c>
      <c r="I55" s="1">
        <v>1024</v>
      </c>
      <c r="J55" s="1">
        <v>64</v>
      </c>
      <c r="K55" s="1">
        <v>8</v>
      </c>
      <c r="L55" s="1">
        <v>0.70581899999999997</v>
      </c>
    </row>
    <row r="56" spans="7:12" x14ac:dyDescent="0.2">
      <c r="G56">
        <f>LOG(H:H,2)</f>
        <v>20</v>
      </c>
      <c r="H56" s="1">
        <v>1048576</v>
      </c>
      <c r="I56" s="1">
        <v>1024</v>
      </c>
      <c r="J56" s="1">
        <v>64</v>
      </c>
      <c r="K56" s="1" t="s">
        <v>50</v>
      </c>
      <c r="L56" s="1">
        <v>0.58847399999999994</v>
      </c>
    </row>
  </sheetData>
  <mergeCells count="2">
    <mergeCell ref="B2:D2"/>
    <mergeCell ref="B10:D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2017-03-11T17:41:32Z</dcterms:created>
  <dcterms:modified xsi:type="dcterms:W3CDTF">2017-03-13T08:42:53Z</dcterms:modified>
</cp:coreProperties>
</file>