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omments6.xml" ContentType="application/vnd.openxmlformats-officedocument.spreadsheetml.comments+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pivotTables/pivotTable1.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0.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73"/>
  <workbookPr codeName="ThisWorkbook" showPivotChartFilter="1" defaultThemeVersion="124226"/>
  <mc:AlternateContent xmlns:mc="http://schemas.openxmlformats.org/markup-compatibility/2006">
    <mc:Choice Requires="x15">
      <x15ac:absPath xmlns:x15ac="http://schemas.microsoft.com/office/spreadsheetml/2010/11/ac" url="D:\PhotonUser\Desktop\"/>
    </mc:Choice>
  </mc:AlternateContent>
  <xr:revisionPtr revIDLastSave="0" documentId="8_{25FF7050-F92A-4E8C-866B-2D141EF97E21}" xr6:coauthVersionLast="36" xr6:coauthVersionMax="36" xr10:uidLastSave="{00000000-0000-0000-0000-000000000000}"/>
  <bookViews>
    <workbookView xWindow="0" yWindow="0" windowWidth="13680" windowHeight="5595" firstSheet="15" activeTab="16" xr2:uid="{00000000-000D-0000-FFFF-FFFF0000000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 name="Words" sheetId="8" r:id="rId8"/>
    <sheet name="Word Pairs" sheetId="9" r:id="rId9"/>
    <sheet name="Vertex Content" sheetId="10" r:id="rId10"/>
    <sheet name="Word List" sheetId="11" r:id="rId11"/>
    <sheet name="Group Edges" sheetId="12" r:id="rId12"/>
    <sheet name="Export Options" sheetId="13" r:id="rId13"/>
    <sheet name="Top Items" sheetId="14" r:id="rId14"/>
    <sheet name="Time Series Edges" sheetId="16" state="hidden" r:id="rId15"/>
    <sheet name="Network Top Items" sheetId="15" r:id="rId16"/>
    <sheet name="Time Series" sheetId="17" r:id="rId17"/>
  </sheets>
  <definedNames>
    <definedName name="BinDivisor">'Overall Metrics'!$X$2</definedName>
    <definedName name="DynamicFilterColumnName" localSheetId="14">'Overall Metrics'!#REF!</definedName>
    <definedName name="DynamicFilterColumnName">'Overall Metrics'!#REF!</definedName>
    <definedName name="DynamicFilterForceCalculationRange" localSheetId="14">HistogramBins[[Dynamic Filter Bin]:[Dynamic Filter Frequency]]</definedName>
    <definedName name="DynamicFilterForceCalculationRange">HistogramBins[[Dynamic Filter Bin]:[Dynamic Filter Frequency]]</definedName>
    <definedName name="DynamicFilterSourceColumnRange">'Overall Metrics'!$X$4</definedName>
    <definedName name="DynamicFilterTableName" localSheetId="14">'Overall Metrics'!#REF!</definedName>
    <definedName name="DynamicFilterTableName">'Overall Metrics'!#REF!</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Slicer_Hashtags_in_Tweet">#N/A</definedName>
    <definedName name="Slicer_Relationship">#N/A</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91029"/>
  <pivotCaches>
    <pivotCache cacheId="5" r:id="rId18"/>
  </pivotCaches>
  <extLs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Lst>
</workbook>
</file>

<file path=xl/calcChain.xml><?xml version="1.0" encoding="utf-8"?>
<calcChain xmlns="http://schemas.openxmlformats.org/spreadsheetml/2006/main">
  <c r="BL131" i="16" l="1"/>
  <c r="BK131" i="16"/>
  <c r="AV131" i="16"/>
  <c r="AE131" i="16"/>
  <c r="X131" i="16"/>
  <c r="BL130" i="16"/>
  <c r="BK130" i="16"/>
  <c r="AV130" i="16"/>
  <c r="AE130" i="16"/>
  <c r="BL129" i="16"/>
  <c r="BK129" i="16"/>
  <c r="AV129" i="16"/>
  <c r="AE129" i="16"/>
  <c r="X129" i="16"/>
  <c r="BL128" i="16"/>
  <c r="BK128" i="16"/>
  <c r="AV128" i="16"/>
  <c r="AE128" i="16"/>
  <c r="BL127" i="16"/>
  <c r="BK127" i="16"/>
  <c r="AV127" i="16"/>
  <c r="AE127" i="16"/>
  <c r="BL126" i="16"/>
  <c r="BK126" i="16"/>
  <c r="AV126" i="16"/>
  <c r="AE126" i="16"/>
  <c r="BL125" i="16"/>
  <c r="BK125" i="16"/>
  <c r="AV125" i="16"/>
  <c r="AE125" i="16"/>
  <c r="X125" i="16"/>
  <c r="BL124" i="16"/>
  <c r="BK124" i="16"/>
  <c r="AV124" i="16"/>
  <c r="AE124" i="16"/>
  <c r="X124" i="16"/>
  <c r="BL123" i="16"/>
  <c r="BK123" i="16"/>
  <c r="AV123" i="16"/>
  <c r="AE123" i="16"/>
  <c r="X123" i="16"/>
  <c r="BL122" i="16"/>
  <c r="BK122" i="16"/>
  <c r="AV122" i="16"/>
  <c r="AE122" i="16"/>
  <c r="X122" i="16"/>
  <c r="BL121" i="16"/>
  <c r="BK121" i="16"/>
  <c r="AV121" i="16"/>
  <c r="AE121" i="16"/>
  <c r="X121" i="16"/>
  <c r="BL120" i="16"/>
  <c r="BK120" i="16"/>
  <c r="AV120" i="16"/>
  <c r="AE120" i="16"/>
  <c r="BL119" i="16"/>
  <c r="BK119" i="16"/>
  <c r="AV119" i="16"/>
  <c r="AE119" i="16"/>
  <c r="BL118" i="16"/>
  <c r="BK118" i="16"/>
  <c r="AV118" i="16"/>
  <c r="AE118" i="16"/>
  <c r="BL117" i="16"/>
  <c r="BK117" i="16"/>
  <c r="AV117" i="16"/>
  <c r="AE117" i="16"/>
  <c r="X117" i="16"/>
  <c r="BL116" i="16"/>
  <c r="BK116" i="16"/>
  <c r="AV116" i="16"/>
  <c r="AE116" i="16"/>
  <c r="X116" i="16"/>
  <c r="BL115" i="16"/>
  <c r="BK115" i="16"/>
  <c r="AV115" i="16"/>
  <c r="AE115" i="16"/>
  <c r="X115" i="16"/>
  <c r="BL114" i="16"/>
  <c r="BK114" i="16"/>
  <c r="AV114" i="16"/>
  <c r="AE114" i="16"/>
  <c r="X114" i="16"/>
  <c r="BL113" i="16"/>
  <c r="BK113" i="16"/>
  <c r="AV113" i="16"/>
  <c r="AE113" i="16"/>
  <c r="BL112" i="16"/>
  <c r="BK112" i="16"/>
  <c r="AV112" i="16"/>
  <c r="AE112" i="16"/>
  <c r="BL111" i="16"/>
  <c r="BK111" i="16"/>
  <c r="AV111" i="16"/>
  <c r="AE111" i="16"/>
  <c r="BL110" i="16"/>
  <c r="BK110" i="16"/>
  <c r="AV110" i="16"/>
  <c r="AE110" i="16"/>
  <c r="BL109" i="16"/>
  <c r="BK109" i="16"/>
  <c r="AV109" i="16"/>
  <c r="AE109" i="16"/>
  <c r="BL108" i="16"/>
  <c r="BK108" i="16"/>
  <c r="AV108" i="16"/>
  <c r="AE108" i="16"/>
  <c r="BL107" i="16"/>
  <c r="BK107" i="16"/>
  <c r="AV107" i="16"/>
  <c r="AE107" i="16"/>
  <c r="BL106" i="16"/>
  <c r="BK106" i="16"/>
  <c r="AV106" i="16"/>
  <c r="AE106" i="16"/>
  <c r="BL105" i="16"/>
  <c r="BK105" i="16"/>
  <c r="AV105" i="16"/>
  <c r="AE105" i="16"/>
  <c r="BL104" i="16"/>
  <c r="BK104" i="16"/>
  <c r="AV104" i="16"/>
  <c r="AE104" i="16"/>
  <c r="X104" i="16"/>
  <c r="BL103" i="16"/>
  <c r="BK103" i="16"/>
  <c r="AV103" i="16"/>
  <c r="AE103" i="16"/>
  <c r="X103" i="16"/>
  <c r="BL102" i="16"/>
  <c r="BK102" i="16"/>
  <c r="AV102" i="16"/>
  <c r="AE102" i="16"/>
  <c r="X102" i="16"/>
  <c r="BL101" i="16"/>
  <c r="BK101" i="16"/>
  <c r="AV101" i="16"/>
  <c r="AE101" i="16"/>
  <c r="BL100" i="16"/>
  <c r="BK100" i="16"/>
  <c r="AV100" i="16"/>
  <c r="AE100" i="16"/>
  <c r="BL99" i="16"/>
  <c r="BK99" i="16"/>
  <c r="AV99" i="16"/>
  <c r="AE99" i="16"/>
  <c r="BL98" i="16"/>
  <c r="BK98" i="16"/>
  <c r="AV98" i="16"/>
  <c r="AE98" i="16"/>
  <c r="X98" i="16"/>
  <c r="BL97" i="16"/>
  <c r="BK97" i="16"/>
  <c r="AV97" i="16"/>
  <c r="AE97" i="16"/>
  <c r="X97" i="16"/>
  <c r="BL96" i="16"/>
  <c r="BK96" i="16"/>
  <c r="AV96" i="16"/>
  <c r="AE96" i="16"/>
  <c r="BL95" i="16"/>
  <c r="BK95" i="16"/>
  <c r="AV95" i="16"/>
  <c r="AE95" i="16"/>
  <c r="X95" i="16"/>
  <c r="BL94" i="16"/>
  <c r="BK94" i="16"/>
  <c r="AV94" i="16"/>
  <c r="AE94" i="16"/>
  <c r="BL93" i="16"/>
  <c r="BK93" i="16"/>
  <c r="AV93" i="16"/>
  <c r="AE93" i="16"/>
  <c r="BL92" i="16"/>
  <c r="BK92" i="16"/>
  <c r="AV92" i="16"/>
  <c r="AE92" i="16"/>
  <c r="X92" i="16"/>
  <c r="BL91" i="16"/>
  <c r="BK91" i="16"/>
  <c r="AV91" i="16"/>
  <c r="AE91" i="16"/>
  <c r="BL90" i="16"/>
  <c r="BK90" i="16"/>
  <c r="AV90" i="16"/>
  <c r="AE90" i="16"/>
  <c r="BL89" i="16"/>
  <c r="BK89" i="16"/>
  <c r="AV89" i="16"/>
  <c r="AE89" i="16"/>
  <c r="BL88" i="16"/>
  <c r="BK88" i="16"/>
  <c r="AV88" i="16"/>
  <c r="AE88" i="16"/>
  <c r="BL87" i="16"/>
  <c r="BK87" i="16"/>
  <c r="AV87" i="16"/>
  <c r="AE87" i="16"/>
  <c r="BL86" i="16"/>
  <c r="BK86" i="16"/>
  <c r="AV86" i="16"/>
  <c r="AE86" i="16"/>
  <c r="BL85" i="16"/>
  <c r="BK85" i="16"/>
  <c r="AV85" i="16"/>
  <c r="AE85" i="16"/>
  <c r="BL84" i="16"/>
  <c r="BK84" i="16"/>
  <c r="AV84" i="16"/>
  <c r="AE84" i="16"/>
  <c r="X84" i="16"/>
  <c r="BL83" i="16"/>
  <c r="BK83" i="16"/>
  <c r="AV83" i="16"/>
  <c r="AE83" i="16"/>
  <c r="X83" i="16"/>
  <c r="BL82" i="16"/>
  <c r="BK82" i="16"/>
  <c r="AV82" i="16"/>
  <c r="AE82" i="16"/>
  <c r="X82" i="16"/>
  <c r="BL81" i="16"/>
  <c r="BK81" i="16"/>
  <c r="AV81" i="16"/>
  <c r="AE81" i="16"/>
  <c r="X81" i="16"/>
  <c r="BL80" i="16"/>
  <c r="BK80" i="16"/>
  <c r="AV80" i="16"/>
  <c r="AE80" i="16"/>
  <c r="X80" i="16"/>
  <c r="BL79" i="16"/>
  <c r="BK79" i="16"/>
  <c r="AV79" i="16"/>
  <c r="AE79" i="16"/>
  <c r="BL78" i="16"/>
  <c r="BK78" i="16"/>
  <c r="AV78" i="16"/>
  <c r="AE78" i="16"/>
  <c r="BL77" i="16"/>
  <c r="BK77" i="16"/>
  <c r="AV77" i="16"/>
  <c r="AE77" i="16"/>
  <c r="BL76" i="16"/>
  <c r="BK76" i="16"/>
  <c r="AV76" i="16"/>
  <c r="AE76" i="16"/>
  <c r="X76" i="16"/>
  <c r="BL75" i="16"/>
  <c r="BK75" i="16"/>
  <c r="AV75" i="16"/>
  <c r="AE75" i="16"/>
  <c r="X75" i="16"/>
  <c r="BL74" i="16"/>
  <c r="BK74" i="16"/>
  <c r="AV74" i="16"/>
  <c r="AE74" i="16"/>
  <c r="BL73" i="16"/>
  <c r="BK73" i="16"/>
  <c r="AV73" i="16"/>
  <c r="AE73" i="16"/>
  <c r="BL72" i="16"/>
  <c r="BK72" i="16"/>
  <c r="AV72" i="16"/>
  <c r="AE72" i="16"/>
  <c r="BL71" i="16"/>
  <c r="BK71" i="16"/>
  <c r="AV71" i="16"/>
  <c r="AE71" i="16"/>
  <c r="BL70" i="16"/>
  <c r="BK70" i="16"/>
  <c r="AV70" i="16"/>
  <c r="AE70" i="16"/>
  <c r="BL69" i="16"/>
  <c r="BK69" i="16"/>
  <c r="AV69" i="16"/>
  <c r="AE69" i="16"/>
  <c r="BL68" i="16"/>
  <c r="BK68" i="16"/>
  <c r="AV68" i="16"/>
  <c r="AE68" i="16"/>
  <c r="X68" i="16"/>
  <c r="BL67" i="16"/>
  <c r="BK67" i="16"/>
  <c r="AV67" i="16"/>
  <c r="AE67" i="16"/>
  <c r="X67" i="16"/>
  <c r="BL66" i="16"/>
  <c r="BK66" i="16"/>
  <c r="AV66" i="16"/>
  <c r="AE66" i="16"/>
  <c r="BL65" i="16"/>
  <c r="BK65" i="16"/>
  <c r="AV65" i="16"/>
  <c r="AE65" i="16"/>
  <c r="X65" i="16"/>
  <c r="BL64" i="16"/>
  <c r="BK64" i="16"/>
  <c r="AV64" i="16"/>
  <c r="AE64" i="16"/>
  <c r="BL63" i="16"/>
  <c r="BK63" i="16"/>
  <c r="AV63" i="16"/>
  <c r="AE63" i="16"/>
  <c r="X63" i="16"/>
  <c r="BL62" i="16"/>
  <c r="BK62" i="16"/>
  <c r="AV62" i="16"/>
  <c r="AE62" i="16"/>
  <c r="X62" i="16"/>
  <c r="BL61" i="16"/>
  <c r="BK61" i="16"/>
  <c r="AV61" i="16"/>
  <c r="AE61" i="16"/>
  <c r="X61" i="16"/>
  <c r="BL60" i="16"/>
  <c r="BK60" i="16"/>
  <c r="AV60" i="16"/>
  <c r="AE60" i="16"/>
  <c r="X60" i="16"/>
  <c r="BL59" i="16"/>
  <c r="BK59" i="16"/>
  <c r="AV59" i="16"/>
  <c r="AE59" i="16"/>
  <c r="X59" i="16"/>
  <c r="BL58" i="16"/>
  <c r="BK58" i="16"/>
  <c r="AV58" i="16"/>
  <c r="AE58" i="16"/>
  <c r="BL57" i="16"/>
  <c r="BK57" i="16"/>
  <c r="AV57" i="16"/>
  <c r="AE57" i="16"/>
  <c r="X57" i="16"/>
  <c r="BL56" i="16"/>
  <c r="BK56" i="16"/>
  <c r="AV56" i="16"/>
  <c r="AE56" i="16"/>
  <c r="BL55" i="16"/>
  <c r="BK55" i="16"/>
  <c r="AV55" i="16"/>
  <c r="AE55" i="16"/>
  <c r="X55" i="16"/>
  <c r="BL54" i="16"/>
  <c r="BK54" i="16"/>
  <c r="AV54" i="16"/>
  <c r="AE54" i="16"/>
  <c r="BL53" i="16"/>
  <c r="BK53" i="16"/>
  <c r="AV53" i="16"/>
  <c r="AE53" i="16"/>
  <c r="X53" i="16"/>
  <c r="BL52" i="16"/>
  <c r="BK52" i="16"/>
  <c r="AV52" i="16"/>
  <c r="AE52" i="16"/>
  <c r="BL51" i="16"/>
  <c r="BK51" i="16"/>
  <c r="AV51" i="16"/>
  <c r="AE51" i="16"/>
  <c r="X51" i="16"/>
  <c r="BL50" i="16"/>
  <c r="BK50" i="16"/>
  <c r="AV50" i="16"/>
  <c r="AE50" i="16"/>
  <c r="BL49" i="16"/>
  <c r="BK49" i="16"/>
  <c r="AV49" i="16"/>
  <c r="AE49" i="16"/>
  <c r="X49" i="16"/>
  <c r="BL48" i="16"/>
  <c r="BK48" i="16"/>
  <c r="AV48" i="16"/>
  <c r="AE48" i="16"/>
  <c r="X48" i="16"/>
  <c r="BL47" i="16"/>
  <c r="BK47" i="16"/>
  <c r="AV47" i="16"/>
  <c r="AE47" i="16"/>
  <c r="BL46" i="16"/>
  <c r="BK46" i="16"/>
  <c r="AV46" i="16"/>
  <c r="AE46" i="16"/>
  <c r="BL45" i="16"/>
  <c r="BK45" i="16"/>
  <c r="AV45" i="16"/>
  <c r="AE45" i="16"/>
  <c r="BL44" i="16"/>
  <c r="BK44" i="16"/>
  <c r="AV44" i="16"/>
  <c r="AE44" i="16"/>
  <c r="BL43" i="16"/>
  <c r="BK43" i="16"/>
  <c r="AV43" i="16"/>
  <c r="AE43" i="16"/>
  <c r="BL42" i="16"/>
  <c r="BK42" i="16"/>
  <c r="AV42" i="16"/>
  <c r="AE42" i="16"/>
  <c r="X42" i="16"/>
  <c r="BL41" i="16"/>
  <c r="BK41" i="16"/>
  <c r="AV41" i="16"/>
  <c r="AE41" i="16"/>
  <c r="X41" i="16"/>
  <c r="BL40" i="16"/>
  <c r="BK40" i="16"/>
  <c r="AV40" i="16"/>
  <c r="AE40" i="16"/>
  <c r="X40" i="16"/>
  <c r="BL39" i="16"/>
  <c r="BK39" i="16"/>
  <c r="AV39" i="16"/>
  <c r="AE39" i="16"/>
  <c r="X39" i="16"/>
  <c r="BL38" i="16"/>
  <c r="BK38" i="16"/>
  <c r="AV38" i="16"/>
  <c r="AE38" i="16"/>
  <c r="BL37" i="16"/>
  <c r="BK37" i="16"/>
  <c r="AV37" i="16"/>
  <c r="AE37" i="16"/>
  <c r="BL36" i="16"/>
  <c r="BK36" i="16"/>
  <c r="AV36" i="16"/>
  <c r="AE36" i="16"/>
  <c r="BL35" i="16"/>
  <c r="BK35" i="16"/>
  <c r="AV35" i="16"/>
  <c r="AE35" i="16"/>
  <c r="BL34" i="16"/>
  <c r="BK34" i="16"/>
  <c r="AV34" i="16"/>
  <c r="AE34" i="16"/>
  <c r="BL33" i="16"/>
  <c r="BK33" i="16"/>
  <c r="AV33" i="16"/>
  <c r="AE33" i="16"/>
  <c r="X33" i="16"/>
  <c r="BL32" i="16"/>
  <c r="BK32" i="16"/>
  <c r="AV32" i="16"/>
  <c r="AE32" i="16"/>
  <c r="X32" i="16"/>
  <c r="BL31" i="16"/>
  <c r="BK31" i="16"/>
  <c r="AV31" i="16"/>
  <c r="AE31" i="16"/>
  <c r="BL30" i="16"/>
  <c r="BK30" i="16"/>
  <c r="AV30" i="16"/>
  <c r="AE30" i="16"/>
  <c r="X30" i="16"/>
  <c r="BL29" i="16"/>
  <c r="BK29" i="16"/>
  <c r="AV29" i="16"/>
  <c r="AE29" i="16"/>
  <c r="BL28" i="16"/>
  <c r="BK28" i="16"/>
  <c r="AV28" i="16"/>
  <c r="AE28" i="16"/>
  <c r="X28" i="16"/>
  <c r="BL27" i="16"/>
  <c r="BK27" i="16"/>
  <c r="AV27" i="16"/>
  <c r="AE27" i="16"/>
  <c r="X27" i="16"/>
  <c r="BL26" i="16"/>
  <c r="BK26" i="16"/>
  <c r="AV26" i="16"/>
  <c r="AE26" i="16"/>
  <c r="X26" i="16"/>
  <c r="BL25" i="16"/>
  <c r="BK25" i="16"/>
  <c r="AV25" i="16"/>
  <c r="AE25" i="16"/>
  <c r="BL24" i="16"/>
  <c r="BK24" i="16"/>
  <c r="AV24" i="16"/>
  <c r="AE24" i="16"/>
  <c r="BL23" i="16"/>
  <c r="BK23" i="16"/>
  <c r="AV23" i="16"/>
  <c r="AE23" i="16"/>
  <c r="X23" i="16"/>
  <c r="BL22" i="16"/>
  <c r="BK22" i="16"/>
  <c r="AV22" i="16"/>
  <c r="AE22" i="16"/>
  <c r="BL21" i="16"/>
  <c r="BK21" i="16"/>
  <c r="AV21" i="16"/>
  <c r="AE21" i="16"/>
  <c r="X21" i="16"/>
  <c r="BL20" i="16"/>
  <c r="BK20" i="16"/>
  <c r="AV20" i="16"/>
  <c r="AE20" i="16"/>
  <c r="X20" i="16"/>
  <c r="BL19" i="16"/>
  <c r="BK19" i="16"/>
  <c r="AV19" i="16"/>
  <c r="AE19" i="16"/>
  <c r="BL18" i="16"/>
  <c r="BK18" i="16"/>
  <c r="AV18" i="16"/>
  <c r="AE18" i="16"/>
  <c r="BL17" i="16"/>
  <c r="BK17" i="16"/>
  <c r="AV17" i="16"/>
  <c r="AE17" i="16"/>
  <c r="X17" i="16"/>
  <c r="BL16" i="16"/>
  <c r="BK16" i="16"/>
  <c r="AV16" i="16"/>
  <c r="AE16" i="16"/>
  <c r="BL15" i="16"/>
  <c r="BK15" i="16"/>
  <c r="AV15" i="16"/>
  <c r="AE15" i="16"/>
  <c r="BL14" i="16"/>
  <c r="BK14" i="16"/>
  <c r="AV14" i="16"/>
  <c r="AE14" i="16"/>
  <c r="BL13" i="16"/>
  <c r="BK13" i="16"/>
  <c r="AV13" i="16"/>
  <c r="AE13" i="16"/>
  <c r="BL12" i="16"/>
  <c r="BK12" i="16"/>
  <c r="AV12" i="16"/>
  <c r="AE12" i="16"/>
  <c r="BL11" i="16"/>
  <c r="BK11" i="16"/>
  <c r="AV11" i="16"/>
  <c r="AE11" i="16"/>
  <c r="BL10" i="16"/>
  <c r="BK10" i="16"/>
  <c r="AV10" i="16"/>
  <c r="AE10" i="16"/>
  <c r="BL9" i="16"/>
  <c r="BK9" i="16"/>
  <c r="AV9" i="16"/>
  <c r="AE9" i="16"/>
  <c r="BL8" i="16"/>
  <c r="BK8" i="16"/>
  <c r="AV8" i="16"/>
  <c r="AE8" i="16"/>
  <c r="BL7" i="16"/>
  <c r="BK7" i="16"/>
  <c r="AV7" i="16"/>
  <c r="AE7" i="16"/>
  <c r="X7" i="16"/>
  <c r="BL6" i="16"/>
  <c r="BK6" i="16"/>
  <c r="AV6" i="16"/>
  <c r="AE6" i="16"/>
  <c r="BL5" i="16"/>
  <c r="BK5" i="16"/>
  <c r="AV5" i="16"/>
  <c r="AE5" i="16"/>
  <c r="BL4" i="16"/>
  <c r="BK4" i="16"/>
  <c r="AV4" i="16"/>
  <c r="AE4" i="16"/>
  <c r="BL3" i="16"/>
  <c r="BK3" i="16"/>
  <c r="AV3" i="16"/>
  <c r="AE3" i="16"/>
  <c r="X3" i="16"/>
  <c r="BL3" i="1"/>
  <c r="BL4" i="1"/>
  <c r="BL5" i="1"/>
  <c r="BL6" i="1"/>
  <c r="BL7" i="1"/>
  <c r="BL8" i="1"/>
  <c r="BL9" i="1"/>
  <c r="BL10" i="1"/>
  <c r="BL11" i="1"/>
  <c r="BL12" i="1"/>
  <c r="BL13" i="1"/>
  <c r="BL14" i="1"/>
  <c r="BL15" i="1"/>
  <c r="BL16" i="1"/>
  <c r="BL17" i="1"/>
  <c r="BL18" i="1"/>
  <c r="BL19" i="1"/>
  <c r="BL20" i="1"/>
  <c r="BL21" i="1"/>
  <c r="BL22" i="1"/>
  <c r="BL23" i="1"/>
  <c r="BL24" i="1"/>
  <c r="BL25" i="1"/>
  <c r="BL26" i="1"/>
  <c r="BL27" i="1"/>
  <c r="BL28" i="1"/>
  <c r="BL29" i="1"/>
  <c r="BL30" i="1"/>
  <c r="BL31" i="1"/>
  <c r="BL32" i="1"/>
  <c r="BL33" i="1"/>
  <c r="BL34" i="1"/>
  <c r="BL35" i="1"/>
  <c r="BL36" i="1"/>
  <c r="BL37" i="1"/>
  <c r="BL38" i="1"/>
  <c r="BL39" i="1"/>
  <c r="BL40" i="1"/>
  <c r="BL41" i="1"/>
  <c r="BL42" i="1"/>
  <c r="BL43" i="1"/>
  <c r="BL44" i="1"/>
  <c r="BL45" i="1"/>
  <c r="BL46" i="1"/>
  <c r="BL47" i="1"/>
  <c r="BL48" i="1"/>
  <c r="BL49" i="1"/>
  <c r="BL50" i="1"/>
  <c r="BL51" i="1"/>
  <c r="BL52" i="1"/>
  <c r="BL53" i="1"/>
  <c r="BL54" i="1"/>
  <c r="BL55" i="1"/>
  <c r="BL56" i="1"/>
  <c r="BL57" i="1"/>
  <c r="BL58" i="1"/>
  <c r="BL59" i="1"/>
  <c r="BL60" i="1"/>
  <c r="BL61" i="1"/>
  <c r="BL62" i="1"/>
  <c r="BL63" i="1"/>
  <c r="BL64" i="1"/>
  <c r="BL65" i="1"/>
  <c r="BL66" i="1"/>
  <c r="BL67" i="1"/>
  <c r="BL68" i="1"/>
  <c r="BL69" i="1"/>
  <c r="BL70" i="1"/>
  <c r="BL71" i="1"/>
  <c r="BL72" i="1"/>
  <c r="BL73" i="1"/>
  <c r="BL74" i="1"/>
  <c r="BL75" i="1"/>
  <c r="BL76" i="1"/>
  <c r="BL77" i="1"/>
  <c r="BL78" i="1"/>
  <c r="BL79" i="1"/>
  <c r="BL80" i="1"/>
  <c r="BL81" i="1"/>
  <c r="BL82" i="1"/>
  <c r="BL83" i="1"/>
  <c r="BL84" i="1"/>
  <c r="BL85" i="1"/>
  <c r="BL86" i="1"/>
  <c r="BL87" i="1"/>
  <c r="BL88" i="1"/>
  <c r="BL89" i="1"/>
  <c r="BL90" i="1"/>
  <c r="BL91" i="1"/>
  <c r="BL92" i="1"/>
  <c r="BL93" i="1"/>
  <c r="BL94" i="1"/>
  <c r="BL95" i="1"/>
  <c r="BL96" i="1"/>
  <c r="BL97" i="1"/>
  <c r="BL98" i="1"/>
  <c r="BL99" i="1"/>
  <c r="BL100" i="1"/>
  <c r="BL101" i="1"/>
  <c r="BL102" i="1"/>
  <c r="BL103" i="1"/>
  <c r="BL104" i="1"/>
  <c r="BL105" i="1"/>
  <c r="BL106" i="1"/>
  <c r="BL107" i="1"/>
  <c r="BL108" i="1"/>
  <c r="BL109" i="1"/>
  <c r="BL110" i="1"/>
  <c r="BL111" i="1"/>
  <c r="BL112" i="1"/>
  <c r="BL113" i="1"/>
  <c r="BL114" i="1"/>
  <c r="BL115" i="1"/>
  <c r="BL116" i="1"/>
  <c r="BL117" i="1"/>
  <c r="BL118" i="1"/>
  <c r="BL119" i="1"/>
  <c r="BL120" i="1"/>
  <c r="BL121" i="1"/>
  <c r="BL122" i="1"/>
  <c r="BL123" i="1"/>
  <c r="BL124" i="1"/>
  <c r="BL125" i="1"/>
  <c r="BL126" i="1"/>
  <c r="BL127" i="1"/>
  <c r="BL128" i="1"/>
  <c r="BL129" i="1"/>
  <c r="BL130" i="1"/>
  <c r="BL131" i="1"/>
  <c r="BL132" i="1"/>
  <c r="BL133" i="1"/>
  <c r="BL134" i="1"/>
  <c r="BL135" i="1"/>
  <c r="BL136" i="1"/>
  <c r="BL137" i="1"/>
  <c r="BL138" i="1"/>
  <c r="BL139" i="1"/>
  <c r="BL140" i="1"/>
  <c r="BL141" i="1"/>
  <c r="BL142" i="1"/>
  <c r="BL143" i="1"/>
  <c r="BL144" i="1"/>
  <c r="BL145" i="1"/>
  <c r="BL146" i="1"/>
  <c r="BL147" i="1"/>
  <c r="BL148" i="1"/>
  <c r="BL149" i="1"/>
  <c r="BL150" i="1"/>
  <c r="BL151" i="1"/>
  <c r="BL152" i="1"/>
  <c r="BL153" i="1"/>
  <c r="BL154" i="1"/>
  <c r="BL155" i="1"/>
  <c r="BL156" i="1"/>
  <c r="BL157" i="1"/>
  <c r="BL158" i="1"/>
  <c r="BL159" i="1"/>
  <c r="BL160" i="1"/>
  <c r="BL161" i="1"/>
  <c r="BL162" i="1"/>
  <c r="BL163" i="1"/>
  <c r="BL164" i="1"/>
  <c r="BL165" i="1"/>
  <c r="BL166" i="1"/>
  <c r="BL167" i="1"/>
  <c r="BL168" i="1"/>
  <c r="BL169" i="1"/>
  <c r="BL170" i="1"/>
  <c r="BL171" i="1"/>
  <c r="BL172" i="1"/>
  <c r="BL173" i="1"/>
  <c r="BL174" i="1"/>
  <c r="BL175" i="1"/>
  <c r="BL176" i="1"/>
  <c r="BL177" i="1"/>
  <c r="BL178" i="1"/>
  <c r="BL179" i="1"/>
  <c r="BL180" i="1"/>
  <c r="BL181" i="1"/>
  <c r="BL182" i="1"/>
  <c r="BL183" i="1"/>
  <c r="BL184" i="1"/>
  <c r="BL185" i="1"/>
  <c r="BL186" i="1"/>
  <c r="BL187" i="1"/>
  <c r="BL188" i="1"/>
  <c r="BL189" i="1"/>
  <c r="BL190" i="1"/>
  <c r="BL191" i="1"/>
  <c r="BL192" i="1"/>
  <c r="BL193" i="1"/>
  <c r="BL194" i="1"/>
  <c r="BL195" i="1"/>
  <c r="BL196" i="1"/>
  <c r="BL197" i="1"/>
  <c r="BL198" i="1"/>
  <c r="BL199" i="1"/>
  <c r="BL200" i="1"/>
  <c r="BL201" i="1"/>
  <c r="BL202" i="1"/>
  <c r="BL203" i="1"/>
  <c r="BL204" i="1"/>
  <c r="BL205" i="1"/>
  <c r="BL206" i="1"/>
  <c r="BL207" i="1"/>
  <c r="BL208" i="1"/>
  <c r="BL209" i="1"/>
  <c r="BL210" i="1"/>
  <c r="BL211" i="1"/>
  <c r="BL212" i="1"/>
  <c r="BL213" i="1"/>
  <c r="BL214" i="1"/>
  <c r="BL215" i="1"/>
  <c r="BL216" i="1"/>
  <c r="BL217" i="1"/>
  <c r="BL218" i="1"/>
  <c r="BL219" i="1"/>
  <c r="BL220" i="1"/>
  <c r="BL221" i="1"/>
  <c r="BL222" i="1"/>
  <c r="BL223" i="1"/>
  <c r="BL224" i="1"/>
  <c r="BL225" i="1"/>
  <c r="BL226" i="1"/>
  <c r="BL227" i="1"/>
  <c r="BL228" i="1"/>
  <c r="BL229" i="1"/>
  <c r="BL230" i="1"/>
  <c r="BL231" i="1"/>
  <c r="BL232" i="1"/>
  <c r="BL233" i="1"/>
  <c r="BL234" i="1"/>
  <c r="BL235" i="1"/>
  <c r="BL236" i="1"/>
  <c r="BL237" i="1"/>
  <c r="BL238" i="1"/>
  <c r="BL239" i="1"/>
  <c r="BL240" i="1"/>
  <c r="BL241" i="1"/>
  <c r="BL242" i="1"/>
  <c r="BL243" i="1"/>
  <c r="BL244" i="1"/>
  <c r="BL245" i="1"/>
  <c r="BL246" i="1"/>
  <c r="BL247" i="1"/>
  <c r="BL248" i="1"/>
  <c r="BL249" i="1"/>
  <c r="BL250" i="1"/>
  <c r="BL251" i="1"/>
  <c r="BL252" i="1"/>
  <c r="BL253" i="1"/>
  <c r="BL254" i="1"/>
  <c r="BL255" i="1"/>
  <c r="BL256" i="1"/>
  <c r="BL257" i="1"/>
  <c r="BL258" i="1"/>
  <c r="BL259" i="1"/>
  <c r="BL260" i="1"/>
  <c r="BL261" i="1"/>
  <c r="BL262" i="1"/>
  <c r="BL263" i="1"/>
  <c r="BL264" i="1"/>
  <c r="BL265" i="1"/>
  <c r="BL266" i="1"/>
  <c r="BL267" i="1"/>
  <c r="BL268" i="1"/>
  <c r="BL269" i="1"/>
  <c r="BL270" i="1"/>
  <c r="BL271" i="1"/>
  <c r="BL272" i="1"/>
  <c r="BL273" i="1"/>
  <c r="BL274" i="1"/>
  <c r="BL275" i="1"/>
  <c r="BL276" i="1"/>
  <c r="BL277" i="1"/>
  <c r="BL278" i="1"/>
  <c r="BL279" i="1"/>
  <c r="BL280" i="1"/>
  <c r="BL281" i="1"/>
  <c r="BL282" i="1"/>
  <c r="BL283" i="1"/>
  <c r="BL284" i="1"/>
  <c r="BL285" i="1"/>
  <c r="BL286" i="1"/>
  <c r="BL287" i="1"/>
  <c r="BL288" i="1"/>
  <c r="BL289" i="1"/>
  <c r="BL290" i="1"/>
  <c r="BL291" i="1"/>
  <c r="BL292" i="1"/>
  <c r="BL293" i="1"/>
  <c r="BL294" i="1"/>
  <c r="BL295" i="1"/>
  <c r="BL296" i="1"/>
  <c r="BK3" i="1"/>
  <c r="BK4" i="1"/>
  <c r="BK5" i="1"/>
  <c r="BK6" i="1"/>
  <c r="BK7" i="1"/>
  <c r="BK8" i="1"/>
  <c r="BK9" i="1"/>
  <c r="BK10" i="1"/>
  <c r="BK11" i="1"/>
  <c r="BK12" i="1"/>
  <c r="BK13" i="1"/>
  <c r="BK14" i="1"/>
  <c r="BK15" i="1"/>
  <c r="BK16" i="1"/>
  <c r="BK17" i="1"/>
  <c r="BK18" i="1"/>
  <c r="BK19" i="1"/>
  <c r="BK20" i="1"/>
  <c r="BK21" i="1"/>
  <c r="BK22" i="1"/>
  <c r="BK23" i="1"/>
  <c r="BK24" i="1"/>
  <c r="BK25" i="1"/>
  <c r="BK26" i="1"/>
  <c r="BK27" i="1"/>
  <c r="BK28" i="1"/>
  <c r="BK29" i="1"/>
  <c r="BK30" i="1"/>
  <c r="BK31" i="1"/>
  <c r="BK32" i="1"/>
  <c r="BK33" i="1"/>
  <c r="BK34" i="1"/>
  <c r="BK35" i="1"/>
  <c r="BK36" i="1"/>
  <c r="BK37" i="1"/>
  <c r="BK38" i="1"/>
  <c r="BK39" i="1"/>
  <c r="BK40" i="1"/>
  <c r="BK41" i="1"/>
  <c r="BK42" i="1"/>
  <c r="BK43" i="1"/>
  <c r="BK44" i="1"/>
  <c r="BK45" i="1"/>
  <c r="BK46" i="1"/>
  <c r="BK47" i="1"/>
  <c r="BK48" i="1"/>
  <c r="BK49" i="1"/>
  <c r="BK50" i="1"/>
  <c r="BK51" i="1"/>
  <c r="BK52" i="1"/>
  <c r="BK53" i="1"/>
  <c r="BK54" i="1"/>
  <c r="BK55" i="1"/>
  <c r="BK56" i="1"/>
  <c r="BK57" i="1"/>
  <c r="BK58" i="1"/>
  <c r="BK59" i="1"/>
  <c r="BK60" i="1"/>
  <c r="BK61" i="1"/>
  <c r="BK62" i="1"/>
  <c r="BK63" i="1"/>
  <c r="BK64" i="1"/>
  <c r="BK65" i="1"/>
  <c r="BK66" i="1"/>
  <c r="BK67" i="1"/>
  <c r="BK68" i="1"/>
  <c r="BK69" i="1"/>
  <c r="BK70" i="1"/>
  <c r="BK71" i="1"/>
  <c r="BK72" i="1"/>
  <c r="BK73" i="1"/>
  <c r="BK74" i="1"/>
  <c r="BK75" i="1"/>
  <c r="BK76" i="1"/>
  <c r="BK77" i="1"/>
  <c r="BK78" i="1"/>
  <c r="BK79" i="1"/>
  <c r="BK80" i="1"/>
  <c r="BK81" i="1"/>
  <c r="BK82" i="1"/>
  <c r="BK83" i="1"/>
  <c r="BK84" i="1"/>
  <c r="BK85" i="1"/>
  <c r="BK86" i="1"/>
  <c r="BK87" i="1"/>
  <c r="BK88" i="1"/>
  <c r="BK89" i="1"/>
  <c r="BK90" i="1"/>
  <c r="BK91" i="1"/>
  <c r="BK92" i="1"/>
  <c r="BK93" i="1"/>
  <c r="BK94" i="1"/>
  <c r="BK95" i="1"/>
  <c r="BK96" i="1"/>
  <c r="BK97" i="1"/>
  <c r="BK98" i="1"/>
  <c r="BK99" i="1"/>
  <c r="BK100" i="1"/>
  <c r="BK101" i="1"/>
  <c r="BK102" i="1"/>
  <c r="BK103" i="1"/>
  <c r="BK104" i="1"/>
  <c r="BK105" i="1"/>
  <c r="BK106" i="1"/>
  <c r="BK107" i="1"/>
  <c r="BK108" i="1"/>
  <c r="BK109" i="1"/>
  <c r="BK110" i="1"/>
  <c r="BK111" i="1"/>
  <c r="BK112" i="1"/>
  <c r="BK113" i="1"/>
  <c r="BK114" i="1"/>
  <c r="BK115" i="1"/>
  <c r="BK116" i="1"/>
  <c r="BK117" i="1"/>
  <c r="BK118" i="1"/>
  <c r="BK119" i="1"/>
  <c r="BK120" i="1"/>
  <c r="BK121" i="1"/>
  <c r="BK122" i="1"/>
  <c r="BK123" i="1"/>
  <c r="BK124" i="1"/>
  <c r="BK125" i="1"/>
  <c r="BK126" i="1"/>
  <c r="BK127" i="1"/>
  <c r="BK128" i="1"/>
  <c r="BK129" i="1"/>
  <c r="BK130" i="1"/>
  <c r="BK131" i="1"/>
  <c r="BK132" i="1"/>
  <c r="BK133" i="1"/>
  <c r="BK134" i="1"/>
  <c r="BK135" i="1"/>
  <c r="BK136" i="1"/>
  <c r="BK137" i="1"/>
  <c r="BK138" i="1"/>
  <c r="BK139" i="1"/>
  <c r="BK140" i="1"/>
  <c r="BK141" i="1"/>
  <c r="BK142" i="1"/>
  <c r="BK143" i="1"/>
  <c r="BK144" i="1"/>
  <c r="BK145" i="1"/>
  <c r="BK146" i="1"/>
  <c r="BK147" i="1"/>
  <c r="BK148" i="1"/>
  <c r="BK149" i="1"/>
  <c r="BK150" i="1"/>
  <c r="BK151" i="1"/>
  <c r="BK152" i="1"/>
  <c r="BK153" i="1"/>
  <c r="BK154" i="1"/>
  <c r="BK155" i="1"/>
  <c r="BK156" i="1"/>
  <c r="BK157" i="1"/>
  <c r="BK158" i="1"/>
  <c r="BK159" i="1"/>
  <c r="BK160" i="1"/>
  <c r="BK161" i="1"/>
  <c r="BK162" i="1"/>
  <c r="BK163" i="1"/>
  <c r="BK164" i="1"/>
  <c r="BK165" i="1"/>
  <c r="BK166" i="1"/>
  <c r="BK167" i="1"/>
  <c r="BK168" i="1"/>
  <c r="BK169" i="1"/>
  <c r="BK170" i="1"/>
  <c r="BK171" i="1"/>
  <c r="BK172" i="1"/>
  <c r="BK173" i="1"/>
  <c r="BK174" i="1"/>
  <c r="BK175" i="1"/>
  <c r="BK176" i="1"/>
  <c r="BK177" i="1"/>
  <c r="BK178" i="1"/>
  <c r="BK179" i="1"/>
  <c r="BK180" i="1"/>
  <c r="BK181" i="1"/>
  <c r="BK182" i="1"/>
  <c r="BK183" i="1"/>
  <c r="BK184" i="1"/>
  <c r="BK185" i="1"/>
  <c r="BK186" i="1"/>
  <c r="BK187" i="1"/>
  <c r="BK188" i="1"/>
  <c r="BK189" i="1"/>
  <c r="BK190" i="1"/>
  <c r="BK191" i="1"/>
  <c r="BK192" i="1"/>
  <c r="BK193" i="1"/>
  <c r="BK194" i="1"/>
  <c r="BK195" i="1"/>
  <c r="BK196" i="1"/>
  <c r="BK197" i="1"/>
  <c r="BK198" i="1"/>
  <c r="BK199" i="1"/>
  <c r="BK200" i="1"/>
  <c r="BK201" i="1"/>
  <c r="BK202" i="1"/>
  <c r="BK203" i="1"/>
  <c r="BK204" i="1"/>
  <c r="BK205" i="1"/>
  <c r="BK206" i="1"/>
  <c r="BK207" i="1"/>
  <c r="BK208" i="1"/>
  <c r="BK209" i="1"/>
  <c r="BK210" i="1"/>
  <c r="BK211" i="1"/>
  <c r="BK212" i="1"/>
  <c r="BK213" i="1"/>
  <c r="BK214" i="1"/>
  <c r="BK215" i="1"/>
  <c r="BK216" i="1"/>
  <c r="BK217" i="1"/>
  <c r="BK218" i="1"/>
  <c r="BK219" i="1"/>
  <c r="BK220" i="1"/>
  <c r="BK221" i="1"/>
  <c r="BK222" i="1"/>
  <c r="BK223" i="1"/>
  <c r="BK224" i="1"/>
  <c r="BK225" i="1"/>
  <c r="BK226" i="1"/>
  <c r="BK227" i="1"/>
  <c r="BK228" i="1"/>
  <c r="BK229" i="1"/>
  <c r="BK230" i="1"/>
  <c r="BK231" i="1"/>
  <c r="BK232" i="1"/>
  <c r="BK233" i="1"/>
  <c r="BK234" i="1"/>
  <c r="BK235" i="1"/>
  <c r="BK236" i="1"/>
  <c r="BK237" i="1"/>
  <c r="BK238" i="1"/>
  <c r="BK239" i="1"/>
  <c r="BK240" i="1"/>
  <c r="BK241" i="1"/>
  <c r="BK242" i="1"/>
  <c r="BK243" i="1"/>
  <c r="BK244" i="1"/>
  <c r="BK245" i="1"/>
  <c r="BK246" i="1"/>
  <c r="BK247" i="1"/>
  <c r="BK248" i="1"/>
  <c r="BK249" i="1"/>
  <c r="BK250" i="1"/>
  <c r="BK251" i="1"/>
  <c r="BK252" i="1"/>
  <c r="BK253" i="1"/>
  <c r="BK254" i="1"/>
  <c r="BK255" i="1"/>
  <c r="BK256" i="1"/>
  <c r="BK257" i="1"/>
  <c r="BK258" i="1"/>
  <c r="BK259" i="1"/>
  <c r="BK260" i="1"/>
  <c r="BK261" i="1"/>
  <c r="BK262" i="1"/>
  <c r="BK263" i="1"/>
  <c r="BK264" i="1"/>
  <c r="BK265" i="1"/>
  <c r="BK266" i="1"/>
  <c r="BK267" i="1"/>
  <c r="BK268" i="1"/>
  <c r="BK269" i="1"/>
  <c r="BK270" i="1"/>
  <c r="BK271" i="1"/>
  <c r="BK272" i="1"/>
  <c r="BK273" i="1"/>
  <c r="BK274" i="1"/>
  <c r="BK275" i="1"/>
  <c r="BK276" i="1"/>
  <c r="BK277" i="1"/>
  <c r="BK278" i="1"/>
  <c r="BK279" i="1"/>
  <c r="BK280" i="1"/>
  <c r="BK281" i="1"/>
  <c r="BK282" i="1"/>
  <c r="BK283" i="1"/>
  <c r="BK284" i="1"/>
  <c r="BK285" i="1"/>
  <c r="BK286" i="1"/>
  <c r="BK287" i="1"/>
  <c r="BK288" i="1"/>
  <c r="BK289" i="1"/>
  <c r="BK290" i="1"/>
  <c r="BK291" i="1"/>
  <c r="BK292" i="1"/>
  <c r="BK293" i="1"/>
  <c r="BK294" i="1"/>
  <c r="BK295" i="1"/>
  <c r="BK296" i="1"/>
  <c r="BP3" i="3"/>
  <c r="BP4" i="3"/>
  <c r="BP5" i="3"/>
  <c r="BP6" i="3"/>
  <c r="BP7" i="3"/>
  <c r="BP8" i="3"/>
  <c r="BP9" i="3"/>
  <c r="BP10" i="3"/>
  <c r="BP11" i="3"/>
  <c r="BP12" i="3"/>
  <c r="BP13" i="3"/>
  <c r="BP14" i="3"/>
  <c r="BP15" i="3"/>
  <c r="BP16" i="3"/>
  <c r="BP17" i="3"/>
  <c r="BP18" i="3"/>
  <c r="BP19" i="3"/>
  <c r="BP20" i="3"/>
  <c r="BP21" i="3"/>
  <c r="BP22" i="3"/>
  <c r="BP23" i="3"/>
  <c r="BP24" i="3"/>
  <c r="BP25" i="3"/>
  <c r="BP26" i="3"/>
  <c r="BP27" i="3"/>
  <c r="BP28" i="3"/>
  <c r="BP29" i="3"/>
  <c r="BP30" i="3"/>
  <c r="BP31" i="3"/>
  <c r="BP32" i="3"/>
  <c r="BP33" i="3"/>
  <c r="BP34" i="3"/>
  <c r="BP35" i="3"/>
  <c r="BP36" i="3"/>
  <c r="BP37" i="3"/>
  <c r="BP38" i="3"/>
  <c r="BP39" i="3"/>
  <c r="BP40" i="3"/>
  <c r="BP41" i="3"/>
  <c r="BP42" i="3"/>
  <c r="BP43" i="3"/>
  <c r="BP44" i="3"/>
  <c r="BP45" i="3"/>
  <c r="BP46" i="3"/>
  <c r="BP47" i="3"/>
  <c r="BP48" i="3"/>
  <c r="BP49" i="3"/>
  <c r="BP50" i="3"/>
  <c r="BP51" i="3"/>
  <c r="BP52" i="3"/>
  <c r="BP53" i="3"/>
  <c r="BP54" i="3"/>
  <c r="BP55" i="3"/>
  <c r="BP56" i="3"/>
  <c r="BP57" i="3"/>
  <c r="BP58" i="3"/>
  <c r="BP59" i="3"/>
  <c r="BP60" i="3"/>
  <c r="BP61" i="3"/>
  <c r="BP62" i="3"/>
  <c r="BP63" i="3"/>
  <c r="BP64" i="3"/>
  <c r="BP65" i="3"/>
  <c r="BP66" i="3"/>
  <c r="BP67" i="3"/>
  <c r="BP68" i="3"/>
  <c r="BP69" i="3"/>
  <c r="BP70" i="3"/>
  <c r="BP71" i="3"/>
  <c r="BP72" i="3"/>
  <c r="BP73" i="3"/>
  <c r="BP74" i="3"/>
  <c r="BP75" i="3"/>
  <c r="BP76" i="3"/>
  <c r="BP77" i="3"/>
  <c r="BP78" i="3"/>
  <c r="BP79" i="3"/>
  <c r="BP80" i="3"/>
  <c r="BP81" i="3"/>
  <c r="BP82" i="3"/>
  <c r="BP83" i="3"/>
  <c r="BP84" i="3"/>
  <c r="BP85" i="3"/>
  <c r="BP86" i="3"/>
  <c r="BP87" i="3"/>
  <c r="BP88" i="3"/>
  <c r="BP89" i="3"/>
  <c r="BP90" i="3"/>
  <c r="BP91" i="3"/>
  <c r="BP92" i="3"/>
  <c r="BP93" i="3"/>
  <c r="BP94" i="3"/>
  <c r="BP95" i="3"/>
  <c r="BP96" i="3"/>
  <c r="BP97" i="3"/>
  <c r="BP98" i="3"/>
  <c r="BP99" i="3"/>
  <c r="BP100" i="3"/>
  <c r="BP101" i="3"/>
  <c r="BP102" i="3"/>
  <c r="BP103" i="3"/>
  <c r="BP104" i="3"/>
  <c r="BP105" i="3"/>
  <c r="BP106" i="3"/>
  <c r="BP107" i="3"/>
  <c r="BP108" i="3"/>
  <c r="BP109" i="3"/>
  <c r="BP110" i="3"/>
  <c r="BP111" i="3"/>
  <c r="BP112" i="3"/>
  <c r="BP113" i="3"/>
  <c r="BP114" i="3"/>
  <c r="BP115" i="3"/>
  <c r="BP116" i="3"/>
  <c r="BP117" i="3"/>
  <c r="BP118" i="3"/>
  <c r="BP119" i="3"/>
  <c r="BP120" i="3"/>
  <c r="BP121" i="3"/>
  <c r="BP122" i="3"/>
  <c r="BP123" i="3"/>
  <c r="BP124" i="3"/>
  <c r="BP125" i="3"/>
  <c r="BP126" i="3"/>
  <c r="C2" i="6"/>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BO3" i="3"/>
  <c r="BO4" i="3"/>
  <c r="BO5" i="3"/>
  <c r="BO6" i="3"/>
  <c r="BO7" i="3"/>
  <c r="BO8" i="3"/>
  <c r="BO9" i="3"/>
  <c r="BO10" i="3"/>
  <c r="BO11" i="3"/>
  <c r="BO12" i="3"/>
  <c r="BO13" i="3"/>
  <c r="BO14" i="3"/>
  <c r="BO15" i="3"/>
  <c r="BO16" i="3"/>
  <c r="BO17" i="3"/>
  <c r="BO18" i="3"/>
  <c r="BO19" i="3"/>
  <c r="BO20" i="3"/>
  <c r="BO21" i="3"/>
  <c r="BO22" i="3"/>
  <c r="BO23" i="3"/>
  <c r="BO24" i="3"/>
  <c r="BO25" i="3"/>
  <c r="BO26" i="3"/>
  <c r="BO27" i="3"/>
  <c r="BO28" i="3"/>
  <c r="BO29" i="3"/>
  <c r="BO30" i="3"/>
  <c r="BO31" i="3"/>
  <c r="BO32" i="3"/>
  <c r="BO33" i="3"/>
  <c r="BO34" i="3"/>
  <c r="BO35" i="3"/>
  <c r="BO36" i="3"/>
  <c r="BO37" i="3"/>
  <c r="BO38" i="3"/>
  <c r="BO39" i="3"/>
  <c r="BO40" i="3"/>
  <c r="BO41" i="3"/>
  <c r="BO42" i="3"/>
  <c r="BO43" i="3"/>
  <c r="BO44" i="3"/>
  <c r="BO45" i="3"/>
  <c r="BO46" i="3"/>
  <c r="BO47" i="3"/>
  <c r="BO48" i="3"/>
  <c r="BO49" i="3"/>
  <c r="BO50" i="3"/>
  <c r="BO51" i="3"/>
  <c r="BO52" i="3"/>
  <c r="BO53" i="3"/>
  <c r="BO54" i="3"/>
  <c r="BO55" i="3"/>
  <c r="BO56" i="3"/>
  <c r="BO57" i="3"/>
  <c r="BO58" i="3"/>
  <c r="BO59" i="3"/>
  <c r="BO60" i="3"/>
  <c r="BO61" i="3"/>
  <c r="BO62" i="3"/>
  <c r="BO63" i="3"/>
  <c r="BO64" i="3"/>
  <c r="BO65" i="3"/>
  <c r="BO66" i="3"/>
  <c r="BO67" i="3"/>
  <c r="BO68" i="3"/>
  <c r="BO69" i="3"/>
  <c r="BO70" i="3"/>
  <c r="BO71" i="3"/>
  <c r="BO72" i="3"/>
  <c r="BO73" i="3"/>
  <c r="BO74" i="3"/>
  <c r="BO75" i="3"/>
  <c r="BO76" i="3"/>
  <c r="BO77" i="3"/>
  <c r="BO78" i="3"/>
  <c r="BO79" i="3"/>
  <c r="BO80" i="3"/>
  <c r="BO81" i="3"/>
  <c r="BO82" i="3"/>
  <c r="BO83" i="3"/>
  <c r="BO84" i="3"/>
  <c r="BO85" i="3"/>
  <c r="BO86" i="3"/>
  <c r="BO87" i="3"/>
  <c r="BO88" i="3"/>
  <c r="BO89" i="3"/>
  <c r="BO90" i="3"/>
  <c r="BO91" i="3"/>
  <c r="BO92" i="3"/>
  <c r="BO93" i="3"/>
  <c r="BO94" i="3"/>
  <c r="BO95" i="3"/>
  <c r="BO96" i="3"/>
  <c r="BO97" i="3"/>
  <c r="BO98" i="3"/>
  <c r="BO99" i="3"/>
  <c r="BO100" i="3"/>
  <c r="BO101" i="3"/>
  <c r="BO102" i="3"/>
  <c r="BO103" i="3"/>
  <c r="BO104" i="3"/>
  <c r="BO105" i="3"/>
  <c r="BO106" i="3"/>
  <c r="BO107" i="3"/>
  <c r="BO108" i="3"/>
  <c r="BO109" i="3"/>
  <c r="BO110" i="3"/>
  <c r="BO111" i="3"/>
  <c r="BO112" i="3"/>
  <c r="BO113" i="3"/>
  <c r="BO114" i="3"/>
  <c r="BO115" i="3"/>
  <c r="BO116" i="3"/>
  <c r="BO117" i="3"/>
  <c r="BO118" i="3"/>
  <c r="BO119" i="3"/>
  <c r="BO120" i="3"/>
  <c r="BO121" i="3"/>
  <c r="BO122" i="3"/>
  <c r="BO123" i="3"/>
  <c r="BO124" i="3"/>
  <c r="BO125" i="3"/>
  <c r="BO126"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BH3" i="3"/>
  <c r="BH4" i="3"/>
  <c r="BH6" i="3"/>
  <c r="BH7" i="3"/>
  <c r="BH8" i="3"/>
  <c r="BH9" i="3"/>
  <c r="BH10" i="3"/>
  <c r="BH12" i="3"/>
  <c r="BH13" i="3"/>
  <c r="BH15" i="3"/>
  <c r="BH16" i="3"/>
  <c r="BH17" i="3"/>
  <c r="BH18" i="3"/>
  <c r="BH19" i="3"/>
  <c r="BH20" i="3"/>
  <c r="BH21" i="3"/>
  <c r="BH22" i="3"/>
  <c r="BH24" i="3"/>
  <c r="BH25" i="3"/>
  <c r="BH27" i="3"/>
  <c r="BH28" i="3"/>
  <c r="BH29" i="3"/>
  <c r="BH32" i="3"/>
  <c r="BH33" i="3"/>
  <c r="BH34" i="3"/>
  <c r="BH35" i="3"/>
  <c r="BH36" i="3"/>
  <c r="BH37" i="3"/>
  <c r="BH38" i="3"/>
  <c r="BH39" i="3"/>
  <c r="BH40" i="3"/>
  <c r="BH41" i="3"/>
  <c r="BH42" i="3"/>
  <c r="BH43" i="3"/>
  <c r="BH44" i="3"/>
  <c r="BH45" i="3"/>
  <c r="BH46" i="3"/>
  <c r="BH47" i="3"/>
  <c r="BH48" i="3"/>
  <c r="BH49" i="3"/>
  <c r="BH50" i="3"/>
  <c r="BH51" i="3"/>
  <c r="BH52" i="3"/>
  <c r="BH54" i="3"/>
  <c r="BH55" i="3"/>
  <c r="BH56" i="3"/>
  <c r="BH57" i="3"/>
  <c r="BH58" i="3"/>
  <c r="BH61" i="3"/>
  <c r="BH62" i="3"/>
  <c r="BH63" i="3"/>
  <c r="BH65" i="3"/>
  <c r="BH66" i="3"/>
  <c r="BH68" i="3"/>
  <c r="BH69" i="3"/>
  <c r="BH70" i="3"/>
  <c r="BH71" i="3"/>
  <c r="BH72" i="3"/>
  <c r="BH73" i="3"/>
  <c r="BH75" i="3"/>
  <c r="BH76" i="3"/>
  <c r="BH77" i="3"/>
  <c r="BH78" i="3"/>
  <c r="BH79" i="3"/>
  <c r="BH80" i="3"/>
  <c r="BH81" i="3"/>
  <c r="BH82" i="3"/>
  <c r="BH84" i="3"/>
  <c r="BH86" i="3"/>
  <c r="BH87" i="3"/>
  <c r="BH89" i="3"/>
  <c r="BH90" i="3"/>
  <c r="BH92" i="3"/>
  <c r="BH93" i="3"/>
  <c r="BH94" i="3"/>
  <c r="BH95" i="3"/>
  <c r="BH96" i="3"/>
  <c r="BH98" i="3"/>
  <c r="BH99" i="3"/>
  <c r="BH100" i="3"/>
  <c r="BH101" i="3"/>
  <c r="BH102" i="3"/>
  <c r="BH103" i="3"/>
  <c r="BH104" i="3"/>
  <c r="BH105" i="3"/>
  <c r="BH106" i="3"/>
  <c r="BH107" i="3"/>
  <c r="BH108" i="3"/>
  <c r="BH109" i="3"/>
  <c r="BH110" i="3"/>
  <c r="BH111" i="3"/>
  <c r="BH112" i="3"/>
  <c r="BH113" i="3"/>
  <c r="BH114" i="3"/>
  <c r="BH115" i="3"/>
  <c r="BH116" i="3"/>
  <c r="BH117" i="3"/>
  <c r="BH118" i="3"/>
  <c r="BH119" i="3"/>
  <c r="BH120" i="3"/>
  <c r="BH121" i="3"/>
  <c r="BH122" i="3"/>
  <c r="BH123" i="3"/>
  <c r="BH124" i="3"/>
  <c r="BH125" i="3"/>
  <c r="BH126" i="3"/>
  <c r="AW3" i="3"/>
  <c r="AW4" i="3"/>
  <c r="AW6" i="3"/>
  <c r="AW7" i="3"/>
  <c r="AW8" i="3"/>
  <c r="AW9" i="3"/>
  <c r="AW10" i="3"/>
  <c r="AW11" i="3"/>
  <c r="AW12" i="3"/>
  <c r="AW13" i="3"/>
  <c r="AW17" i="3"/>
  <c r="AW18" i="3"/>
  <c r="AW19" i="3"/>
  <c r="AW20" i="3"/>
  <c r="AW21" i="3"/>
  <c r="AW22" i="3"/>
  <c r="AW23" i="3"/>
  <c r="AW24" i="3"/>
  <c r="AW25" i="3"/>
  <c r="AW26" i="3"/>
  <c r="AW28" i="3"/>
  <c r="AW29" i="3"/>
  <c r="AW32" i="3"/>
  <c r="AW33" i="3"/>
  <c r="AW34" i="3"/>
  <c r="AW35" i="3"/>
  <c r="AW37" i="3"/>
  <c r="AW40" i="3"/>
  <c r="AW41" i="3"/>
  <c r="AW43" i="3"/>
  <c r="AW44" i="3"/>
  <c r="AW45" i="3"/>
  <c r="AW46" i="3"/>
  <c r="AW47" i="3"/>
  <c r="AW48" i="3"/>
  <c r="AW49" i="3"/>
  <c r="AW50" i="3"/>
  <c r="AW52" i="3"/>
  <c r="AW54" i="3"/>
  <c r="AW55" i="3"/>
  <c r="AW56" i="3"/>
  <c r="AW58" i="3"/>
  <c r="AW61" i="3"/>
  <c r="AW62" i="3"/>
  <c r="AW63" i="3"/>
  <c r="AW65" i="3"/>
  <c r="AW66" i="3"/>
  <c r="AW68" i="3"/>
  <c r="AW69" i="3"/>
  <c r="AW70" i="3"/>
  <c r="AW71" i="3"/>
  <c r="AW72" i="3"/>
  <c r="AW73" i="3"/>
  <c r="AW74" i="3"/>
  <c r="AW75" i="3"/>
  <c r="AW76" i="3"/>
  <c r="AW77" i="3"/>
  <c r="AW78" i="3"/>
  <c r="AW79" i="3"/>
  <c r="AW80" i="3"/>
  <c r="AW81" i="3"/>
  <c r="AW82" i="3"/>
  <c r="AW83" i="3"/>
  <c r="AW84" i="3"/>
  <c r="AW86" i="3"/>
  <c r="AW87" i="3"/>
  <c r="AW88" i="3"/>
  <c r="AW89" i="3"/>
  <c r="AW90" i="3"/>
  <c r="AW92" i="3"/>
  <c r="AW94" i="3"/>
  <c r="AW95" i="3"/>
  <c r="AW96" i="3"/>
  <c r="AW97" i="3"/>
  <c r="AW99" i="3"/>
  <c r="AW102" i="3"/>
  <c r="AW103" i="3"/>
  <c r="AW104" i="3"/>
  <c r="AW105" i="3"/>
  <c r="AW106" i="3"/>
  <c r="AW107" i="3"/>
  <c r="AW109" i="3"/>
  <c r="AW111" i="3"/>
  <c r="AW113" i="3"/>
  <c r="AW114" i="3"/>
  <c r="AW115" i="3"/>
  <c r="AW116" i="3"/>
  <c r="AW117" i="3"/>
  <c r="AW118" i="3"/>
  <c r="AW119" i="3"/>
  <c r="AW120" i="3"/>
  <c r="AW122" i="3"/>
  <c r="AW125" i="3"/>
  <c r="AW126" i="3"/>
  <c r="AT29" i="3"/>
  <c r="AT30" i="3"/>
  <c r="AT36" i="3"/>
  <c r="AT48" i="3"/>
  <c r="AT52" i="3"/>
  <c r="AT67" i="3"/>
  <c r="AT72" i="3"/>
  <c r="AT90" i="3"/>
  <c r="AT94" i="3"/>
  <c r="AT97" i="3"/>
  <c r="AT107" i="3"/>
  <c r="AS29" i="3"/>
  <c r="AS30" i="3"/>
  <c r="AS36" i="3"/>
  <c r="AS48" i="3"/>
  <c r="AS52" i="3"/>
  <c r="AS67" i="3"/>
  <c r="AS72" i="3"/>
  <c r="AS90" i="3"/>
  <c r="AS94" i="3"/>
  <c r="AS97" i="3"/>
  <c r="AS107" i="3"/>
  <c r="AQ3" i="3"/>
  <c r="AQ4" i="3"/>
  <c r="AQ6" i="3"/>
  <c r="AQ7" i="3"/>
  <c r="AQ8" i="3"/>
  <c r="AQ9" i="3"/>
  <c r="AQ10" i="3"/>
  <c r="AQ11" i="3"/>
  <c r="AQ12" i="3"/>
  <c r="AQ13" i="3"/>
  <c r="AQ17" i="3"/>
  <c r="AQ18" i="3"/>
  <c r="AQ19" i="3"/>
  <c r="AQ20" i="3"/>
  <c r="AQ21" i="3"/>
  <c r="AQ22" i="3"/>
  <c r="AQ23" i="3"/>
  <c r="AQ24" i="3"/>
  <c r="AQ25" i="3"/>
  <c r="AQ26" i="3"/>
  <c r="AQ28" i="3"/>
  <c r="AQ29" i="3"/>
  <c r="AQ32" i="3"/>
  <c r="AQ33" i="3"/>
  <c r="AQ34" i="3"/>
  <c r="AQ35" i="3"/>
  <c r="AQ37" i="3"/>
  <c r="AQ40" i="3"/>
  <c r="AQ41" i="3"/>
  <c r="AQ43" i="3"/>
  <c r="AQ44" i="3"/>
  <c r="AQ45" i="3"/>
  <c r="AQ46" i="3"/>
  <c r="AQ47" i="3"/>
  <c r="AQ48" i="3"/>
  <c r="AQ49" i="3"/>
  <c r="AQ50" i="3"/>
  <c r="AQ52" i="3"/>
  <c r="AQ54" i="3"/>
  <c r="AQ55" i="3"/>
  <c r="AQ56" i="3"/>
  <c r="AQ58" i="3"/>
  <c r="AQ61" i="3"/>
  <c r="AQ62" i="3"/>
  <c r="AQ63" i="3"/>
  <c r="AQ65" i="3"/>
  <c r="AQ66" i="3"/>
  <c r="AQ68" i="3"/>
  <c r="AQ69" i="3"/>
  <c r="AQ70" i="3"/>
  <c r="AQ71" i="3"/>
  <c r="AQ72" i="3"/>
  <c r="AQ73" i="3"/>
  <c r="AQ74" i="3"/>
  <c r="AQ75" i="3"/>
  <c r="AQ76" i="3"/>
  <c r="AQ77" i="3"/>
  <c r="AQ78" i="3"/>
  <c r="AQ79" i="3"/>
  <c r="AQ80" i="3"/>
  <c r="AQ81" i="3"/>
  <c r="AQ82" i="3"/>
  <c r="AQ83" i="3"/>
  <c r="AQ84" i="3"/>
  <c r="AQ86" i="3"/>
  <c r="AQ87" i="3"/>
  <c r="AQ88" i="3"/>
  <c r="AQ89" i="3"/>
  <c r="AQ90" i="3"/>
  <c r="AQ92" i="3"/>
  <c r="AQ94" i="3"/>
  <c r="AQ95" i="3"/>
  <c r="AQ96" i="3"/>
  <c r="AQ97" i="3"/>
  <c r="AQ99" i="3"/>
  <c r="AQ102" i="3"/>
  <c r="AQ103" i="3"/>
  <c r="AQ104" i="3"/>
  <c r="AQ105" i="3"/>
  <c r="AQ106" i="3"/>
  <c r="AQ107" i="3"/>
  <c r="AQ109" i="3"/>
  <c r="AQ111" i="3"/>
  <c r="AQ113" i="3"/>
  <c r="AQ114" i="3"/>
  <c r="AQ115" i="3"/>
  <c r="AQ116" i="3"/>
  <c r="AQ117" i="3"/>
  <c r="AQ118" i="3"/>
  <c r="AQ119" i="3"/>
  <c r="AQ120" i="3"/>
  <c r="AQ122" i="3"/>
  <c r="AQ125" i="3"/>
  <c r="AQ126" i="3"/>
  <c r="AP3" i="3"/>
  <c r="AP4" i="3"/>
  <c r="AP6" i="3"/>
  <c r="AP7" i="3"/>
  <c r="AP8" i="3"/>
  <c r="AP9" i="3"/>
  <c r="AP10" i="3"/>
  <c r="AP11" i="3"/>
  <c r="AP12" i="3"/>
  <c r="AP13" i="3"/>
  <c r="AP17" i="3"/>
  <c r="AP18" i="3"/>
  <c r="AP19" i="3"/>
  <c r="AP20" i="3"/>
  <c r="AP21" i="3"/>
  <c r="AP22" i="3"/>
  <c r="AP23" i="3"/>
  <c r="AP24" i="3"/>
  <c r="AP25" i="3"/>
  <c r="AP26" i="3"/>
  <c r="AP28" i="3"/>
  <c r="AP29" i="3"/>
  <c r="AP32" i="3"/>
  <c r="AP33" i="3"/>
  <c r="AP34" i="3"/>
  <c r="AP35" i="3"/>
  <c r="AP37" i="3"/>
  <c r="AP40" i="3"/>
  <c r="AP41" i="3"/>
  <c r="AP43" i="3"/>
  <c r="AP44" i="3"/>
  <c r="AP45" i="3"/>
  <c r="AP46" i="3"/>
  <c r="AP47" i="3"/>
  <c r="AP48" i="3"/>
  <c r="AP49" i="3"/>
  <c r="AP50" i="3"/>
  <c r="AP52" i="3"/>
  <c r="AP54" i="3"/>
  <c r="AP55" i="3"/>
  <c r="AP56" i="3"/>
  <c r="AP58" i="3"/>
  <c r="AP61" i="3"/>
  <c r="AP62" i="3"/>
  <c r="AP63" i="3"/>
  <c r="AP65" i="3"/>
  <c r="AP66" i="3"/>
  <c r="AP68" i="3"/>
  <c r="AP69" i="3"/>
  <c r="AP70" i="3"/>
  <c r="AP71" i="3"/>
  <c r="AP72" i="3"/>
  <c r="AP73" i="3"/>
  <c r="AP74" i="3"/>
  <c r="AP75" i="3"/>
  <c r="AP76" i="3"/>
  <c r="AP77" i="3"/>
  <c r="AP78" i="3"/>
  <c r="AP79" i="3"/>
  <c r="AP80" i="3"/>
  <c r="AP81" i="3"/>
  <c r="AP82" i="3"/>
  <c r="AP83" i="3"/>
  <c r="AP84" i="3"/>
  <c r="AP86" i="3"/>
  <c r="AP87" i="3"/>
  <c r="AP88" i="3"/>
  <c r="AP89" i="3"/>
  <c r="AP90" i="3"/>
  <c r="AP92" i="3"/>
  <c r="AP94" i="3"/>
  <c r="AP95" i="3"/>
  <c r="AP96" i="3"/>
  <c r="AP97" i="3"/>
  <c r="AP99" i="3"/>
  <c r="AP102" i="3"/>
  <c r="AP103" i="3"/>
  <c r="AP104" i="3"/>
  <c r="AP105" i="3"/>
  <c r="AP106" i="3"/>
  <c r="AP107" i="3"/>
  <c r="AP109" i="3"/>
  <c r="AP111" i="3"/>
  <c r="AP113" i="3"/>
  <c r="AP114" i="3"/>
  <c r="AP115" i="3"/>
  <c r="AP116" i="3"/>
  <c r="AP117" i="3"/>
  <c r="AP118" i="3"/>
  <c r="AP119" i="3"/>
  <c r="AP120" i="3"/>
  <c r="AP122" i="3"/>
  <c r="AP125" i="3"/>
  <c r="AP126" i="3"/>
  <c r="AV3" i="1"/>
  <c r="AV4" i="1"/>
  <c r="AV5" i="1"/>
  <c r="AV6" i="1"/>
  <c r="AV7" i="1"/>
  <c r="AV8" i="1"/>
  <c r="AV9" i="1"/>
  <c r="AV10" i="1"/>
  <c r="AV11" i="1"/>
  <c r="AV12" i="1"/>
  <c r="AV13" i="1"/>
  <c r="AV14" i="1"/>
  <c r="AV15" i="1"/>
  <c r="AV16" i="1"/>
  <c r="AV17" i="1"/>
  <c r="AV18" i="1"/>
  <c r="AV19" i="1"/>
  <c r="AV20"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179" i="1"/>
  <c r="AV180" i="1"/>
  <c r="AV181" i="1"/>
  <c r="AV182" i="1"/>
  <c r="AV183" i="1"/>
  <c r="AV184" i="1"/>
  <c r="AV185" i="1"/>
  <c r="AV186" i="1"/>
  <c r="AV187" i="1"/>
  <c r="AV188" i="1"/>
  <c r="AV189" i="1"/>
  <c r="AV190" i="1"/>
  <c r="AV191" i="1"/>
  <c r="AV192" i="1"/>
  <c r="AV193" i="1"/>
  <c r="AV194" i="1"/>
  <c r="AV195" i="1"/>
  <c r="AV196" i="1"/>
  <c r="AV197" i="1"/>
  <c r="AV198" i="1"/>
  <c r="AV199" i="1"/>
  <c r="AV200" i="1"/>
  <c r="AV201" i="1"/>
  <c r="AV202" i="1"/>
  <c r="AV203" i="1"/>
  <c r="AV204" i="1"/>
  <c r="AV205" i="1"/>
  <c r="AV206" i="1"/>
  <c r="AV207" i="1"/>
  <c r="AV208" i="1"/>
  <c r="AV209" i="1"/>
  <c r="AV210" i="1"/>
  <c r="AV211" i="1"/>
  <c r="AV212" i="1"/>
  <c r="AV213" i="1"/>
  <c r="AV214" i="1"/>
  <c r="AV215" i="1"/>
  <c r="AV216" i="1"/>
  <c r="AV217" i="1"/>
  <c r="AV218" i="1"/>
  <c r="AV219" i="1"/>
  <c r="AV220" i="1"/>
  <c r="AV221" i="1"/>
  <c r="AV222" i="1"/>
  <c r="AV223" i="1"/>
  <c r="AV224" i="1"/>
  <c r="AV225" i="1"/>
  <c r="AV226" i="1"/>
  <c r="AV227" i="1"/>
  <c r="AV228" i="1"/>
  <c r="AV229" i="1"/>
  <c r="AV230" i="1"/>
  <c r="AV231" i="1"/>
  <c r="AV232" i="1"/>
  <c r="AV233" i="1"/>
  <c r="AV234" i="1"/>
  <c r="AV235" i="1"/>
  <c r="AV236" i="1"/>
  <c r="AV237" i="1"/>
  <c r="AV238" i="1"/>
  <c r="AV239" i="1"/>
  <c r="AV240" i="1"/>
  <c r="AV241" i="1"/>
  <c r="AV242" i="1"/>
  <c r="AV243" i="1"/>
  <c r="AV244" i="1"/>
  <c r="AV245" i="1"/>
  <c r="AV246" i="1"/>
  <c r="AV247" i="1"/>
  <c r="AV248" i="1"/>
  <c r="AV249" i="1"/>
  <c r="AV250" i="1"/>
  <c r="AV251" i="1"/>
  <c r="AV252" i="1"/>
  <c r="AV253" i="1"/>
  <c r="AV254" i="1"/>
  <c r="AV255" i="1"/>
  <c r="AV256" i="1"/>
  <c r="AV257" i="1"/>
  <c r="AV258" i="1"/>
  <c r="AV259" i="1"/>
  <c r="AV260" i="1"/>
  <c r="AV261" i="1"/>
  <c r="AV262" i="1"/>
  <c r="AV263" i="1"/>
  <c r="AV264" i="1"/>
  <c r="AV265" i="1"/>
  <c r="AV266" i="1"/>
  <c r="AV267" i="1"/>
  <c r="AV268" i="1"/>
  <c r="AV269" i="1"/>
  <c r="AV270" i="1"/>
  <c r="AV271" i="1"/>
  <c r="AV272" i="1"/>
  <c r="AV273" i="1"/>
  <c r="AV274" i="1"/>
  <c r="AV275" i="1"/>
  <c r="AV276" i="1"/>
  <c r="AV277" i="1"/>
  <c r="AV278" i="1"/>
  <c r="AV279" i="1"/>
  <c r="AV280" i="1"/>
  <c r="AV281" i="1"/>
  <c r="AV282" i="1"/>
  <c r="AV283" i="1"/>
  <c r="AV284" i="1"/>
  <c r="AV285" i="1"/>
  <c r="AV286" i="1"/>
  <c r="AV287" i="1"/>
  <c r="AV288" i="1"/>
  <c r="AV289" i="1"/>
  <c r="AV290" i="1"/>
  <c r="AV291" i="1"/>
  <c r="AV292" i="1"/>
  <c r="AV293" i="1"/>
  <c r="AV294" i="1"/>
  <c r="AV295" i="1"/>
  <c r="AV296"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X3" i="1"/>
  <c r="X9" i="1"/>
  <c r="X11" i="1"/>
  <c r="X30" i="1"/>
  <c r="X31" i="1"/>
  <c r="X35" i="1"/>
  <c r="X36" i="1"/>
  <c r="X37" i="1"/>
  <c r="X38" i="1"/>
  <c r="X39" i="1"/>
  <c r="X40" i="1"/>
  <c r="X43" i="1"/>
  <c r="X44" i="1"/>
  <c r="X47" i="1"/>
  <c r="X48" i="1"/>
  <c r="X49" i="1"/>
  <c r="X50" i="1"/>
  <c r="X53" i="1"/>
  <c r="X54" i="1"/>
  <c r="X55" i="1"/>
  <c r="X58" i="1"/>
  <c r="X59" i="1"/>
  <c r="X61" i="1"/>
  <c r="X62" i="1"/>
  <c r="X69" i="1"/>
  <c r="X70" i="1"/>
  <c r="X71" i="1"/>
  <c r="X72" i="1"/>
  <c r="X73" i="1"/>
  <c r="X87" i="1"/>
  <c r="X88" i="1"/>
  <c r="X90" i="1"/>
  <c r="X91" i="1"/>
  <c r="X92" i="1"/>
  <c r="X94" i="1"/>
  <c r="X95" i="1"/>
  <c r="X96" i="1"/>
  <c r="X98" i="1"/>
  <c r="X99" i="1"/>
  <c r="X100" i="1"/>
  <c r="X102" i="1"/>
  <c r="X104" i="1"/>
  <c r="X106" i="1"/>
  <c r="X108" i="1"/>
  <c r="X109" i="1"/>
  <c r="X110" i="1"/>
  <c r="X111" i="1"/>
  <c r="X112" i="1"/>
  <c r="X116" i="1"/>
  <c r="X117" i="1"/>
  <c r="X118" i="1"/>
  <c r="X120" i="1"/>
  <c r="X121" i="1"/>
  <c r="X132" i="1"/>
  <c r="X133" i="1"/>
  <c r="X134" i="1"/>
  <c r="X139" i="1"/>
  <c r="X140" i="1"/>
  <c r="X141" i="1"/>
  <c r="X142" i="1"/>
  <c r="X143" i="1"/>
  <c r="X144" i="1"/>
  <c r="X145" i="1"/>
  <c r="X146" i="1"/>
  <c r="X147" i="1"/>
  <c r="X148" i="1"/>
  <c r="X149" i="1"/>
  <c r="X150" i="1"/>
  <c r="X151" i="1"/>
  <c r="X152" i="1"/>
  <c r="X153" i="1"/>
  <c r="X154" i="1"/>
  <c r="X155" i="1"/>
  <c r="X156" i="1"/>
  <c r="X157" i="1"/>
  <c r="X159" i="1"/>
  <c r="X160" i="1"/>
  <c r="X167" i="1"/>
  <c r="X168" i="1"/>
  <c r="X169" i="1"/>
  <c r="X174" i="1"/>
  <c r="X177" i="1"/>
  <c r="X178" i="1"/>
  <c r="X181" i="1"/>
  <c r="X182" i="1"/>
  <c r="X183" i="1"/>
  <c r="X184" i="1"/>
  <c r="X185" i="1"/>
  <c r="X187" i="1"/>
  <c r="X190" i="1"/>
  <c r="X191" i="1"/>
  <c r="X192" i="1"/>
  <c r="X193" i="1"/>
  <c r="X194" i="1"/>
  <c r="X199" i="1"/>
  <c r="X200" i="1"/>
  <c r="X201" i="1"/>
  <c r="X202" i="1"/>
  <c r="X204" i="1"/>
  <c r="X205" i="1"/>
  <c r="X209" i="1"/>
  <c r="X210" i="1"/>
  <c r="X211" i="1"/>
  <c r="X212" i="1"/>
  <c r="X213" i="1"/>
  <c r="X216" i="1"/>
  <c r="X217" i="1"/>
  <c r="X218" i="1"/>
  <c r="X219" i="1"/>
  <c r="X228" i="1"/>
  <c r="X229" i="1"/>
  <c r="X230" i="1"/>
  <c r="X233" i="1"/>
  <c r="X236" i="1"/>
  <c r="X237" i="1"/>
  <c r="X241" i="1"/>
  <c r="X242" i="1"/>
  <c r="X246" i="1"/>
  <c r="X248" i="1"/>
  <c r="X249" i="1"/>
  <c r="X250" i="1"/>
  <c r="X251" i="1"/>
  <c r="X252" i="1"/>
  <c r="X253" i="1"/>
  <c r="X254" i="1"/>
  <c r="X255" i="1"/>
  <c r="X263" i="1"/>
  <c r="X264" i="1"/>
  <c r="X265" i="1"/>
  <c r="X266" i="1"/>
  <c r="X268" i="1"/>
  <c r="X287" i="1"/>
  <c r="X290" i="1"/>
  <c r="X291" i="1"/>
  <c r="X292" i="1"/>
  <c r="X294" i="1"/>
  <c r="X295" i="1"/>
  <c r="X296" i="1"/>
  <c r="B161" i="7" l="1"/>
  <c r="B160" i="7"/>
  <c r="P36" i="7"/>
  <c r="Q36" i="7" s="1"/>
  <c r="P2" i="7"/>
  <c r="B158" i="7" s="1"/>
  <c r="B175" i="7"/>
  <c r="B174" i="7"/>
  <c r="R36" i="7"/>
  <c r="S36" i="7" s="1"/>
  <c r="R2" i="7"/>
  <c r="B172" i="7" s="1"/>
  <c r="B147" i="7"/>
  <c r="B146" i="7"/>
  <c r="N36" i="7"/>
  <c r="O36" i="7" s="1"/>
  <c r="N2" i="7"/>
  <c r="B144" i="7" s="1"/>
  <c r="B133" i="7"/>
  <c r="B132" i="7"/>
  <c r="L36" i="7"/>
  <c r="M36" i="7" s="1"/>
  <c r="L2" i="7"/>
  <c r="B130" i="7" s="1"/>
  <c r="B119" i="7"/>
  <c r="B118" i="7"/>
  <c r="J36" i="7"/>
  <c r="K36" i="7" s="1"/>
  <c r="J2" i="7"/>
  <c r="B116" i="7" s="1"/>
  <c r="B105" i="7"/>
  <c r="B104" i="7"/>
  <c r="H36" i="7"/>
  <c r="I36" i="7" s="1"/>
  <c r="H2" i="7"/>
  <c r="B102" i="7" s="1"/>
  <c r="B91" i="7"/>
  <c r="B90" i="7"/>
  <c r="F36" i="7"/>
  <c r="G36" i="7" s="1"/>
  <c r="F2" i="7"/>
  <c r="B88" i="7" s="1"/>
  <c r="B75" i="7"/>
  <c r="B74" i="7"/>
  <c r="B77" i="7"/>
  <c r="B76" i="7"/>
  <c r="T36" i="7"/>
  <c r="T2" i="7"/>
  <c r="B145" i="7" l="1"/>
  <c r="B89" i="7"/>
  <c r="B103" i="7"/>
  <c r="B117" i="7"/>
  <c r="B131" i="7"/>
  <c r="B173" i="7"/>
  <c r="B159" i="7"/>
  <c r="X2" i="7"/>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D36" i="7"/>
  <c r="E36" i="7" s="1"/>
  <c r="D2" i="7"/>
  <c r="U36" i="7"/>
  <c r="P28" i="7" l="1"/>
  <c r="Q3" i="7"/>
  <c r="Q2" i="7"/>
  <c r="R3" i="7"/>
  <c r="R4" i="7" s="1"/>
  <c r="S3" i="7" s="1"/>
  <c r="T3" i="7"/>
  <c r="L3" i="7"/>
  <c r="M2" i="7" s="1"/>
  <c r="N3" i="7"/>
  <c r="H3" i="7"/>
  <c r="J3" i="7"/>
  <c r="D3" i="7"/>
  <c r="D4" i="7" s="1"/>
  <c r="E3" i="7" s="1"/>
  <c r="F3" i="7"/>
  <c r="U2" i="7"/>
  <c r="P29" i="7" l="1"/>
  <c r="P30" i="7" s="1"/>
  <c r="P31" i="7" s="1"/>
  <c r="P32" i="7" s="1"/>
  <c r="P33" i="7" s="1"/>
  <c r="P34" i="7" s="1"/>
  <c r="P35" i="7" s="1"/>
  <c r="Q35" i="7" s="1"/>
  <c r="Q5" i="7"/>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I2" i="7"/>
  <c r="J4" i="7"/>
  <c r="K2" i="7"/>
  <c r="H4" i="7"/>
  <c r="H5" i="7" s="1"/>
  <c r="E2" i="7"/>
  <c r="F4" i="7"/>
  <c r="G2" i="7"/>
  <c r="D5" i="7"/>
  <c r="E4" i="7" s="1"/>
  <c r="U3" i="7"/>
  <c r="L28" i="7" l="1"/>
  <c r="Q6" i="7"/>
  <c r="T5" i="7"/>
  <c r="M3" i="7"/>
  <c r="R6" i="7"/>
  <c r="S5" i="7" s="1"/>
  <c r="I3" i="7"/>
  <c r="N5" i="7"/>
  <c r="O3" i="7"/>
  <c r="M4" i="7"/>
  <c r="M5" i="7"/>
  <c r="M6" i="7"/>
  <c r="J5" i="7"/>
  <c r="K3" i="7"/>
  <c r="H6" i="7"/>
  <c r="I5" i="7" s="1"/>
  <c r="I4" i="7"/>
  <c r="F5" i="7"/>
  <c r="G3" i="7"/>
  <c r="D6" i="7"/>
  <c r="E5" i="7" s="1"/>
  <c r="U4" i="7"/>
  <c r="L29" i="7" l="1"/>
  <c r="L30" i="7" s="1"/>
  <c r="L31" i="7" s="1"/>
  <c r="L32" i="7" s="1"/>
  <c r="L33" i="7" s="1"/>
  <c r="L34" i="7" s="1"/>
  <c r="L35" i="7" s="1"/>
  <c r="M35" i="7" s="1"/>
  <c r="Q7" i="7"/>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N26" i="7"/>
  <c r="O25" i="7" s="1"/>
  <c r="M27" i="7"/>
  <c r="J26" i="7"/>
  <c r="K25" i="7" s="1"/>
  <c r="H27" i="7"/>
  <c r="F26" i="7"/>
  <c r="G25" i="7" s="1"/>
  <c r="D27" i="7"/>
  <c r="U25" i="7"/>
  <c r="I26" i="7" l="1"/>
  <c r="S26" i="7"/>
  <c r="E26" i="7"/>
  <c r="Q27" i="7"/>
  <c r="T27" i="7"/>
  <c r="R28" i="7"/>
  <c r="N27" i="7"/>
  <c r="M28" i="7"/>
  <c r="J27" i="7"/>
  <c r="H28" i="7"/>
  <c r="F27" i="7"/>
  <c r="D28" i="7"/>
  <c r="I27" i="7" l="1"/>
  <c r="E27" i="7"/>
  <c r="S27" i="7"/>
  <c r="K26" i="7"/>
  <c r="G26" i="7"/>
  <c r="O26" i="7"/>
  <c r="Q28" i="7"/>
  <c r="T28" i="7"/>
  <c r="R29" i="7"/>
  <c r="S28" i="7" s="1"/>
  <c r="N28" i="7"/>
  <c r="M29" i="7"/>
  <c r="J28" i="7"/>
  <c r="H29" i="7"/>
  <c r="I28" i="7" s="1"/>
  <c r="F28" i="7"/>
  <c r="D29" i="7"/>
  <c r="E28" i="7" s="1"/>
  <c r="U26" i="7"/>
  <c r="K27" i="7" l="1"/>
  <c r="G27" i="7"/>
  <c r="O27" i="7"/>
  <c r="Q29" i="7"/>
  <c r="T29" i="7"/>
  <c r="R30" i="7"/>
  <c r="N29" i="7"/>
  <c r="O28" i="7" s="1"/>
  <c r="M30" i="7"/>
  <c r="J29" i="7"/>
  <c r="K28" i="7" s="1"/>
  <c r="H30" i="7"/>
  <c r="I29" i="7" s="1"/>
  <c r="F29" i="7"/>
  <c r="G28" i="7" s="1"/>
  <c r="D30" i="7"/>
  <c r="E29" i="7" s="1"/>
  <c r="U27" i="7"/>
  <c r="Q30" i="7" l="1"/>
  <c r="T30" i="7"/>
  <c r="R31" i="7"/>
  <c r="S30" i="7" s="1"/>
  <c r="S29" i="7"/>
  <c r="N30" i="7"/>
  <c r="O29" i="7" s="1"/>
  <c r="M31" i="7"/>
  <c r="J30" i="7"/>
  <c r="K29" i="7" s="1"/>
  <c r="H31" i="7"/>
  <c r="I30" i="7" s="1"/>
  <c r="F30" i="7"/>
  <c r="G29" i="7" s="1"/>
  <c r="D31" i="7"/>
  <c r="E30" i="7" s="1"/>
  <c r="U28" i="7"/>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N34" i="7"/>
  <c r="O33" i="7" s="1"/>
  <c r="J34" i="7"/>
  <c r="K33" i="7" s="1"/>
  <c r="H35" i="7"/>
  <c r="F34" i="7"/>
  <c r="G33" i="7" s="1"/>
  <c r="D35" i="7"/>
  <c r="U33" i="7"/>
  <c r="E34" i="7" l="1"/>
  <c r="E35" i="7"/>
  <c r="I34" i="7"/>
  <c r="I35" i="7"/>
  <c r="S34" i="7"/>
  <c r="S35" i="7"/>
  <c r="T35" i="7"/>
  <c r="N35" i="7"/>
  <c r="J35" i="7"/>
  <c r="F35" i="7"/>
  <c r="U35" i="7"/>
  <c r="U34" i="7"/>
  <c r="G34" i="7" l="1"/>
  <c r="G35" i="7"/>
  <c r="O34" i="7"/>
  <c r="O35" i="7"/>
  <c r="K34" i="7"/>
  <c r="K3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Tony C.</author>
  </authors>
  <commentList>
    <comment ref="A2" authorId="0" shapeId="0" xr:uid="{00000000-0006-0000-0000-00000100000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xr:uid="{00000000-0006-0000-0000-00000200000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xr:uid="{00000000-0006-0000-0000-00000300000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00000000-0006-0000-0000-00000400000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xr:uid="{00000000-0006-0000-0000-00000500000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xr:uid="{00000000-0006-0000-0000-00000600000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xr:uid="{00000000-0006-0000-0000-00000700000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xr:uid="{00000000-0006-0000-0000-00000800000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xr:uid="{00000000-0006-0000-0000-00000900000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000-00000A00000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xr:uid="{00000000-0006-0000-0000-00000B00000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xr:uid="{00000000-0006-0000-0000-00000C00000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xr:uid="{00000000-0006-0000-0000-00000D00000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Tony</author>
  </authors>
  <commentList>
    <comment ref="A2" authorId="0" shapeId="0" xr:uid="{00000000-0006-0000-0100-00000100000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xr:uid="{00000000-0006-0000-0100-00000200000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xr:uid="{00000000-0006-0000-0100-00000300000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xr:uid="{00000000-0006-0000-0100-00000400000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xr:uid="{00000000-0006-0000-0100-00000500000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xr:uid="{00000000-0006-0000-0100-00000600000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xr:uid="{00000000-0006-0000-0100-00000700000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xr:uid="{00000000-0006-0000-0100-00000800000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xr:uid="{00000000-0006-0000-0100-00000900000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100-00000A00000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xr:uid="{00000000-0006-0000-0100-00000B00000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xr:uid="{00000000-0006-0000-0100-00000C00000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xr:uid="{00000000-0006-0000-0100-00000D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xr:uid="{00000000-0006-0000-0100-00000E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xr:uid="{00000000-0006-0000-0100-00000F00000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xr:uid="{00000000-0006-0000-0100-00001000000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xr:uid="{00000000-0006-0000-0100-00001100000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xr:uid="{00000000-0006-0000-0100-00001200000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xr:uid="{00000000-0006-0000-0100-00001300000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xr:uid="{00000000-0006-0000-0100-00001400000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xr:uid="{00000000-0006-0000-0100-00001500000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xr:uid="{00000000-0006-0000-0100-00001600000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xr:uid="{00000000-0006-0000-0100-00001700000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xr:uid="{00000000-0006-0000-0100-00001800000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xr:uid="{00000000-0006-0000-0100-00001900000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xr:uid="{00000000-0006-0000-0100-00001A00000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xr:uid="{00000000-0006-0000-0100-00001B00000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xr:uid="{00000000-0006-0000-0100-00001C00000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2" authorId="0" shapeId="0" xr:uid="{00000000-0006-0000-03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xr:uid="{00000000-0006-0000-0300-00000200000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xr:uid="{00000000-0006-0000-0300-00000300000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xr:uid="{00000000-0006-0000-0300-00000400000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xr:uid="{00000000-0006-0000-0300-00000500000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xr:uid="{00000000-0006-0000-0300-00000600000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xr:uid="{00000000-0006-0000-0300-00000700000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xr:uid="{00000000-0006-0000-0300-00000800000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xr:uid="{00000000-0006-0000-0300-00000900000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xr:uid="{00000000-0006-0000-0300-00000A00000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xr:uid="{00000000-0006-0000-0300-00000B00000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xr:uid="{00000000-0006-0000-0300-00000C00000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xr:uid="{00000000-0006-0000-0300-00000D00000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xr:uid="{00000000-0006-0000-0300-00000E00000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xr:uid="{00000000-0006-0000-0300-00000F00000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xr:uid="{00000000-0006-0000-0300-00001000000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xr:uid="{00000000-0006-0000-0300-00001100000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xr:uid="{00000000-0006-0000-0300-00001200000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xr:uid="{00000000-0006-0000-0300-00001300000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xr:uid="{00000000-0006-0000-0300-00001400000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xr:uid="{00000000-0006-0000-0300-00001500000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xr:uid="{00000000-0006-0000-0300-00001600000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1" authorId="0" shapeId="0" xr:uid="{00000000-0006-0000-04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xr:uid="{00000000-0006-0000-0400-00000200000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xr:uid="{00000000-0006-0000-0400-00000300000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500-00000100000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Tony C.</author>
  </authors>
  <commentList>
    <comment ref="A2" authorId="0" shapeId="0" xr:uid="{FCF83578-17DD-4896-9789-322B21A3175C}">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xr:uid="{C236EA2E-9BF2-4FE0-9817-91924B22E19A}">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xr:uid="{C39D12BA-9FD4-4C31-8C89-50E517BBC7E5}">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89881688-864D-4FAE-B87B-18E6E522B67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xr:uid="{8311BE00-A335-4AF1-A96C-223AE70B3483}">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xr:uid="{EBD68708-B804-4313-B6D5-80CB42AD833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xr:uid="{DB1EF903-F2F6-4531-8C86-B19BE28EA1EC}">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xr:uid="{7E5FF6DC-D67B-4070-8CAE-246E384E9C62}">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xr:uid="{33AF3B2B-ADEB-47E6-8F3B-7E8947BA79CB}">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25D535A4-CA83-4D61-905F-1764C1355658}">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xr:uid="{6879911F-908E-4787-8D22-A3D012CE7C3B}">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xr:uid="{5109A40B-2729-4CF9-A5F3-27BEC23EE235}">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xr:uid="{8B51D6C0-2DAC-4EE9-96FF-DC35B14897AC}">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sharedStrings.xml><?xml version="1.0" encoding="utf-8"?>
<sst xmlns="http://schemas.openxmlformats.org/spreadsheetml/2006/main" count="35018" uniqueCount="10095">
  <si>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</si>
  <si>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</si>
  <si>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</si>
  <si>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</si>
  <si>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</si>
  <si>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</si>
  <si>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</si>
  <si>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</si>
  <si>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</si>
  <si>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</si>
  <si>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</si>
  <si>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</si>
  <si>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</si>
  <si>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</si>
  <si>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</si>
  <si>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</si>
  <si>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</si>
  <si>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</si>
  <si>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</si>
  <si>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</si>
  <si>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</si>
  <si>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</si>
  <si>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</si>
  <si>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</si>
  <si>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</si>
  <si>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</si>
  <si>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</si>
  <si>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</si>
  <si>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</si>
  <si>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</si>
  <si>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</si>
  <si>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</si>
  <si>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</si>
  <si>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</si>
  <si>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</si>
  <si>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</si>
  <si>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</si>
  <si>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</si>
  <si>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</si>
  <si>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</si>
  <si>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</si>
  <si>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</si>
  <si>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</si>
  <si>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</si>
  <si>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</si>
  <si>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</si>
  <si>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</si>
  <si>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</si>
  <si>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</si>
  <si>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</si>
  <si>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</si>
  <si>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</si>
  <si>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</si>
  <si>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</si>
  <si>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</si>
  <si>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</si>
  <si>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</si>
  <si>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</si>
  <si>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</si>
  <si>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</si>
  <si>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</si>
  <si>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</si>
  <si>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</si>
  <si>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</si>
  <si>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</si>
  <si>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</si>
  <si>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</si>
  <si>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</si>
  <si>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</si>
  <si>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</si>
  <si>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</si>
  <si>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</si>
  <si>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</si>
  <si>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</si>
  <si>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</si>
  <si>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</si>
  <si>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</si>
  <si>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</si>
  <si>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</si>
  <si>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</si>
  <si>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</si>
  <si>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</si>
  <si>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</si>
  <si>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</si>
  <si>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</si>
  <si>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</si>
  <si>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</si>
  <si>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</si>
  <si>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</si>
  <si>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</si>
  <si>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</si>
  <si>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</si>
  <si>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</si>
  <si>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</si>
  <si>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</si>
  <si>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</si>
  <si>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</si>
  <si>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</si>
  <si>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</si>
  <si>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</si>
  <si>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</si>
  <si>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</si>
  <si>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</si>
  <si>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</si>
  <si>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</si>
  <si>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</si>
  <si>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</si>
  <si>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</si>
  <si>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</si>
  <si>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</si>
  <si>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</si>
  <si>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</si>
  <si>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</si>
  <si>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</si>
  <si>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</si>
  <si>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</si>
  <si>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</si>
  <si>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</si>
  <si>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</si>
  <si>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</si>
  <si>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</si>
  <si>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</si>
  <si>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</si>
  <si>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</si>
  <si>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</si>
  <si>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</si>
  <si>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</si>
  <si>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</si>
  <si>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</si>
  <si>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</si>
  <si>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</si>
  <si>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</si>
  <si>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</si>
  <si>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</si>
  <si>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</si>
  <si>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</si>
  <si>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</si>
  <si>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</si>
  <si>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</si>
  <si>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</si>
  <si>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</si>
  <si>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</si>
  <si>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</si>
  <si>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</si>
  <si>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</si>
  <si>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</si>
  <si>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</si>
  <si>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</si>
  <si>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</si>
  <si>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</si>
  <si>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</si>
  <si>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</si>
  <si>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</si>
  <si>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</si>
  <si>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</si>
  <si>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</si>
  <si>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</si>
  <si>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</si>
  <si>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</si>
  <si>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</si>
  <si>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</si>
  <si>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</si>
  <si>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</si>
  <si>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</si>
  <si>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</si>
  <si>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</si>
  <si>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</si>
  <si>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</si>
  <si>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</si>
  <si>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</si>
  <si>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</si>
  <si>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</si>
  <si>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</si>
  <si>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2</t>
  </si>
  <si>
    <t>Workbook Settings 3</t>
  </si>
  <si>
    <t>Workbook Settings 4</t>
  </si>
  <si>
    <t>Workbook Settings 5</t>
  </si>
  <si>
    <t>Workbook Settings 6</t>
  </si>
  <si>
    <t>Workbook Settings 7</t>
  </si>
  <si>
    <t>Workbook Settings 8</t>
  </si>
  <si>
    <t>Workbook Settings 9</t>
  </si>
  <si>
    <t>Workbook Settings 10</t>
  </si>
  <si>
    <t>Workbook Settings 11</t>
  </si>
  <si>
    <t>Workbook Settings 12</t>
  </si>
  <si>
    <t>Workbook Settings 13</t>
  </si>
  <si>
    <t>Workbook Settings 14</t>
  </si>
  <si>
    <t>Workbook Settings 15</t>
  </si>
  <si>
    <t>Workbook Settings 16</t>
  </si>
  <si>
    <t>Workbook Settings 17</t>
  </si>
  <si>
    <t>Workbook Settings 18</t>
  </si>
  <si>
    <t>Workbook Settings Cell Count</t>
  </si>
  <si>
    <t>Directed</t>
  </si>
  <si>
    <t>Autofill Workbook Results</t>
  </si>
  <si>
    <t>Graph History</t>
  </si>
  <si>
    <t>Relationship</t>
  </si>
  <si>
    <t>Relationship Date (UTC)</t>
  </si>
  <si>
    <t>Tweet</t>
  </si>
  <si>
    <t>Retweet Count</t>
  </si>
  <si>
    <t>Favorite Count</t>
  </si>
  <si>
    <t>Reply Count</t>
  </si>
  <si>
    <t>Quote Count</t>
  </si>
  <si>
    <t>Impression Count</t>
  </si>
  <si>
    <t>Hashtags in Tweet</t>
  </si>
  <si>
    <t>URLs in Tweet</t>
  </si>
  <si>
    <t>Domains in Tweet</t>
  </si>
  <si>
    <t>Mentions in Tweet</t>
  </si>
  <si>
    <t>Media in Tweet</t>
  </si>
  <si>
    <t>Media Type</t>
  </si>
  <si>
    <t>Source</t>
  </si>
  <si>
    <t>Language</t>
  </si>
  <si>
    <t>Twitter Page for Tweet</t>
  </si>
  <si>
    <t>Tweet Date (UTC)</t>
  </si>
  <si>
    <t>Date</t>
  </si>
  <si>
    <t>Time</t>
  </si>
  <si>
    <t>Possibly Sensitive</t>
  </si>
  <si>
    <t>Place Bounding Box</t>
  </si>
  <si>
    <t>Place Country</t>
  </si>
  <si>
    <t>Place Country Code</t>
  </si>
  <si>
    <t>Place Full Name</t>
  </si>
  <si>
    <t>Place ID</t>
  </si>
  <si>
    <t>Place Name</t>
  </si>
  <si>
    <t>Place Type</t>
  </si>
  <si>
    <t>Media Key</t>
  </si>
  <si>
    <t>Media Duration (ms)</t>
  </si>
  <si>
    <t>Media Height</t>
  </si>
  <si>
    <t>Media Width</t>
  </si>
  <si>
    <t>Media View Count</t>
  </si>
  <si>
    <t>Tweet Image File</t>
  </si>
  <si>
    <t>Imported ID</t>
  </si>
  <si>
    <t>Conversation ID</t>
  </si>
  <si>
    <t>In Reply To User ID</t>
  </si>
  <si>
    <t>In Reply To Tweet ID</t>
  </si>
  <si>
    <t>Quoted Status ID</t>
  </si>
  <si>
    <t>Retweet ID</t>
  </si>
  <si>
    <t>Unified Twitter ID</t>
  </si>
  <si>
    <t>Author ID</t>
  </si>
  <si>
    <t>Poll ID</t>
  </si>
  <si>
    <t>Poll Options</t>
  </si>
  <si>
    <t>Poll Duration</t>
  </si>
  <si>
    <t>Poll End Date</t>
  </si>
  <si>
    <t>Poll Voting Status</t>
  </si>
  <si>
    <t>med_lafouairas</t>
  </si>
  <si>
    <t>mahedikabir2</t>
  </si>
  <si>
    <t>newhousesu</t>
  </si>
  <si>
    <t>isaiah_photo</t>
  </si>
  <si>
    <t>profkakie</t>
  </si>
  <si>
    <t>commscholar</t>
  </si>
  <si>
    <t>drjessmaddox</t>
  </si>
  <si>
    <t>vioreladan</t>
  </si>
  <si>
    <t>jmcquarterly</t>
  </si>
  <si>
    <t>profaanderson</t>
  </si>
  <si>
    <t>suzie_bell</t>
  </si>
  <si>
    <t>willthewordguy</t>
  </si>
  <si>
    <t>carabyrd</t>
  </si>
  <si>
    <t>j_o_rawlins</t>
  </si>
  <si>
    <t>workacademic</t>
  </si>
  <si>
    <t>princeadugyamf6</t>
  </si>
  <si>
    <t>janlaurenb</t>
  </si>
  <si>
    <t>isu_gsjc</t>
  </si>
  <si>
    <t>annefmaclennan</t>
  </si>
  <si>
    <t>aejmc_rmig</t>
  </si>
  <si>
    <t>aejmc_prd</t>
  </si>
  <si>
    <t>jpreprd</t>
  </si>
  <si>
    <t>icd_aejmc</t>
  </si>
  <si>
    <t>drefb1</t>
  </si>
  <si>
    <t>dave_parisi</t>
  </si>
  <si>
    <t>llassabe</t>
  </si>
  <si>
    <t>aejmcviscom</t>
  </si>
  <si>
    <t>aejmc</t>
  </si>
  <si>
    <t>joccjournal</t>
  </si>
  <si>
    <t>brcreech</t>
  </si>
  <si>
    <t>miamoodyramirez</t>
  </si>
  <si>
    <t>tjohnson1960</t>
  </si>
  <si>
    <t>ldeshan</t>
  </si>
  <si>
    <t>csw_aejmc</t>
  </si>
  <si>
    <t>prof_dimitrova</t>
  </si>
  <si>
    <t>aejmcctec</t>
  </si>
  <si>
    <t>louisahabgsu</t>
  </si>
  <si>
    <t>thepostdoctoral</t>
  </si>
  <si>
    <t>brianatrifiro</t>
  </si>
  <si>
    <t>csgeaejmc</t>
  </si>
  <si>
    <t>gregperreault</t>
  </si>
  <si>
    <t>aejmc_nond</t>
  </si>
  <si>
    <t>hdeniswu</t>
  </si>
  <si>
    <t>michael_bugeja</t>
  </si>
  <si>
    <t>mjfuhlhage</t>
  </si>
  <si>
    <t>chensibo</t>
  </si>
  <si>
    <t>rlpgbooks</t>
  </si>
  <si>
    <t>pengyilang</t>
  </si>
  <si>
    <t>aejmcmmee</t>
  </si>
  <si>
    <t>uyendpp</t>
  </si>
  <si>
    <t>enwillis</t>
  </si>
  <si>
    <t>columbiaup</t>
  </si>
  <si>
    <t>keontecoleman</t>
  </si>
  <si>
    <t>aejmc_polcomm</t>
  </si>
  <si>
    <t>newhousebdj</t>
  </si>
  <si>
    <t>natcomm</t>
  </si>
  <si>
    <t>ittefaqm</t>
  </si>
  <si>
    <t>jeremyhl</t>
  </si>
  <si>
    <t>drsrivi</t>
  </si>
  <si>
    <t>deviiette</t>
  </si>
  <si>
    <t>michaelbathurst</t>
  </si>
  <si>
    <t>comatbu</t>
  </si>
  <si>
    <t>reutsmichael1</t>
  </si>
  <si>
    <t>igs_bu</t>
  </si>
  <si>
    <t>benjaminsovaco1</t>
  </si>
  <si>
    <t>stevedepo</t>
  </si>
  <si>
    <t>azaizamotaz9</t>
  </si>
  <si>
    <t>nahj</t>
  </si>
  <si>
    <t>collegephotog</t>
  </si>
  <si>
    <t>azhanitealer</t>
  </si>
  <si>
    <t>shannonscovel</t>
  </si>
  <si>
    <t>manshipschool</t>
  </si>
  <si>
    <t>gcsc2020</t>
  </si>
  <si>
    <t>ica_prd</t>
  </si>
  <si>
    <t>journalism_ica</t>
  </si>
  <si>
    <t>ica_cat</t>
  </si>
  <si>
    <t>icahdq</t>
  </si>
  <si>
    <t>adweek</t>
  </si>
  <si>
    <t>adage</t>
  </si>
  <si>
    <t>bgsu</t>
  </si>
  <si>
    <t>thanitzsch</t>
  </si>
  <si>
    <t>poli_com</t>
  </si>
  <si>
    <t>renitac</t>
  </si>
  <si>
    <t>sunyplattsburgh</t>
  </si>
  <si>
    <t>un</t>
  </si>
  <si>
    <t>kimhong4thewin</t>
  </si>
  <si>
    <t>omgcjournal</t>
  </si>
  <si>
    <t>profgoldie</t>
  </si>
  <si>
    <t>belmedia</t>
  </si>
  <si>
    <t>ic4ml</t>
  </si>
  <si>
    <t>denielliott</t>
  </si>
  <si>
    <t>alexisromwalker</t>
  </si>
  <si>
    <t>pr_johnson</t>
  </si>
  <si>
    <t>aejmcethics</t>
  </si>
  <si>
    <t>appstatecomdept</t>
  </si>
  <si>
    <t>uk_ci</t>
  </si>
  <si>
    <t>iowastateu</t>
  </si>
  <si>
    <t>gratitude</t>
  </si>
  <si>
    <t>brizzyc</t>
  </si>
  <si>
    <t>asanews</t>
  </si>
  <si>
    <t>aargrad</t>
  </si>
  <si>
    <t>nemlagradcaucus</t>
  </si>
  <si>
    <t>apagradecp</t>
  </si>
  <si>
    <t>apa_gsc</t>
  </si>
  <si>
    <t>fangkc</t>
  </si>
  <si>
    <t>tianyangyt</t>
  </si>
  <si>
    <t>decinakayley</t>
  </si>
  <si>
    <t>mwmcclos</t>
  </si>
  <si>
    <t>nccnewsonline</t>
  </si>
  <si>
    <t>newsengagement</t>
  </si>
  <si>
    <t>snapchat</t>
  </si>
  <si>
    <t>mpowelly01</t>
  </si>
  <si>
    <t>unosmlre</t>
  </si>
  <si>
    <t>this0499154500</t>
  </si>
  <si>
    <t>docassar</t>
  </si>
  <si>
    <t>eli_krumova</t>
  </si>
  <si>
    <t>somcoaching</t>
  </si>
  <si>
    <t>shoutmgb</t>
  </si>
  <si>
    <t>aejmc_comsher</t>
  </si>
  <si>
    <t>icaenvirocomm</t>
  </si>
  <si>
    <t>envcommresgroup</t>
  </si>
  <si>
    <t>uazjschool</t>
  </si>
  <si>
    <t>jretis</t>
  </si>
  <si>
    <t>lindita_camaj</t>
  </si>
  <si>
    <t>Retweet</t>
  </si>
  <si>
    <t>MentionsInRetweet</t>
  </si>
  <si>
    <t>Mentions</t>
  </si>
  <si>
    <t>MentionsInReplyTo</t>
  </si>
  <si>
    <t>Replies to</t>
  </si>
  <si>
    <t>MentionsInQuote</t>
  </si>
  <si>
    <t>Quote</t>
  </si>
  <si>
    <t>RT @AEJMCMMEE: The paper call for 2024 AEJMC Midwinter Conference is now out. The deadline to submit extended abstracts (only 600 to 800 wo…</t>
  </si>
  <si>
    <t>RT @jmcquarterly: 🌞 Good morning! 
Here's a great paper @jmcquarterly (EIC: @Prof_Dimitrova) to start your day. 
It deals with the link b…</t>
  </si>
  <si>
    <t>RT @jmcquarterly: Congratulations on submitting your work to #ICA24! 
Looking for a home for your paper? We'd be happy to take a look! #Pee…</t>
  </si>
  <si>
    <t>Read more about the @NewhouseSU students and their projects that were honored in the @CollegePhotog and @AEJMC National News Engagement Day competitions! https://t.co/SSFzJW6hm8 #TeamNewhouse
📸: @isaiah_photo https://t.co/8r16r1i9JD</t>
  </si>
  <si>
    <t>RT @NewhouseSU: Read more about the @NewhouseSU students and their projects that were honored in the @CollegePhotog and @AEJMC National New…</t>
  </si>
  <si>
    <t>@ShannonScovel @AzhaniTealer @ShannonScovel (I saw your presentation in Detroit at AEJMC.)</t>
  </si>
  <si>
    <t>RT @COMatBU: Congrats to Emma Longo (COM'24) for winning the @IGS_BU Undergraduate Student Award!
She turned her project, "How Fossil Fuel…</t>
  </si>
  <si>
    <t>RT @willthewordguy: Assistant Professor in Digital Advertising - HigherEdJobs — new posting from us ⁦@ManshipSchool⁩ — not on search commit…</t>
  </si>
  <si>
    <t>🅢🅤🅑🅜🅘🅣      🅨🅞🅤🅡       🅑🅔🅢🅣 🅦🅞🅡🅚     🅣🅞     🅤🅢 ❗
 @jmcquarterly (EIC: @Prof_Dimitrova) That's what #flagship journals are for. 
✺◟(ȍ◡ȍ)◞✺
@AEJMC @ICA_CAT @Journalism_ICA @ICA_PRD @poli_com @gcsc2020</t>
  </si>
  <si>
    <t>𝗖𝗼𝗻𝗴𝗿𝗮𝘁𝘂𝗹𝗮𝘁𝗶𝗼𝗻𝘀 to our 𝗹𝗼𝗻𝗴𝘁𝗶𝗺𝗲 𝗘𝗱𝗶𝘁𝗼𝗿𝗶𝗮𝗹 𝗕𝗼𝗮𝗿𝗱 𝗺𝗲𝗺𝗯𝗲𝗿 @jmcquarterly, 𝗧𝗵𝗼𝗺𝗮𝘀 𝗛𝗮𝗻𝗶𝘁𝘇𝘀𝗰𝗵 @THanitzsch, on being elected as 𝗜𝗖𝗔  𝗣𝗿𝗲𝘀𝗶𝗱𝗲𝗻𝘁. 🥂 @icahdq</t>
  </si>
  <si>
    <t>Congratulations on submitting your work to #ICA24! 
Looking for a home for your paper? We'd be happy to take a look! #PeerReview
@AEJMC @AEJMCCTEC @AEJMC_PolComm @AEJMC_PRD @icahdq @Prof_Dimitrova</t>
  </si>
  <si>
    <t>RT @stevedepo: Join IECA in 2024! Benefits include on-line access to ENVIRONMENTAL COMMUNICATION, discounts for 2025 COCE and on-line cours…</t>
  </si>
  <si>
    <t>"Journalism &amp;amp; Mass Communication Quarterly (JMCQ) is the flagship journal of the Association for Education in Journalism and Mass Communication (AEJMC). It is a quarterly, peer-reviewed journal ranked in the Journal Citation Reports..."
AEJMC
From 1° clave + reciente pub</t>
  </si>
  <si>
    <t>Assistant Professor in Digital Advertising - HigherEdJobs — new posting from us ⁦@ManshipSchool⁩ — not on search committee but happy to answer questions ⁦@AEJMC⁩ #jobalerts ⁦@adage⁩ ⁦@Adweek⁩  https://t.co/ClCavIiwX0</t>
  </si>
  <si>
    <t>RT @AEJMC_PRD: Join the @AEJMC_PRD Teaching Committee on Thursday, Nov. 9 from 2-3 p.m. ET for #PRProfChatCoffeeTalk. This informal chat wi…</t>
  </si>
  <si>
    <t>RT @willthewordguy: Assistant Professor - School of Media and Communication ⁦@bgsu⁩ ⁦@AEJMC⁩ ⁦@AEJMC_PRD⁩ #jobalert  https://t.co/snRcg3uWt3</t>
  </si>
  <si>
    <t>RT @willthewordguy: Marquette University | Assistant/Associate Professor in Health Communication ⁦@AEJMC⁩ #jobalert  https://t.co/Cp5gLn8QFa</t>
  </si>
  <si>
    <t>Still time to apply, @aejmc friends! NEW JOB ALERT 📢 We're hiring for a faculty position at the Greenlee School (@ISU_GSJC)! We have an opportunity for an Asst Prof of Practice or Asst Teaching Prof in Broadcast Media &amp;amp; Video Production. Deadline: Nov. 5. https://t.co/9bfJhYo5zf</t>
  </si>
  <si>
    <t>RT @JanLaurenB: Still time to apply, @aejmc friends! NEW JOB ALERT 📢 We're hiring for a faculty position at the Greenlee School (@ISU_GSJC)…</t>
  </si>
  <si>
    <t>Assistant Professor - School of Media and Communication ⁦@bgsu⁩ ⁦@AEJMC⁩ ⁦@AEJMC_PRD⁩ #jobalert  https://t.co/snRcg3uWt3</t>
  </si>
  <si>
    <t>RT @ColumbiaUP: Now available! "The long history of free enterprise in the United States cannot be understood without reckoning with the hi…</t>
  </si>
  <si>
    <t>Join the @AEJMC_PRD Teaching Committee on Thursday, Nov. 9 from 2-3 p.m. ET for #PRProfChatCoffeeTalk. This informal chat will provide support for our members and build community. Everyone is welcome. 
Join at https://t.co/DNi86jnk45
#PRProfChat #PRProf #SMProf #AEJMC #AEJMCPRD https://t.co/WkEwj0fxWO</t>
  </si>
  <si>
    <t>Happy Monday!😊
Join the @AEJMCPRD Teaching Committee and @AEJMC Standing Committee on Teaching on Tuesday, Oct. 31 from 12-1 p.m. for #PRProfChat. Our October workshop will feature best practices for pedagogy research that you can submit to a conference or for publication. https://t.co/iqR3IbUZBn</t>
  </si>
  <si>
    <t>Take a look at this information-packed issue of PRD update! ACEJMC accreditation advice, PRD committee updates, 2023 conference recap, and more! #newsletter #aejmc2023 #AEJMCPRD https://t.co/jT4Lbl1GNG https://t.co/b5M9PPaI6p</t>
  </si>
  <si>
    <t>A Halloween treat for #PRProfs 🍬Last chance to catch this #PRProfChat Workshop about pedagogy research! Starting at 12 p.m. ET today. Register at https://t.co/StEp46U0JS https://t.co/ob5oLwlupS</t>
  </si>
  <si>
    <t>Student names can reinforce an instructor's commitment to assignment feedback.
#TeachingTips #PRProfChat #AcademicExcellence #feedbackforstudent https://t.co/jLzeMxqRfo</t>
  </si>
  <si>
    <t>RT @AEJMC_PRD: Happy Monday!😊
Join the @AEJMCPRD Teaching Committee and @AEJMC Standing Committee on Teaching on Tuesday, Oct. 31 from 12-1…</t>
  </si>
  <si>
    <t>Department of Communication at the University of South Alabama invites applicants for a full-time (9-month), tenure-track assistant professor position in Advertising and Public Relations to begin August 15, 2024. https://t.co/QaY1j5uFmz</t>
  </si>
  <si>
    <t>RT @willthewordguy: Assistant Professor of Communication - HigherEdJobs ⁦@AEJMC⁩ #jobalerts  https://t.co/zZoCxbW5b6</t>
  </si>
  <si>
    <t>Assistant Professor - Communication &amp;amp; Journalism (Visual Communication in the Environment) - UW Candidate Experience Careers ⁦@AEJMC⁩ ⁦@aejmcviscom⁩ #jobalerts https://t.co/u0e9Myy11i</t>
  </si>
  <si>
    <t>Assistant Professor of Art, Media, and Design - HigherEdJobs ⁦@AEJMC⁩ ⁦@aejmcviscom⁩ #jobalerts https://t.co/c6hvAUWNnn</t>
  </si>
  <si>
    <t>Our fall newsletter is here and it's just as good as getting a full size candy bar on Halloween! Find it in your email or read it online: https://t.co/8AnyWJ9WU8</t>
  </si>
  <si>
    <t>RT @aejmcviscom: Our fall newsletter is here and it's just as good as getting a full size candy bar on Halloween! Find it in your email or…</t>
  </si>
  <si>
    <t>RT @jmcquarterly: 𝗖𝗼𝗻𝗴𝗿𝗮𝘁𝘂𝗹𝗮𝘁𝗶𝗼𝗻𝘀 to our 𝗹𝗼𝗻𝗴𝘁𝗶𝗺𝗲 𝗘𝗱𝗶𝘁𝗼𝗿𝗶𝗮𝗹 𝗕𝗼𝗮𝗿𝗱 𝗺𝗲𝗺𝗯𝗲𝗿 @jmcquarterly, 𝗧𝗵𝗼𝗺𝗮𝘀 𝗛𝗮𝗻𝗶𝘁𝘇𝘀𝗰𝗵 @THanitzsch, on being elected as 𝗜…</t>
  </si>
  <si>
    <t>RT @AEJMC: An AEJMC Standing Committee on Research Award,
The Blum Research Award was created to recognize people who have devoted substant…</t>
  </si>
  <si>
    <t>Thank you for a productive meeting, dear members of the @jmcquarterly Editorial Team!  
@Prof_Dimitrova, David Atkin, Hong Cheng, @renitac Renita Coleman, Colleen Connolly-Ahern, Sei-Hill Kim, @ViorelaDan, @GregPerreault, and Shireen Baghestani! https://t.co/aTFnaqEEaY</t>
  </si>
  <si>
    <t>@jmcquarterly @Prof_Dimitrova @renitac @ViorelaDan @GregPerreault 👏💙</t>
  </si>
  <si>
    <t>Job Alert 👇
School: SUNY Plattsburgh @SUNYPlattsburgh 
Position:  Assistant Professor, Multimedia Production
https://t.co/cc7G4njXJT
#AejmcJobs #Ad #JobAd</t>
  </si>
  <si>
    <t>🌏 We're nearing the end of Global Media and Information Literacy Week!
💡 Mark the occasion with us by reading 'Media Literacy and Education in India During Times of Communication Abundance' by Jesna Jayachandran
👇 Read now!
https://t.co/BXol9CpIjh
@UN @AEJMC</t>
  </si>
  <si>
    <t>RT @JOCCJournal: 🌏 We're nearing the end of Global Media and Information Literacy Week!
💡 Mark the occasion with us by reading 'Media Lite…</t>
  </si>
  <si>
    <t>🌏 Tomorrow marks the start of Global Media and Information Literacy Week!
📘 Celebrate this occasion with us by reading 'Media Literacy and Education in India During Times of Communication Abundance' by Jesna Jayachandran.
👇Read Now 
https://t.co/BXol9CpatJ
#medialiteracy https://t.co/6uGOMD5Lv2</t>
  </si>
  <si>
    <t>RT @jmcquarterly: Here's a #TopPaper in @jmcquarterly (EIC: @Prof_Dimitrova):
https://t.co/0b3CKt99rD
Police #Brutality and #Racial Justic…</t>
  </si>
  <si>
    <t>RT @AEJMC: AEJMC members approved a recent resolution: Recommitment to College/University Diversity Programs and Minority Faculty Hiring Re…</t>
  </si>
  <si>
    <t>@AEJMC Claiming you will challenge programs to support DEI without offering any plan for what that pressure looks like doesn’t mean much of anything.</t>
  </si>
  <si>
    <t>New book alert: Mean Girl Feminism by @KimHong4thewin. Available in Jan 2024. https://t.co/ZWsLnJXnjf https://t.co/zvDDWdHuPM</t>
  </si>
  <si>
    <t>RT @CSW_AEJMC: It's time to prepare your nominations for CSW's 2024 awards. Yes, we adjusted our deadline in the hopes that it will be more…</t>
  </si>
  <si>
    <t>It's time to prepare your nominations for CSW's 2024 awards. Yes, we adjusted our deadline in the hopes that it will be more convenient for everyone involved in the process: CSW leadership, applicants and reviewers.
Submit by Fri., Dec. 15. 
Details: https://t.co/d4CvvA8yp0 https://t.co/24F8AlT0sq</t>
  </si>
  <si>
    <t>#TopPaper in @jmcquarterly (EIC: @Prof_Dimitrova):
https://t.co/mxKjp8Qa8f
U.S. Public Opinion on China and the United States During the U.S.–China Trade Dispute: The Role of Audience Framing and Partisan Media Use
By @LouisaHaBGSU, Rik Ray, Peiqin Chen, Ke Guo
699 ⏬ @AEJMC</t>
  </si>
  <si>
    <t>🌞 Good morning! 
Here's a great paper @jmcquarterly (EIC: @Prof_Dimitrova) to start your day. 
It deals with the link between perceived #accuracy and #trust in #news media. 
#Spoiler alert: It goes both ways! 
@AEJMC
https://t.co/Xwj3Y3FXbx</t>
  </si>
  <si>
    <t>Here's a #TopPaper in @jmcquarterly (EIC: @Prof_Dimitrova):
https://t.co/0b3CKt99rD
Police #Brutality and #Racial Justice Narratives Through Multi-Narrative Framing
#GeorgeFloyd
Moshe Karabelnik, Jenifer Sunrise Winter, Richard N. Canevez
816 ⏬
 #AlternativeMetrics @aejmc</t>
  </si>
  <si>
    <t>RT @jmcquarterly: #TopPaper in @jmcquarterly (EIC: @Prof_Dimitrova):
https://t.co/mxKjp8Qa8f
U.S. Public Opinion on China and the United…</t>
  </si>
  <si>
    <t>RT @jmcquarterly: Thank you for a productive meeting, dear members of the @jmcquarterly Editorial Team!  
@Prof_Dimitrova, David Atkin, Hon…</t>
  </si>
  <si>
    <t>RT @jmcquarterly: Hot off the presses and topical:
"Empathy With #Muslim Victims of Discrimination"
Evidence indicates that personalizati…</t>
  </si>
  <si>
    <t>RT @LouisaHaBGSU: Dear #ICA2024 submitters, after submission of your full paper on topics related to online media and communication especia…</t>
  </si>
  <si>
    <t>RT @pengyilang: How do far-right media leverage social media logics and entertainment content to amplify their voices? We are excited to sh…</t>
  </si>
  <si>
    <t>RT @azaizamotaz9: Reporting from the middle area where a residential tower was bombed. Many of the dead and injured were taken to the hospi…</t>
  </si>
  <si>
    <t>Dear #ICA2024 submitters, after submission of your full paper on topics related to online media and communication especially international conflicts, submit it to our @omgcjournal which is free to authors and readers, 8 language abstracts. https://t.co/yQWfD5lmU6</t>
  </si>
  <si>
    <t>Journalism Professor Recognized for Outstanding Dissertation | University of Arkansas - The MCS Division of AEJMC awards excellence in graduate research with the dissertation award. Award winners are given a cash prize and an opportunity ... - https://t.co/a9pf1LjNGq</t>
  </si>
  <si>
    <t>Please join @CSGEAEJMC for our Fall 2023 Teaching panel, #medialiteracy101 on 11/27 @ 4pm EST!</t>
  </si>
  <si>
    <t>RT @BrianaTrifiro: Please join @CSGEAEJMC for our Fall 2023 Teaching panel, #medialiteracy101 on 11/27 @ 4pm EST!</t>
  </si>
  <si>
    <t>Join @CSGEAEJMC and @AEJMCethics for #MediaLiteracy101. All AEJMC members welcome! Our panel features @PR_Johnson, @AlexisRomWalker, @denielliott, @IC4ML’s @belmedia and @ProfGoldie Register at https://t.co/KBT0NrSpJJ https://t.co/fpTwVwbj3u</t>
  </si>
  <si>
    <t>What do you want to know about media literacy?
We'll share your questions w/ @CSGEAEJMC + @AEJMCethics #medialiteracy101 on 11/27.
Our teaching panel:
💻@PR_Johnson
📱@AlexisRomWalker
📺@denielliott
🖱️@IC4ML
⌨️@belmedia
🖥️@ProfGoldie
Register at: https://t.co/KBT0NrSpJJ https://t.co/4olQLMk7KD</t>
  </si>
  <si>
    <t>NEW #JMCQReview 🚨 In this book by Michael J Lee and R. Jarrod Atchison, they challenge the US as having a national identity and theorize a “separatist spectrum.”  @jmcquarterly review by @Appstatecomdept's Andrew Davis 
https://t.co/3NnhnoxED8 
@AEJMC_PolComm @poli_com @AEJMC</t>
  </si>
  <si>
    <t>📅 Mark your calendars! @AEJMC Southeast Colloquium submissions are due Dec. 11! Join us March 7-9 in Lexington, KY @uk_ci. 
https://t.co/OmSFgO53RC
Questions about your NOND submission? Contact @Lindita_Camaj!</t>
  </si>
  <si>
    <t>Job Alert 👇
School: University of Kentucky @uk_ci 
Position:  Chair of the Department of Integrated Strategic Communication
https://t.co/NOJcEMV2Pj
#AejmcJobs #Ad #JobAd</t>
  </si>
  <si>
    <t>Save the date - 49th Annual AEJMC Southeast Colloquium to be held March 7-9 @uk_ci. We invite you to submit papers, works in progress, &amp;amp; teaching tips. The conference will be fully in-person. View the call &amp;amp; info here:
https://t.co/X2KyhP3aQB</t>
  </si>
  <si>
    <t>RT @aejmc_nond: 📅 Mark your calendars! @AEJMC Southeast Colloquium submissions are due Dec. 11! Join us March 7-9 in Lexington, KY @uk_ci.…</t>
  </si>
  <si>
    <t>RT @AEJMC: The AEJMC Standing Committee on Research is accepting nominations through Dec. 1 for
the Paul J. Deutschmann Award for Excellenc…</t>
  </si>
  <si>
    <t>RT @GregPerreault: NEW #JMCQReview 🚨 In this book by Michael J Lee and R. Jarrod Atchison, they challenge the US as having a national ident…</t>
  </si>
  <si>
    <t>Wed. Nov. 1, 2-3 p.m. (central) I will give a presentation about the P&amp;amp;T process with emphasis on gratitude rather than gratification. Good writing tips for dossier. Go to link below to register for free. @NatComm @gratitude  @ISU_GSJC @AEJMC @IowaStateU https://t.co/vF1xWA0WhA</t>
  </si>
  <si>
    <t>@Brizzyc Happened to me during AEJMC. Only, they bought a couple of grand in furniture at Ashley.</t>
  </si>
  <si>
    <t>PhD students: Help us make updates for the third edition of "Destination Dissertation." Take our survey and get a $100 honorarium toward books. 
cc: @CSGEAEJMC @apa_gsc @APAGradECP @NeMLAGradCaucus @AarGrad @ASAnews
Start here👉 https://t.co/H3uWn9cQr9 https://t.co/SWz8Re7cCw</t>
  </si>
  <si>
    <t>RT @RLPGBooks: PhD students: Help us make updates for the third edition of "Destination Dissertation." Take our survey and get a $100 honor…</t>
  </si>
  <si>
    <t>How do far-right media leverage social media logics and entertainment content to amplify their voices? We are excited to share our new research in New Media &amp;amp; Society (w/ @tianyangyt @fangkc ). https://t.co/TJWhm70KoK</t>
  </si>
  <si>
    <t>The paper call for 2024 AEJMC Midwinter Conference is now out. The deadline to submit extended abstracts (only 600 to 800 words) is December 15, 2023.
https://t.co/xwoktO7xIx</t>
  </si>
  <si>
    <t>Now available! "The long history of free enterprise in the United States cannot be understood without reckoning with the history of religion."—Kathryn Lofton https://t.co/hD7uivmLLY https://t.co/ZUyotCCscr</t>
  </si>
  <si>
    <t>@AEJMC announced the 2023 @newsengagement award winners! 2 of the 5 winners were in my
@NewhouseSU @NewhouseBDJ
@NCCNewsOnline newscast class. @mwmcclos &amp;amp; @DecinaKayley won by submitted day of turns to the competition! Congratulations 🎉 🎉 🎉  https://t.co/nOOlkjhL4J</t>
  </si>
  <si>
    <t>Hot off the presses and topical:
"Empathy With #Muslim Victims of Discrimination"
Evidence indicates that personalization and emotionalization  increase empathy with Muslim victims among those with high Muslim prejudice.
https://t.co/XRvuMPmzj0</t>
  </si>
  <si>
    <t>RT @KeonteColeman: @AEJMC announced the 2023 @newsengagement award winners! 2 of the 5 winners were in my
@NewhouseSU @NewhouseBDJ
@NCCNews…</t>
  </si>
  <si>
    <t>Congrats to the 5 @newsengagement winners &amp;amp; thank you to all who participated in the contest! Amazing work!</t>
  </si>
  <si>
    <t>RT @Michael_Bugeja: Wed. Nov. 1, 2-3 p.m. (central) I will give a presentation about the P&amp;amp;T process with emphasis on gratitude rather than…</t>
  </si>
  <si>
    <t>This is a great @Snapchat way to “see” the world. #smc2024 #smprofs #prprofs @aejmc</t>
  </si>
  <si>
    <t>Marquette University | Assistant/Associate Professor in Health Communication ⁦@AEJMC⁩ #jobalert  https://t.co/Cp5gLn8QFa</t>
  </si>
  <si>
    <t>Assistant Professor of Communication - HigherEdJobs ⁦@AEJMC⁩ #jobalerts  https://t.co/zZoCxbW5b6</t>
  </si>
  <si>
    <t>Assistant Professor, Communications - HigherEdJobs ⁦@AEJMC⁩ #jobalerts  https://t.co/dSa3tE4vna</t>
  </si>
  <si>
    <t>Regular Faculty - Communication - HigherEdJobs ⁦@AEJMC⁩ #jobalerts https://t.co/KZFycFxhYy</t>
  </si>
  <si>
    <t>Israel’s propaganda campaign failed to consider Snapchat Maps. 
 https://t.co/GHypRFoqcX</t>
  </si>
  <si>
    <t>Wisdom Worth Following 🇨🇦🇺🇸🇬🇧🌎🌍🙏
@jeremyhl
@SoMCoaching
@michaelbathurst
@Eli_Krumova
@docassar
@this0499154500
@shoutmgb
@usesaitapr0
@reutsmichael1
@aejmc
@unosmlre
@mpowelly01
Top hashtags:
#smprofs
#smpc2023
#prprofs
#smle2022
#ff
#aejmc21
#aejmc22
#aejmc2021
#ShoutMGB</t>
  </si>
  <si>
    <t>RT @NAHJ: Happy Friday! @NAHJ is continuing to highlight members making waves in #journalism. 👏
Check out this incredible Q&amp;amp;A with Dr. Jes…</t>
  </si>
  <si>
    <t>An AEJMC Standing Committee on Research Award,
The Blum Research Award was created to recognize people who have devoted substantial parts of their careers to promoting research in mass communication. Nominate by Dec. 15.
https://t.co/on1zleL8Ih</t>
  </si>
  <si>
    <t>AEJMC members approved a recent resolution: Recommitment to College/University Diversity Programs and Minority Faculty Hiring Resolution.
https://t.co/zUptdBXIBZ</t>
  </si>
  <si>
    <t>Sponsored by AEJMC &amp;amp; the Urban Communication Foundation, the Gene Burd Award for Research in Urban Journalism Studies is accepting proposals until Nov. 15. View the full call here:
https://t.co/rH9Pw6oQXs</t>
  </si>
  <si>
    <t>The AEJMC Standing Committee on Research is accepting nominations through Dec. 1 for
the Paul J. Deutschmann Award for Excellence in Research. View the full call online here:
https://t.co/xPmzRmZ6Cf</t>
  </si>
  <si>
    <t>Congrats to Emma Longo (COM'24) for winning the @IGS_BU Undergraduate Student Award!
She turned her project, "How Fossil Fuel Companies Use Native Advertisements to Promote Climate Denialism in US Media," into an article for @AEJMC.
Read more: https://t.co/W9WHSg1Z8K</t>
  </si>
  <si>
    <t>RT @michaelbathurst: Wisdom Worth Following 🇨🇦🇺🇸🇬🇧🌎🌍🙏
@jeremyhl
@SoMCoaching
@michaelbathurst
@Eli_Krumova
@docassar
@this0499154500
@shout…</t>
  </si>
  <si>
    <t>Join IECA in 2024! Benefits include on-line access to ENVIRONMENTAL COMMUNICATION, discounts for 2025 COCE and on-line courses, networking with 400+ members, and more! Check us out at https://t.co/kVHMxeHtLl. @EnvCommResGroup @ICAEnviroComm @AEJMC_ComSHER #myieca</t>
  </si>
  <si>
    <t>Reporting from the middle area where a residential tower was bombed. Many of the dead and injured were taken to the hospital. Volunteers search under the rubble for survivors and victims https://t.co/UozGzZqRDq</t>
  </si>
  <si>
    <t>Happy Friday! @NAHJ is continuing to highlight members making waves in #journalism. 👏
Check out this incredible Q&amp;amp;A with Dr. Jessica Retis, Director of University of Arizona School of Journalism. @jretis @uazjschool
➡️ Read more: https://t.co/f8063YOOzs
#HispanicHeritageMonth https://t.co/RUq9ISpZRJ</t>
  </si>
  <si>
    <t>ica24</t>
  </si>
  <si>
    <t>teamnewhouse</t>
  </si>
  <si>
    <t>flagship</t>
  </si>
  <si>
    <t>ica24 peerreview</t>
  </si>
  <si>
    <t>jobalerts</t>
  </si>
  <si>
    <t>prprofchatcoffeetalk</t>
  </si>
  <si>
    <t>jobalert</t>
  </si>
  <si>
    <t>prprofchatcoffeetalk prprofchat prprof smprof aejmc aejmcprd</t>
  </si>
  <si>
    <t>prprofchat</t>
  </si>
  <si>
    <t>newsletter aejmc2023 aejmcprd</t>
  </si>
  <si>
    <t>prprofs prprofchat</t>
  </si>
  <si>
    <t>teachingtips prprofchat academicexcellence feedbackforstudent</t>
  </si>
  <si>
    <t>aejmcjobs ad jobad</t>
  </si>
  <si>
    <t>medialiteracy</t>
  </si>
  <si>
    <t>toppaper brutality racial</t>
  </si>
  <si>
    <t>toppaper</t>
  </si>
  <si>
    <t>accuracy trust news spoiler</t>
  </si>
  <si>
    <t>toppaper brutality racial georgefloyd alternativemetrics</t>
  </si>
  <si>
    <t>muslim</t>
  </si>
  <si>
    <t>ica2024</t>
  </si>
  <si>
    <t>medialiteracy101</t>
  </si>
  <si>
    <t>jmcqreview</t>
  </si>
  <si>
    <t>smc2024 smprofs prprofs</t>
  </si>
  <si>
    <t>smprofs smpc2023 prprofs smle2022 ff aejmc21 aejmc22 aejmc2021 shoutmgb</t>
  </si>
  <si>
    <t>journalism</t>
  </si>
  <si>
    <t>myieca</t>
  </si>
  <si>
    <t>journalism hispanicheritagemonth</t>
  </si>
  <si>
    <t>syracuse.edu</t>
  </si>
  <si>
    <t>higheredjobs.com</t>
  </si>
  <si>
    <t>schooljobs.com</t>
  </si>
  <si>
    <t>marquette.edu</t>
  </si>
  <si>
    <t>myworkdayjobs.com</t>
  </si>
  <si>
    <t>zoom.us</t>
  </si>
  <si>
    <t>aejmc.org</t>
  </si>
  <si>
    <t>oraclecloud.com</t>
  </si>
  <si>
    <t>bit.ly</t>
  </si>
  <si>
    <t>sagepub.com</t>
  </si>
  <si>
    <t>buff.ly</t>
  </si>
  <si>
    <t>degruyter.com</t>
  </si>
  <si>
    <t>ift.tt</t>
  </si>
  <si>
    <t>uky.edu</t>
  </si>
  <si>
    <t>iastate.edu</t>
  </si>
  <si>
    <t>ow.ly</t>
  </si>
  <si>
    <t>wordpress.com</t>
  </si>
  <si>
    <t>aejmc.com</t>
  </si>
  <si>
    <t>spr.ly</t>
  </si>
  <si>
    <t>theieca.org</t>
  </si>
  <si>
    <t>substack.com</t>
  </si>
  <si>
    <t>jmcquarterly jmcquarterly prof_dimitrova</t>
  </si>
  <si>
    <t>newhousesu collegephotog aejmc isaiah_photo</t>
  </si>
  <si>
    <t>newhousesu newhousesu collegephotog aejmc</t>
  </si>
  <si>
    <t>shannonscovel azhanitealer shannonscovel</t>
  </si>
  <si>
    <t>comatbu igs_bu</t>
  </si>
  <si>
    <t>willthewordguy manshipschool</t>
  </si>
  <si>
    <t>jmcquarterly prof_dimitrova aejmc ica_cat journalism_ica ica_prd poli_com gcsc2020</t>
  </si>
  <si>
    <t>jmcquarterly thanitzsch icahdq</t>
  </si>
  <si>
    <t>aejmc aejmcctec aejmc_polcomm aejmc_prd icahdq prof_dimitrova</t>
  </si>
  <si>
    <t>manshipschool aejmc adage adweek</t>
  </si>
  <si>
    <t>aejmc_prd aejmc_prd</t>
  </si>
  <si>
    <t>willthewordguy bgsu aejmc aejmc_prd</t>
  </si>
  <si>
    <t>willthewordguy aejmc</t>
  </si>
  <si>
    <t>aejmc isu_gsjc</t>
  </si>
  <si>
    <t>janlaurenb aejmc isu_gsjc</t>
  </si>
  <si>
    <t>bgsu aejmc aejmc_prd</t>
  </si>
  <si>
    <t>aejmc aejmcviscom</t>
  </si>
  <si>
    <t>jmcquarterly jmcquarterly thanitzsch</t>
  </si>
  <si>
    <t>jmcquarterly prof_dimitrova renitac vioreladan gregperreault</t>
  </si>
  <si>
    <t>un aejmc</t>
  </si>
  <si>
    <t>jmcquarterly prof_dimitrova louisahabgsu aejmc</t>
  </si>
  <si>
    <t>jmcquarterly prof_dimitrova aejmc</t>
  </si>
  <si>
    <t>brianatrifiro csgeaejmc</t>
  </si>
  <si>
    <t>csgeaejmc aejmcethics pr_johnson alexisromwalker denielliott ic4ml belmedia profgoldie</t>
  </si>
  <si>
    <t>jmcquarterly appstatecomdept aejmc_polcomm poli_com aejmc</t>
  </si>
  <si>
    <t>aejmc uk_ci lindita_camaj</t>
  </si>
  <si>
    <t>aejmc_nond aejmc uk_ci</t>
  </si>
  <si>
    <t>natcomm gratitude isu_gsjc aejmc iowastateu</t>
  </si>
  <si>
    <t>csgeaejmc apa_gsc apagradecp nemlagradcaucus aargrad asanews</t>
  </si>
  <si>
    <t>tianyangyt fangkc</t>
  </si>
  <si>
    <t>aejmc newsengagement newhousesu newhousebdj nccnewsonline mwmcclos decinakayley</t>
  </si>
  <si>
    <t>keontecoleman aejmc newsengagement newhousesu newhousebdj</t>
  </si>
  <si>
    <t>snapchat aejmc</t>
  </si>
  <si>
    <t>jeremyhl somcoaching michaelbathurst eli_krumova docassar this0499154500 shoutmgb usesaitapr0 reutsmichael1 aejmc unosmlre mpowelly01</t>
  </si>
  <si>
    <t>nahj nahj</t>
  </si>
  <si>
    <t>igs_bu aejmc</t>
  </si>
  <si>
    <t>michaelbathurst jeremyhl somcoaching michaelbathurst eli_krumova docassar this0499154500</t>
  </si>
  <si>
    <t>envcommresgroup icaenvirocomm aejmc_comsher</t>
  </si>
  <si>
    <t>nahj jretis uazjschool</t>
  </si>
  <si>
    <t>https://t.co/8r16r1i9JD https://pbs.twimg.com/media/F98lm41XkAAfs2k.jpg</t>
  </si>
  <si>
    <t>https://t.co/WkEwj0fxWO https://pbs.twimg.com/media/F-HRsi1WMAA2DI-.jpg</t>
  </si>
  <si>
    <t>https://t.co/iqR3IbUZBn https://pbs.twimg.com/media/F9JTS4GagAEmrtd.jpg</t>
  </si>
  <si>
    <t>https://t.co/b5M9PPaI6p https://pbs.twimg.com/media/F9tgJw4XIAAbXgn.jpg</t>
  </si>
  <si>
    <t>https://t.co/ob5oLwlupS https://pbs.twimg.com/media/F9xslKgWEAAwHeM.jpg</t>
  </si>
  <si>
    <t>https://t.co/jLzeMxqRfo https://pbs.twimg.com/media/F9tcXGJXEAAOUf6.jpg</t>
  </si>
  <si>
    <t>https://t.co/QaY1j5uFmz https://t.co/QaY1j5uFmz https://pbs.twimg.com/media/F9ykDLJX0AAhAKG.jpg https://pbs.twimg.com/media/F9ykDr9WwAAH0xl.png</t>
  </si>
  <si>
    <t>https://t.co/aTFnaqEEaY https://pbs.twimg.com/media/F-BnCAIXwAA6-2j.jpg</t>
  </si>
  <si>
    <t>https://t.co/6uGOMD5Lv2 https://pbs.twimg.com/media/F8JmwXcaMAA_W3l.jpg</t>
  </si>
  <si>
    <t>https://t.co/zvDDWdHuPM https://pbs.twimg.com/media/F92f0g6WQAAZrQ8.jpg</t>
  </si>
  <si>
    <t>https://t.co/24F8AlT0sq https://pbs.twimg.com/media/F945jwSWQAAavkM.jpg</t>
  </si>
  <si>
    <t>https://t.co/fpTwVwbj3u https://pbs.twimg.com/media/F9IjUUkXAAAIObs.png</t>
  </si>
  <si>
    <t>https://t.co/4olQLMk7KD https://pbs.twimg.com/tweet_video_thumb/F-CC553agAAW9bb.jpg</t>
  </si>
  <si>
    <t>https://t.co/SWz8Re7cCw https://pbs.twimg.com/media/F9eGLPPW4AAuhpV.jpg</t>
  </si>
  <si>
    <t>https://t.co/ZUyotCCscr https://pbs.twimg.com/media/F9n_7x2W8AAFr58.jpg</t>
  </si>
  <si>
    <t>https://t.co/GHypRFoqcX https://pbs.twimg.com/amplify_video_thumb/1717288412196085760/img/DoDTnfixG4fizR8t.jpg</t>
  </si>
  <si>
    <t>https://t.co/UozGzZqRDq https://pbs.twimg.com/ext_tw_video_thumb/1719746771893571584/pu/img/alNHRUnfwoBxrA3j.jpg</t>
  </si>
  <si>
    <t>https://t.co/RUq9ISpZRJ https://pbs.twimg.com/media/F7xjwoJXoAAZcqr.jpg</t>
  </si>
  <si>
    <t>photo</t>
  </si>
  <si>
    <t>photo photo</t>
  </si>
  <si>
    <t>animated_gif</t>
  </si>
  <si>
    <t>video</t>
  </si>
  <si>
    <t>Twitter for Android</t>
  </si>
  <si>
    <t>Twitter for iPhone</t>
  </si>
  <si>
    <t>Buffer</t>
  </si>
  <si>
    <t>Twitter Web App</t>
  </si>
  <si>
    <t>Twitter for iPad</t>
  </si>
  <si>
    <t>IFTTT</t>
  </si>
  <si>
    <t>Hootsuite Inc.</t>
  </si>
  <si>
    <t>Meltwater Social</t>
  </si>
  <si>
    <t>Sprinklr</t>
  </si>
  <si>
    <t>en</t>
  </si>
  <si>
    <t>qme</t>
  </si>
  <si>
    <t>22:12:21</t>
  </si>
  <si>
    <t>22:05:39</t>
  </si>
  <si>
    <t>15:43:44</t>
  </si>
  <si>
    <t>17:45:02</t>
  </si>
  <si>
    <t>19:16:05</t>
  </si>
  <si>
    <t>01:55:36</t>
  </si>
  <si>
    <t>15:06:49</t>
  </si>
  <si>
    <t>23:33:41</t>
  </si>
  <si>
    <t>08:19:47</t>
  </si>
  <si>
    <t>00:29:09</t>
  </si>
  <si>
    <t>08:06:14</t>
  </si>
  <si>
    <t>09:55:12</t>
  </si>
  <si>
    <t>21:55:55</t>
  </si>
  <si>
    <t>23:09:07</t>
  </si>
  <si>
    <t>20:20:14</t>
  </si>
  <si>
    <t>20:01:57</t>
  </si>
  <si>
    <t>02:00:47</t>
  </si>
  <si>
    <t>01:47:23</t>
  </si>
  <si>
    <t>23:51:32</t>
  </si>
  <si>
    <t>23:24:47</t>
  </si>
  <si>
    <t>13:25:47</t>
  </si>
  <si>
    <t>03:06:51</t>
  </si>
  <si>
    <t>01:09:42</t>
  </si>
  <si>
    <t>01:35:49</t>
  </si>
  <si>
    <t>05:49:39</t>
  </si>
  <si>
    <t>17:58:25</t>
  </si>
  <si>
    <t>19:38:06</t>
  </si>
  <si>
    <t>18:47:04</t>
  </si>
  <si>
    <t>19:26:00</t>
  </si>
  <si>
    <t>15:44:17</t>
  </si>
  <si>
    <t>22:10:00</t>
  </si>
  <si>
    <t>20:13:35</t>
  </si>
  <si>
    <t>19:02:09</t>
  </si>
  <si>
    <t>01:42:11</t>
  </si>
  <si>
    <t>00:24:32</t>
  </si>
  <si>
    <t>21:33:19</t>
  </si>
  <si>
    <t>16:38:08</t>
  </si>
  <si>
    <t>16:18:48</t>
  </si>
  <si>
    <t>15:45:19</t>
  </si>
  <si>
    <t>17:35:11</t>
  </si>
  <si>
    <t>15:27:43</t>
  </si>
  <si>
    <t>20:56:51</t>
  </si>
  <si>
    <t>17:12:44</t>
  </si>
  <si>
    <t>17:46:57</t>
  </si>
  <si>
    <t>19:58:32</t>
  </si>
  <si>
    <t>06:43:24</t>
  </si>
  <si>
    <t>15:28:03</t>
  </si>
  <si>
    <t>10:00:00</t>
  </si>
  <si>
    <t>20:17:07</t>
  </si>
  <si>
    <t>13:31:27</t>
  </si>
  <si>
    <t>12:07:25</t>
  </si>
  <si>
    <t>17:47:41</t>
  </si>
  <si>
    <t>19:36:35</t>
  </si>
  <si>
    <t>13:22:02</t>
  </si>
  <si>
    <t>17:35:22</t>
  </si>
  <si>
    <t>00:37:13</t>
  </si>
  <si>
    <t>14:30:15</t>
  </si>
  <si>
    <t>08:30:00</t>
  </si>
  <si>
    <t>07:55:48</t>
  </si>
  <si>
    <t>14:18:43</t>
  </si>
  <si>
    <t>12:37:31</t>
  </si>
  <si>
    <t>20:25:38</t>
  </si>
  <si>
    <t>17:46:49</t>
  </si>
  <si>
    <t>19:35:32</t>
  </si>
  <si>
    <t>15:27:55</t>
  </si>
  <si>
    <t>13:03:28</t>
  </si>
  <si>
    <t>01:11:43</t>
  </si>
  <si>
    <t>01:12:45</t>
  </si>
  <si>
    <t>01:12:16</t>
  </si>
  <si>
    <t>01:11:33</t>
  </si>
  <si>
    <t>12:44:22</t>
  </si>
  <si>
    <t>13:19:33</t>
  </si>
  <si>
    <t>07:46:17</t>
  </si>
  <si>
    <t>01:37:33</t>
  </si>
  <si>
    <t>19:40:29</t>
  </si>
  <si>
    <t>19:37:41</t>
  </si>
  <si>
    <t>15:17:45</t>
  </si>
  <si>
    <t>19:11:08</t>
  </si>
  <si>
    <t>16:47:58</t>
  </si>
  <si>
    <t>18:26:01</t>
  </si>
  <si>
    <t>15:46:00</t>
  </si>
  <si>
    <t>16:48:10</t>
  </si>
  <si>
    <t>20:15:52</t>
  </si>
  <si>
    <t>20:13:40</t>
  </si>
  <si>
    <t>15:28:54</t>
  </si>
  <si>
    <t>20:15:06</t>
  </si>
  <si>
    <t>17:58:05</t>
  </si>
  <si>
    <t>17:46:39</t>
  </si>
  <si>
    <t>13:00:15</t>
  </si>
  <si>
    <t>13:18:59</t>
  </si>
  <si>
    <t>17:53:09</t>
  </si>
  <si>
    <t>23:28:47</t>
  </si>
  <si>
    <t>19:39:05</t>
  </si>
  <si>
    <t>19:37:34</t>
  </si>
  <si>
    <t>15:43:54</t>
  </si>
  <si>
    <t>16:59:17</t>
  </si>
  <si>
    <t>19:35:08</t>
  </si>
  <si>
    <t>02:33:28</t>
  </si>
  <si>
    <t>00:17:06</t>
  </si>
  <si>
    <t>17:48:01</t>
  </si>
  <si>
    <t>14:25:40</t>
  </si>
  <si>
    <t>16:04:56</t>
  </si>
  <si>
    <t>13:03:24</t>
  </si>
  <si>
    <t>16:15:29</t>
  </si>
  <si>
    <t>14:10:14</t>
  </si>
  <si>
    <t>14:31:04</t>
  </si>
  <si>
    <t>18:18:49</t>
  </si>
  <si>
    <t>15:54:55</t>
  </si>
  <si>
    <t>23:09:43</t>
  </si>
  <si>
    <t>20:56:21</t>
  </si>
  <si>
    <t>01:01:08</t>
  </si>
  <si>
    <t>03:08:53</t>
  </si>
  <si>
    <t>16:16:31</t>
  </si>
  <si>
    <t>16:17:37</t>
  </si>
  <si>
    <t>16:17:09</t>
  </si>
  <si>
    <t>14:55:52</t>
  </si>
  <si>
    <t>08:54:52</t>
  </si>
  <si>
    <t>15:27:28</t>
  </si>
  <si>
    <t>16:48:06</t>
  </si>
  <si>
    <t>19:26:08</t>
  </si>
  <si>
    <t>18:29:53</t>
  </si>
  <si>
    <t>18:40:26</t>
  </si>
  <si>
    <t>17:00:00</t>
  </si>
  <si>
    <t>08:57:47</t>
  </si>
  <si>
    <t>19:37:27</t>
  </si>
  <si>
    <t>23:23:08</t>
  </si>
  <si>
    <t>21:34:12</t>
  </si>
  <si>
    <t>16:05:28</t>
  </si>
  <si>
    <t>17:56:52</t>
  </si>
  <si>
    <t>-79.639319,43.403221 
-79.639319,43.855401 
-78.90582,43.855401 
-78.90582,43.403221 
-79.639319,43.403221</t>
  </si>
  <si>
    <t>Canada</t>
  </si>
  <si>
    <t>CA</t>
  </si>
  <si>
    <t>Toronto, Ontario</t>
  </si>
  <si>
    <t>3797791ff9c0e4c6</t>
  </si>
  <si>
    <t>Toronto</t>
  </si>
  <si>
    <t>city</t>
  </si>
  <si>
    <t>3_1720134932700303360</t>
  </si>
  <si>
    <t>3_1720887095827247104</t>
  </si>
  <si>
    <t>3_1716525991743619073</t>
  </si>
  <si>
    <t>3_1719073403628363776</t>
  </si>
  <si>
    <t>3_1719368543479664640</t>
  </si>
  <si>
    <t>3_1719069234628595712</t>
  </si>
  <si>
    <t>3_1719429532187348992 3_1719429540995317760</t>
  </si>
  <si>
    <t>3_1720488341748039680</t>
  </si>
  <si>
    <t>3_1712043789467136000</t>
  </si>
  <si>
    <t>3_1719706357262073856</t>
  </si>
  <si>
    <t>3_1719875394122170368</t>
  </si>
  <si>
    <t>3_1716473240007147520</t>
  </si>
  <si>
    <t>16_1720518988952928256</t>
  </si>
  <si>
    <t>3_1717989310492762112</t>
  </si>
  <si>
    <t>3_1718686135277252608</t>
  </si>
  <si>
    <t>13_1717288412196085760</t>
  </si>
  <si>
    <t>7_1719746771893571584</t>
  </si>
  <si>
    <t>3_1710351645555531776</t>
  </si>
  <si>
    <t>1719477436407021691</t>
  </si>
  <si>
    <t>1720200524060917847</t>
  </si>
  <si>
    <t>1720829189832483273</t>
  </si>
  <si>
    <t>1720134936496116148</t>
  </si>
  <si>
    <t>1720157850465411279</t>
  </si>
  <si>
    <t>1720620782651351141</t>
  </si>
  <si>
    <t>1720095122522878120</t>
  </si>
  <si>
    <t>1719860291825979546</t>
  </si>
  <si>
    <t>1720355075653050557</t>
  </si>
  <si>
    <t>1713351267106336845</t>
  </si>
  <si>
    <t>1720351664719151216</t>
  </si>
  <si>
    <t>1721103866161168535</t>
  </si>
  <si>
    <t>1720198075702968765</t>
  </si>
  <si>
    <t>1719854110231371957</t>
  </si>
  <si>
    <t>1719449220498022851</t>
  </si>
  <si>
    <t>1720894169428988212</t>
  </si>
  <si>
    <t>1719534921486901428</t>
  </si>
  <si>
    <t>1720256325337440397</t>
  </si>
  <si>
    <t>1719864784147878315</t>
  </si>
  <si>
    <t>1718770888999411881</t>
  </si>
  <si>
    <t>1718982530567913695</t>
  </si>
  <si>
    <t>1718826772110676208</t>
  </si>
  <si>
    <t>1719522068411085041</t>
  </si>
  <si>
    <t>1719528640973516901</t>
  </si>
  <si>
    <t>1719592518806114639</t>
  </si>
  <si>
    <t>1718688756105126073</t>
  </si>
  <si>
    <t>1720888166104592768</t>
  </si>
  <si>
    <t>1716526669639614760</t>
  </si>
  <si>
    <t>1720522733946093576</t>
  </si>
  <si>
    <t>1719379773795750043</t>
  </si>
  <si>
    <t>1719114454913446213</t>
  </si>
  <si>
    <t>1719085160015229016</t>
  </si>
  <si>
    <t>1719429570024091940</t>
  </si>
  <si>
    <t>1720979792630370409</t>
  </si>
  <si>
    <t>1719873085816369246</t>
  </si>
  <si>
    <t>1720554776251838636</t>
  </si>
  <si>
    <t>1720480491709534567</t>
  </si>
  <si>
    <t>1720475626551881857</t>
  </si>
  <si>
    <t>1720104809574109277</t>
  </si>
  <si>
    <t>1720494848510206134</t>
  </si>
  <si>
    <t>1719013216028676245</t>
  </si>
  <si>
    <t>1720545599345369196</t>
  </si>
  <si>
    <t>1720489199554486686</t>
  </si>
  <si>
    <t>1720497808719942028</t>
  </si>
  <si>
    <t>1719806146536444240</t>
  </si>
  <si>
    <t>1718881270619627729</t>
  </si>
  <si>
    <t>1719013300917153948</t>
  </si>
  <si>
    <t>1716394030886428900</t>
  </si>
  <si>
    <t>1719448434405474801</t>
  </si>
  <si>
    <t>1718983958925324776</t>
  </si>
  <si>
    <t>1719687588036890846</t>
  </si>
  <si>
    <t>1719048441324560404</t>
  </si>
  <si>
    <t>1719438236919972213</t>
  </si>
  <si>
    <t>1719706362714747328</t>
  </si>
  <si>
    <t>1720494891594031435</t>
  </si>
  <si>
    <t>1719876278986162455</t>
  </si>
  <si>
    <t>1718998754668200345</t>
  </si>
  <si>
    <t>1719995258149228840</t>
  </si>
  <si>
    <t>1718899489916727435</t>
  </si>
  <si>
    <t>1720083015194562625</t>
  </si>
  <si>
    <t>1720419935531204819</t>
  </si>
  <si>
    <t>1719450577459912929</t>
  </si>
  <si>
    <t>1720497776302117214</t>
  </si>
  <si>
    <t>1719437971806375979</t>
  </si>
  <si>
    <t>1719013266746118316</t>
  </si>
  <si>
    <t>1720426469137043715</t>
  </si>
  <si>
    <t>1720247351288172686</t>
  </si>
  <si>
    <t>1720247609892200675</t>
  </si>
  <si>
    <t>1720247489205256386</t>
  </si>
  <si>
    <t>1720247308242022884</t>
  </si>
  <si>
    <t>1720421659180433824</t>
  </si>
  <si>
    <t>1719705738673565827</t>
  </si>
  <si>
    <t>1719259482205692353</t>
  </si>
  <si>
    <t>1716629972062773742</t>
  </si>
  <si>
    <t>1719439218492035292</t>
  </si>
  <si>
    <t>1719438511349137778</t>
  </si>
  <si>
    <t>1716473993249645024</t>
  </si>
  <si>
    <t>1720518995030556846</t>
  </si>
  <si>
    <t>1717946250757378369</t>
  </si>
  <si>
    <t>1716521373886218438</t>
  </si>
  <si>
    <t>1719380205683270107</t>
  </si>
  <si>
    <t>1714322420926943611</t>
  </si>
  <si>
    <t>1719085731149226334</t>
  </si>
  <si>
    <t>1719085181271933174</t>
  </si>
  <si>
    <t>1719013516298862668</t>
  </si>
  <si>
    <t>1719085538118979812</t>
  </si>
  <si>
    <t>1720500610754097661</t>
  </si>
  <si>
    <t>1720497732803084389</t>
  </si>
  <si>
    <t>1720788047682326679</t>
  </si>
  <si>
    <t>1719343210949124292</t>
  </si>
  <si>
    <t>1720499366845088233</t>
  </si>
  <si>
    <t>1720946220435210470</t>
  </si>
  <si>
    <t>1717989312514412961</t>
  </si>
  <si>
    <t>1719438481913421861</t>
  </si>
  <si>
    <t>1717930126736761107</t>
  </si>
  <si>
    <t>1719398651049726196</t>
  </si>
  <si>
    <t>1719437871679971702</t>
  </si>
  <si>
    <t>1719543148467130375</t>
  </si>
  <si>
    <t>1719871217073799451</t>
  </si>
  <si>
    <t>1718686137701585028</t>
  </si>
  <si>
    <t>1719359990362681403</t>
  </si>
  <si>
    <t>1719747359171625099</t>
  </si>
  <si>
    <t>1720426451046891612</t>
  </si>
  <si>
    <t>1719750016036634739</t>
  </si>
  <si>
    <t>1720443268767342998</t>
  </si>
  <si>
    <t>1719361350286069994</t>
  </si>
  <si>
    <t>1719418665555153211</t>
  </si>
  <si>
    <t>1719382452064391275</t>
  </si>
  <si>
    <t>1720941421941694564</t>
  </si>
  <si>
    <t>1718733533605196087</t>
  </si>
  <si>
    <t>1719882297246167082</t>
  </si>
  <si>
    <t>1719552058796241046</t>
  </si>
  <si>
    <t>1720475048329228593</t>
  </si>
  <si>
    <t>1720475325337854362</t>
  </si>
  <si>
    <t>1720475208295887090</t>
  </si>
  <si>
    <t>1718280425640951818</t>
  </si>
  <si>
    <t>1633390819326545921</t>
  </si>
  <si>
    <t>1719013154087190717</t>
  </si>
  <si>
    <t>1720483000461181036</t>
  </si>
  <si>
    <t>1719435606160265633</t>
  </si>
  <si>
    <t>1719421450392613239</t>
  </si>
  <si>
    <t>1717612166008766732</t>
  </si>
  <si>
    <t>1719398831287067049</t>
  </si>
  <si>
    <t>1720364640884940940</t>
  </si>
  <si>
    <t>1719438454592032991</t>
  </si>
  <si>
    <t>1719495250173886549</t>
  </si>
  <si>
    <t>1720917387485020564</t>
  </si>
  <si>
    <t>1719747492466569538</t>
  </si>
  <si>
    <t>1710353444362395779</t>
  </si>
  <si>
    <t>1720620228999000068</t>
  </si>
  <si>
    <t>1720482724626985142</t>
  </si>
  <si>
    <t>360870749</t>
  </si>
  <si>
    <t>1297967885072072711</t>
  </si>
  <si>
    <t>8442592</t>
  </si>
  <si>
    <t>11584622</t>
  </si>
  <si>
    <t/>
  </si>
  <si>
    <t>1720620490870395367</t>
  </si>
  <si>
    <t>879156818227941376</t>
  </si>
  <si>
    <t>1499390036873121795</t>
  </si>
  <si>
    <t>1565905933141786626</t>
  </si>
  <si>
    <t>1311337818518556672</t>
  </si>
  <si>
    <t>1422690579964645379</t>
  </si>
  <si>
    <t>1423714664651935746</t>
  </si>
  <si>
    <t>1072188111625568257</t>
  </si>
  <si>
    <t>1306263867429855232</t>
  </si>
  <si>
    <t>1291760732208599040</t>
  </si>
  <si>
    <t>1309530931796025348</t>
  </si>
  <si>
    <t>1016298298821390336</t>
  </si>
  <si>
    <t>1184420106106998785</t>
  </si>
  <si>
    <t>781531567155998720</t>
  </si>
  <si>
    <t>1010130545894977536</t>
  </si>
  <si>
    <t>965277365172670465</t>
  </si>
  <si>
    <t>Name</t>
  </si>
  <si>
    <t>User ID</t>
  </si>
  <si>
    <t>Followers</t>
  </si>
  <si>
    <t>Followed</t>
  </si>
  <si>
    <t>Tweets</t>
  </si>
  <si>
    <t>Listed Count</t>
  </si>
  <si>
    <t>Favourites Count</t>
  </si>
  <si>
    <t>Media Count</t>
  </si>
  <si>
    <t>Verified</t>
  </si>
  <si>
    <t>Joined Twitter Date (UTC)</t>
  </si>
  <si>
    <t>Location</t>
  </si>
  <si>
    <t>Description</t>
  </si>
  <si>
    <t>URLs (Details)</t>
  </si>
  <si>
    <t>Expanded URLs (Details)</t>
  </si>
  <si>
    <t>Display URLs (Details)</t>
  </si>
  <si>
    <t>Description URLs (Details)</t>
  </si>
  <si>
    <t>Description Expanded URLs (Details)</t>
  </si>
  <si>
    <t>Description Display URLS (Details)</t>
  </si>
  <si>
    <t>Pinned Tweet ID</t>
  </si>
  <si>
    <t>URL</t>
  </si>
  <si>
    <t>Is Blue Verified</t>
  </si>
  <si>
    <t>You Are Followed By</t>
  </si>
  <si>
    <t>You Are Following</t>
  </si>
  <si>
    <t>Can DM</t>
  </si>
  <si>
    <t>Can Media Tag</t>
  </si>
  <si>
    <t>Default Profile</t>
  </si>
  <si>
    <t>Default Profile Image</t>
  </si>
  <si>
    <t>Has Custom Timelines</t>
  </si>
  <si>
    <t>Is Translator</t>
  </si>
  <si>
    <t>Profile Banner URL</t>
  </si>
  <si>
    <t>Profile Interstitial Type</t>
  </si>
  <si>
    <t>Translator Type</t>
  </si>
  <si>
    <t>Want Retweets</t>
  </si>
  <si>
    <t>Withheld</t>
  </si>
  <si>
    <t>Tweeted Search Term?</t>
  </si>
  <si>
    <t>Custom Menu Item Text</t>
  </si>
  <si>
    <t>Custom Menu Item Action</t>
  </si>
  <si>
    <t>Dr. Lindita Camaj</t>
  </si>
  <si>
    <t>mohamed lafouairas</t>
  </si>
  <si>
    <t>AEJMC MMEE</t>
  </si>
  <si>
    <t>Daniela Dimitrova</t>
  </si>
  <si>
    <t>JMCQ</t>
  </si>
  <si>
    <t>Mahedi Hasan</t>
  </si>
  <si>
    <t>Newhouse School</t>
  </si>
  <si>
    <t>CPOY</t>
  </si>
  <si>
    <t>Isaiah</t>
  </si>
  <si>
    <t>AEJMC</t>
  </si>
  <si>
    <t>Kakie Urch</t>
  </si>
  <si>
    <t>AZ</t>
  </si>
  <si>
    <t>Shannon Scovel</t>
  </si>
  <si>
    <t>Michelle Amazeen</t>
  </si>
  <si>
    <t>BU Institute for Global Sustainability</t>
  </si>
  <si>
    <t>College of Communication, Boston University</t>
  </si>
  <si>
    <t>Dr. Jess Maddox</t>
  </si>
  <si>
    <t>LSU Manship School of Mass Communication</t>
  </si>
  <si>
    <t>Will Mari</t>
  </si>
  <si>
    <t>Viorela Dan</t>
  </si>
  <si>
    <t>ICA Global Communication and Social Change (GCSC)</t>
  </si>
  <si>
    <t>ICA PR Division</t>
  </si>
  <si>
    <t>Journalism Studies / ICA</t>
  </si>
  <si>
    <t>The Communication &amp; Technology Division of ICA</t>
  </si>
  <si>
    <t>International Communication Association</t>
  </si>
  <si>
    <t>Prof Alison Anderson</t>
  </si>
  <si>
    <t>Steve Depoe</t>
  </si>
  <si>
    <t>Suzie Bell</t>
  </si>
  <si>
    <t>Adweek</t>
  </si>
  <si>
    <t>Ad Age</t>
  </si>
  <si>
    <t>Cara Hawkins-Jedlicka</t>
  </si>
  <si>
    <t>AEJMC PRD</t>
  </si>
  <si>
    <t>Justin Owen Rawlins</t>
  </si>
  <si>
    <t>Bowling Green State University</t>
  </si>
  <si>
    <t>Academic Opportunities</t>
  </si>
  <si>
    <t>Prince Adu Gyamfi</t>
  </si>
  <si>
    <t>Jan Lauren Boyles</t>
  </si>
  <si>
    <t>Greenlee School | Iowa State U</t>
  </si>
  <si>
    <t>Anne MacLennan</t>
  </si>
  <si>
    <t>AEJMC Religion + Media Interest Group</t>
  </si>
  <si>
    <t>Columbia Univ Press</t>
  </si>
  <si>
    <t>Journal of PR Education</t>
  </si>
  <si>
    <t>ICD</t>
  </si>
  <si>
    <t>Dr. Emma Frances Bloomfield</t>
  </si>
  <si>
    <t>Dave Parisi (@DaveParisi@bsky.social)</t>
  </si>
  <si>
    <t>Lauren Lassabe Shepherd</t>
  </si>
  <si>
    <t>AEJMC VisCom</t>
  </si>
  <si>
    <t>Thomas Hanitzsch</t>
  </si>
  <si>
    <t>APSA &amp; ICA Political Communication Divisions</t>
  </si>
  <si>
    <t>SUNY Plattsburgh</t>
  </si>
  <si>
    <t>JOCC: Journal of Creative Communications (CRC)</t>
  </si>
  <si>
    <t>United Nations</t>
  </si>
  <si>
    <t>Brian Creech or briancreech.bsky.social</t>
  </si>
  <si>
    <t>Dr. Mia Moody-Ramirez</t>
  </si>
  <si>
    <t>Dr. Letrell Crittenden, Ph.D. (he/him)</t>
  </si>
  <si>
    <t>CommissionOnWomen</t>
  </si>
  <si>
    <t>Kim Hong Nguyen (she/they)</t>
  </si>
  <si>
    <t>AEJMC CTEC</t>
  </si>
  <si>
    <t>Louisa Ha</t>
  </si>
  <si>
    <t>dr. yilang peng</t>
  </si>
  <si>
    <t>MoTaz</t>
  </si>
  <si>
    <t>OMGCJOURNAL</t>
  </si>
  <si>
    <t>The Postdoctoral</t>
  </si>
  <si>
    <t>Briana M. Trifiro</t>
  </si>
  <si>
    <t>Graduate Education Commission (AEJMC)</t>
  </si>
  <si>
    <t>Alan Goldenbach</t>
  </si>
  <si>
    <t>Dr. Belinha De Abreu, PhD.</t>
  </si>
  <si>
    <t>International Council for Media Literacy (IC4ML)</t>
  </si>
  <si>
    <t>Deni Elliott</t>
  </si>
  <si>
    <t>Alexis Romero Walker, Ph.D.</t>
  </si>
  <si>
    <t>Patrick R. Johnson</t>
  </si>
  <si>
    <t>AEJMC Media Ethics Division</t>
  </si>
  <si>
    <t>Gregory P. Perreault</t>
  </si>
  <si>
    <t>App State Com Department</t>
  </si>
  <si>
    <t>UK College of Communication and Information</t>
  </si>
  <si>
    <t>AEJMC Political Communication Division</t>
  </si>
  <si>
    <t>Denis Wu</t>
  </si>
  <si>
    <t>Michael Bugeja</t>
  </si>
  <si>
    <t>Iowa State University</t>
  </si>
  <si>
    <t>Gratitude</t>
  </si>
  <si>
    <t>Michael Fuhlhage 🇺🇸 🇺🇦</t>
  </si>
  <si>
    <t>Carrie Brown</t>
  </si>
  <si>
    <t>Sibo Chen</t>
  </si>
  <si>
    <t>Rowman &amp; Littlefield</t>
  </si>
  <si>
    <t>ASA Sociology</t>
  </si>
  <si>
    <t>AAR Students</t>
  </si>
  <si>
    <t>NeMLA Graduate Student Caucus</t>
  </si>
  <si>
    <t>APA Div12 Grad Students &amp; ECPs</t>
  </si>
  <si>
    <t>Graduate Student Council of the APA</t>
  </si>
  <si>
    <t>FANG Kecheng 方可成</t>
  </si>
  <si>
    <t>Tian Yang</t>
  </si>
  <si>
    <t>Uyen DIEP</t>
  </si>
  <si>
    <t>Erin Willis</t>
  </si>
  <si>
    <t>Keonte Coleman, PhD</t>
  </si>
  <si>
    <t>Kayley Decina</t>
  </si>
  <si>
    <t>Meghan McCloskey</t>
  </si>
  <si>
    <t>NCCNewsOnline</t>
  </si>
  <si>
    <t>Broadcast &amp; Digital Journalism Department</t>
  </si>
  <si>
    <t>News Engagement Day</t>
  </si>
  <si>
    <t>National Communication Association</t>
  </si>
  <si>
    <t>Muhammad Ittefaq, PhD</t>
  </si>
  <si>
    <t>Professor Jeremy</t>
  </si>
  <si>
    <t>Snapchat</t>
  </si>
  <si>
    <t>Dr. Srivi Ramasubramanian (she/her)</t>
  </si>
  <si>
    <t>devilette¹⁷</t>
  </si>
  <si>
    <t>Michael George Bathurst #ShoutMGB</t>
  </si>
  <si>
    <t>POWELLY</t>
  </si>
  <si>
    <t>unosmlre 📊</t>
  </si>
  <si>
    <t>NAHJ</t>
  </si>
  <si>
    <t>NoRules</t>
  </si>
  <si>
    <t>0499154500.eu</t>
  </si>
  <si>
    <t>Nasir Assar, Ph.D.</t>
  </si>
  <si>
    <t>Elitsa Krumova</t>
  </si>
  <si>
    <t>Graciela Moore</t>
  </si>
  <si>
    <t>Michael Bathurst</t>
  </si>
  <si>
    <t>Benjamin Sovacool</t>
  </si>
  <si>
    <t>AEJMC_ComSHER</t>
  </si>
  <si>
    <t>ICA Environmental Communication Division</t>
  </si>
  <si>
    <t>EnvCommResearchGroup</t>
  </si>
  <si>
    <t>UArizona Journalism School</t>
  </si>
  <si>
    <t>Jessica Retis</t>
  </si>
  <si>
    <t>Newspaper &amp; Online News Division of AEJMC</t>
  </si>
  <si>
    <t>2556819406</t>
  </si>
  <si>
    <t>3307384609</t>
  </si>
  <si>
    <t>208629545</t>
  </si>
  <si>
    <t>3190959720</t>
  </si>
  <si>
    <t>14295896</t>
  </si>
  <si>
    <t>87764199</t>
  </si>
  <si>
    <t>381453828</t>
  </si>
  <si>
    <t>24373764</t>
  </si>
  <si>
    <t>2559933110</t>
  </si>
  <si>
    <t>282661518</t>
  </si>
  <si>
    <t>76056609</t>
  </si>
  <si>
    <t>747936457</t>
  </si>
  <si>
    <t>21258885</t>
  </si>
  <si>
    <t>414179273</t>
  </si>
  <si>
    <t>1139542899882958848</t>
  </si>
  <si>
    <t>783996272567017472</t>
  </si>
  <si>
    <t>1263042693640474625</t>
  </si>
  <si>
    <t>154785018</t>
  </si>
  <si>
    <t>31560768</t>
  </si>
  <si>
    <t>374648509</t>
  </si>
  <si>
    <t>182686248</t>
  </si>
  <si>
    <t>30205586</t>
  </si>
  <si>
    <t>12480582</t>
  </si>
  <si>
    <t>17179241</t>
  </si>
  <si>
    <t>48711250</t>
  </si>
  <si>
    <t>445932915</t>
  </si>
  <si>
    <t>17388662</t>
  </si>
  <si>
    <t>890840216</t>
  </si>
  <si>
    <t>27266818</t>
  </si>
  <si>
    <t>2542104865</t>
  </si>
  <si>
    <t>3306005770</t>
  </si>
  <si>
    <t>19692478</t>
  </si>
  <si>
    <t>1636606320</t>
  </si>
  <si>
    <t>438476687</t>
  </si>
  <si>
    <t>48086979</t>
  </si>
  <si>
    <t>1663878439</t>
  </si>
  <si>
    <t>910136038894575616</t>
  </si>
  <si>
    <t>116016090</t>
  </si>
  <si>
    <t>16725446</t>
  </si>
  <si>
    <t>31975350</t>
  </si>
  <si>
    <t>14159148</t>
  </si>
  <si>
    <t>21871717</t>
  </si>
  <si>
    <t>72942893</t>
  </si>
  <si>
    <t>15246868</t>
  </si>
  <si>
    <t>167501580</t>
  </si>
  <si>
    <t>353963097</t>
  </si>
  <si>
    <t>2500726067</t>
  </si>
  <si>
    <t>753196890</t>
  </si>
  <si>
    <t>2785427009</t>
  </si>
  <si>
    <t>343340218</t>
  </si>
  <si>
    <t>1502286501614432262</t>
  </si>
  <si>
    <t>2175843914</t>
  </si>
  <si>
    <t>199380207</t>
  </si>
  <si>
    <t>21765347</t>
  </si>
  <si>
    <t>1381797774707077124</t>
  </si>
  <si>
    <t>30483827</t>
  </si>
  <si>
    <t>2303902250</t>
  </si>
  <si>
    <t>18208497</t>
  </si>
  <si>
    <t>1023945806850805760</t>
  </si>
  <si>
    <t>19065198</t>
  </si>
  <si>
    <t>1004077682605346816</t>
  </si>
  <si>
    <t>128025797</t>
  </si>
  <si>
    <t>382407937</t>
  </si>
  <si>
    <t>3193013278</t>
  </si>
  <si>
    <t>80869971</t>
  </si>
  <si>
    <t>211258879</t>
  </si>
  <si>
    <t>1078507394215395329</t>
  </si>
  <si>
    <t>213867085</t>
  </si>
  <si>
    <t>374929582</t>
  </si>
  <si>
    <t>81992242</t>
  </si>
  <si>
    <t>18250336</t>
  </si>
  <si>
    <t>1063563481381773312</t>
  </si>
  <si>
    <t>1252999056</t>
  </si>
  <si>
    <t>1440346438370660356</t>
  </si>
  <si>
    <t>1182007531851468806</t>
  </si>
  <si>
    <t>29942836</t>
  </si>
  <si>
    <t>956767843730649088</t>
  </si>
  <si>
    <t>21897949</t>
  </si>
  <si>
    <t>778037328</t>
  </si>
  <si>
    <t>1361734811799412742</t>
  </si>
  <si>
    <t>1435414637835599875</t>
  </si>
  <si>
    <t>309973530</t>
  </si>
  <si>
    <t>42631107</t>
  </si>
  <si>
    <t>2838351548</t>
  </si>
  <si>
    <t>17880989</t>
  </si>
  <si>
    <t>2832986725</t>
  </si>
  <si>
    <t>12006842</t>
  </si>
  <si>
    <t>376502929</t>
  </si>
  <si>
    <t>1485229458</t>
  </si>
  <si>
    <t>147931182</t>
  </si>
  <si>
    <t>37188645</t>
  </si>
  <si>
    <t>1393290718806958085</t>
  </si>
  <si>
    <t>1247385614720339976</t>
  </si>
  <si>
    <t>6819732</t>
  </si>
  <si>
    <t>1443840264213311536</t>
  </si>
  <si>
    <t>47893228</t>
  </si>
  <si>
    <t>1264433760</t>
  </si>
  <si>
    <t>1411761602467139592</t>
  </si>
  <si>
    <t>103287413</t>
  </si>
  <si>
    <t>1041451392790155269</t>
  </si>
  <si>
    <t>1048547328733433857</t>
  </si>
  <si>
    <t>1632422384601792513</t>
  </si>
  <si>
    <t>21708723</t>
  </si>
  <si>
    <t>46675138</t>
  </si>
  <si>
    <t>744265436</t>
  </si>
  <si>
    <t>Houston</t>
  </si>
  <si>
    <t xml:space="preserve">Laayoune                      </t>
  </si>
  <si>
    <t>USA</t>
  </si>
  <si>
    <t>Lubbock, TX</t>
  </si>
  <si>
    <t>Syracuse, NY</t>
  </si>
  <si>
    <t>Columbia, MO</t>
  </si>
  <si>
    <t>Columbia, SC</t>
  </si>
  <si>
    <t>Lexington KY</t>
  </si>
  <si>
    <t>Grand Prairie, TX</t>
  </si>
  <si>
    <t>@commscholar@federate.social</t>
  </si>
  <si>
    <t>Boston, MA</t>
  </si>
  <si>
    <t>Tuscaloosa, AL</t>
  </si>
  <si>
    <t>Louisiana State University</t>
  </si>
  <si>
    <t>Baton Rouge, LA</t>
  </si>
  <si>
    <t>Innsbruck, Austria</t>
  </si>
  <si>
    <t>Washington, DC</t>
  </si>
  <si>
    <t>Anywhere, Everywhere</t>
  </si>
  <si>
    <t>University of Plymouth</t>
  </si>
  <si>
    <t>New York City</t>
  </si>
  <si>
    <t>NYC, Chicago, Los Angeles, USA</t>
  </si>
  <si>
    <t>Pullman, WA</t>
  </si>
  <si>
    <t>www.facebook.com/AEJMCPRD</t>
  </si>
  <si>
    <t>Tulsa, OK</t>
  </si>
  <si>
    <t>Bowling Green, Ohio</t>
  </si>
  <si>
    <t>Winter Park, FL</t>
  </si>
  <si>
    <t>Ames, IA + Pleasant Valley, WV</t>
  </si>
  <si>
    <t>Ames, Iowa</t>
  </si>
  <si>
    <t>United States</t>
  </si>
  <si>
    <t>New York, NY</t>
  </si>
  <si>
    <t>Las Vegas, NV</t>
  </si>
  <si>
    <t>Charleston, SC</t>
  </si>
  <si>
    <t>New Orleans, LA</t>
  </si>
  <si>
    <t>International</t>
  </si>
  <si>
    <t>München, Bayern</t>
  </si>
  <si>
    <t>World</t>
  </si>
  <si>
    <t>Plattsburgh, NY</t>
  </si>
  <si>
    <t>Ahmedabad</t>
  </si>
  <si>
    <t>Waco, TX</t>
  </si>
  <si>
    <t>Austin, TX</t>
  </si>
  <si>
    <t>Philadelphia, PA</t>
  </si>
  <si>
    <t xml:space="preserve">Turtle Island </t>
  </si>
  <si>
    <t xml:space="preserve">Palestine </t>
  </si>
  <si>
    <t>Boston University</t>
  </si>
  <si>
    <t>Frederick, MD/Washington, DC</t>
  </si>
  <si>
    <t>Connecticut, USA</t>
  </si>
  <si>
    <t>St. Petersburg, FL</t>
  </si>
  <si>
    <t>Milwaukee, WI</t>
  </si>
  <si>
    <t>Boone, NC</t>
  </si>
  <si>
    <t>Lexington, KY</t>
  </si>
  <si>
    <t>NYC/Maplewood, NJ</t>
  </si>
  <si>
    <t>Toronto, ON, Canada</t>
  </si>
  <si>
    <t>Based near Washington, DC</t>
  </si>
  <si>
    <t>Hong Kong</t>
  </si>
  <si>
    <t>Boulder, CO</t>
  </si>
  <si>
    <t>#HereThereEverywhere</t>
  </si>
  <si>
    <t>Virginia, USA</t>
  </si>
  <si>
    <t>Omaha, Nebraska USA 🇺🇸</t>
  </si>
  <si>
    <t>Los Angeles, CA</t>
  </si>
  <si>
    <t>Puerto Rico</t>
  </si>
  <si>
    <t>Toronto, Ontario, Canada</t>
  </si>
  <si>
    <t>Omaha, NE</t>
  </si>
  <si>
    <t>Earth</t>
  </si>
  <si>
    <t xml:space="preserve">rooftop </t>
  </si>
  <si>
    <t>Jamestown, NC</t>
  </si>
  <si>
    <t>UK</t>
  </si>
  <si>
    <t>Book a Call ➡️</t>
  </si>
  <si>
    <t>London, Ontario, Canada</t>
  </si>
  <si>
    <t>Wroclaw, Poland</t>
  </si>
  <si>
    <t>Tucson, AZ</t>
  </si>
  <si>
    <t>Assoc Professor/Director of Graduate Studies @UHValentiSchool interested in global perspectives on digital news, politics &amp; data access #FOIa. Balkan origins.</t>
  </si>
  <si>
    <t>Journalist at SNRT/ doctoral candidate in communication and journalism/
winner of Moroccan Press Grand
 Award 2019</t>
  </si>
  <si>
    <t>The MMEE Division of AEJMC promotes teaching, research &amp; public service activities in mass media mgmt, economics &amp; entrepreneurship.</t>
  </si>
  <si>
    <t>Political Comm Professor &amp; Editor-in-Chief of @JMCQuarterly. Global journalism. News framing. Refugee communications. RT ≠ endorsement. Views my own.</t>
  </si>
  <si>
    <t>Journalism &amp; Mass Communication Quarterly is the flagship journal of the Association for Education in Journalism and Mass Communication</t>
  </si>
  <si>
    <t>Ph.D. student @TTU_COMC. I do share so many things on Twitter, Don't follow me if you get bored :D, Just kidding. Research Area: Cyberinfrastructure and so on</t>
  </si>
  <si>
    <t>Official Twitter feed of the S.I. Newhouse School of Public Communications at @SyracuseU, the nation's leading communications school</t>
  </si>
  <si>
    <t>Updates on the College Photographer of the Year competition</t>
  </si>
  <si>
    <t>EAW XXXIII. Formerly: Clarkson Creative/NCAA Photos and @BGSU Photographer 📸, Ohio State Fair 📸  
Proud BGSU (and sort of @NewhouseSU) Alum.</t>
  </si>
  <si>
    <t>AEJMC is a nonprofit, educational association of journalism and mass communication educators and media professionals. #AEJMCcommunity #CommTwitter</t>
  </si>
  <si>
    <t>Prof of multimedia, practitioner of multiple media. WRFL-FM alum. LPFM enthusiast.</t>
  </si>
  <si>
    <t>Kentucky volleyball #15</t>
  </si>
  <si>
    <t>Assistant Professor of Sports Communication at @UTKnoxville. Reporter for @NCAAWrestling. Proud @UofMaryland, @USUKFulbright, @AU_SwimDive alum.</t>
  </si>
  <si>
    <t>Associate Professor, Director @BUCOMResearch at @COMatBU. Studying persuasion, misinformation, &amp; the blurred lines between advertising, journalism &amp; politics.</t>
  </si>
  <si>
    <t>@BU_Tweets research to advance a sustainable and equitable future. Planetary and environmental health + climate governance + energy systems. Formerly @ISE_BU.</t>
  </si>
  <si>
    <t>We are the storytellers. 🤳🏻 🎙 🎥 🗞 🎬 🗣</t>
  </si>
  <si>
    <t>Social media expert. Asst. prof, @ua_jcm. Author, The Internet is for Cats, @rutgersupress. Words @niemanlab | @wired | @slate | @conversationUS. Thoughts mine</t>
  </si>
  <si>
    <t>Educating creative thinkers and leaders in mass communication since 1913. @LSU #GeauxManship</t>
  </si>
  <si>
    <t>PNW media historian; dancing/hiking/journalism: au of 'American Newsroom, 'A Short History’ and ‘Newsrooms &amp; the Disruption of the Internet’ RT≠opinion Go Navy!</t>
  </si>
  <si>
    <t>𝗔𝘀𝘀𝗶𝘀𝘁𝗮𝗻𝘁 𝗣𝗿𝗼𝗳. @uniinsbruck
Past: PostDoc @ifkw_lmu, PhD @FU_Berlin, Visiting Scholar @utaustin
Research: #misinformation, #deepfakes, #factchecks</t>
  </si>
  <si>
    <t>We are the International Communication Association's Global Communication &amp; Social Change Division (GCSC). Currently managed by @leahellmueller</t>
  </si>
  <si>
    <t>The Public Relations Division at @ICAhdq. Info on events, jobs, funding opportunities, calls for papers, and more! #ica23 tweets by @alvinyxz</t>
  </si>
  <si>
    <t>Official account of the Journalism Studies Division of the International Communication Association (@icahdq); acct. managed by @nikkiusher</t>
  </si>
  <si>
    <t>Official account for the Communication &amp; Technology Division of the International Communication Association, @katypearce &amp; @commfox &amp; @anneohirsch at the wheel</t>
  </si>
  <si>
    <t>ICA aims to advance the scholarly study of communication by encouraging and facilitating excellence in academic research worldwide.</t>
  </si>
  <si>
    <t>Climate communication and the media, young people and climate change. FRSA https://t.co/zzpxnp3fBo</t>
  </si>
  <si>
    <t>Prof Emeritus, University of Cincinnati. Treasurer, International Environmental Communication Assn. Member of Clifton United Methodist Church (https://t.co/naEHwyAqOn).</t>
  </si>
  <si>
    <t>All the news, insights and inspiration you need to know in advertising, marketing and media.</t>
  </si>
  <si>
    <t>Breaking news, trends and analysis—on advertising, marketing, commercials, agencies, tech and data. More brand innovation @creativitymag.</t>
  </si>
  <si>
    <t>Scholarly Assistant Prof. @MurrowCollege. Research in the intersection of women’s sport, SM &amp; branding.Cofounder of @startline1928</t>
  </si>
  <si>
    <t>#PRProfs @AEJMC PR DIG. Tweets by @AghazadehSarah, @erikajschneider, @JinChen_bd, @aliusacomm, @YoorimHong, Prachi Mehta, &amp; @zahedarmanbd. Also follow: @JPREPRD</t>
  </si>
  <si>
    <t>Prof Media/Film @utulsa | Author: Imagining the Method https://t.co/9wRf55Hw7J | Research: acting, celebrity, screen histories, Arctic media | he/him</t>
  </si>
  <si>
    <t>#1 Public University in the Midwest Students Would Choose Again. Always moving Forward. Always a Public University for the Public Good.® #AlwaysBG</t>
  </si>
  <si>
    <t>Just trying to help spread the word about academic jobs and funding opportunities. Tell me about your postings and I'll amplify.</t>
  </si>
  <si>
    <t>Assistant Professor of Communication @rollinscollege | PhD @LambSchool</t>
  </si>
  <si>
    <t>Assoc Prof + Assoc Director @isu_gsjc. Engagement Editor @djeditorialteam. Alumna @pewresearch + @google journalism fellow. Take me home, country roads.</t>
  </si>
  <si>
    <t>Greenlee School of Journalism and Communication @iowastateu. Advertising, journalism &amp; mass communication, public relations. #WhyGreenlee</t>
  </si>
  <si>
    <t>Media historian, broadcasting, community, identity, poverty &amp; culture. Associate Professor In Communication &amp; Media Studies/ Communication &amp; Culture at York U.</t>
  </si>
  <si>
    <t>The official Twitter account for the Religion and Media Interest Group (RMIG) at the Association for Education in Journalism and Mass Communication (@AEJMC).</t>
  </si>
  <si>
    <t>Publishing a universe of knowledge for readers worldwide</t>
  </si>
  <si>
    <t>The Journal of Public Relations Education is devoted to the presentation of research &amp; commentary that advances PR education. Editor-in-Chief: @bourlanddavis</t>
  </si>
  <si>
    <t>International Communication Division of @AEJMC. ICD represents scholars and educators around the world.</t>
  </si>
  <si>
    <t>Associate Prof - @ComUNLV (she/her); Environmental &amp; Science Communication, #TeamRhetoric; author of Science v Story - 2024 (Univ of California Press)</t>
  </si>
  <si>
    <t>Prof @ College of Charleston || editor @ ROMchip journal || author of Archaeologies of Touch https://t.co/SHPU2xg2h3</t>
  </si>
  <si>
    <t>“disappointing” -National Review | RESISTANCE FROM THE RIGHT: CONSERVATIVES AND THE CAMPUS WARS @UNC_Press, 2023 | @llassabe everywhere else</t>
  </si>
  <si>
    <t>Visual Communication Division of @AEJMC. Faculty grants, conferences, research, jobs, and more.</t>
  </si>
  <si>
    <t>Journalism studies, comparative research, academic mental health...
LMU Munich, @WJS_center Worlds of Journalism Study</t>
  </si>
  <si>
    <t>Official account of the @APSAtweets &amp; @icahdq #PolComm Divisions | tweets by @QrdKnpfr | https://t.co/1ksFruo5L5 | @polcomm@mastodon.social</t>
  </si>
  <si>
    <t>Professor, School of Journalism &amp; Media, University of Texas-Austin
Associate Editor, Journalism &amp; Mass Communication Quarterly</t>
  </si>
  <si>
    <t>Preparing students for academic, professional and personal success since 1889 on the beautiful Adirondack Coast. #PlattsLife @PlattsAthletics @PburghAlumni</t>
  </si>
  <si>
    <t>Academic Journal | Published-Triannual Mar Jul Nov | Double Blind Peer-Reviewed | Published by @SAGEPubIndia in association with @MICA_Ahmedabad ISSN: 09732586</t>
  </si>
  <si>
    <t>Official account of the United Nations. 
For peace, dignity &amp; equality on a healthy planet.</t>
  </si>
  <si>
    <t>Prof and chair, Lehigh Journalism. Formerly Temple University | Tech, Journalism, Cultural Studies</t>
  </si>
  <si>
    <t>Professor in the School of Journalism at University of Texas, a frustrated A's fan, happy husband and father of three kids and have five adorable grandkids.</t>
  </si>
  <si>
    <t>Director of Inclusion and Audience Growth @ampress/alum @mediaatillinois @psubellisario/board @resolvephilly/Dad of Ellis and Carmen</t>
  </si>
  <si>
    <t>The Commission on the Status of Women encourages diverse research &amp; programming on women in journalism &amp; mass comm education. We're an @AEJMC commission (1973).</t>
  </si>
  <si>
    <t>Background pic: Letter Cloud by Susie Kozawa &amp; Erin Shie Palmer at Seattle's Wing Luke Museum</t>
  </si>
  <si>
    <t>CTEC brings together researchers, teachers and professionals who are interested in how new communication technologies are changing media and society.</t>
  </si>
  <si>
    <t>Founding Editor-in-Chief, Online Media and Global Communication; Professor of Research Excellence, Bowling Green State University</t>
  </si>
  <si>
    <t>Assistant Prof in consumer analytics &amp; strategic comm @FACSUGA. PhD @AnnenbergPenn. Computer vision | CSS | social media metrics | social aspects of AI. He/him</t>
  </si>
  <si>
    <t>Portraits and people, @unrwausa Gaza content producer 📸🤳🏿
This is my only account</t>
  </si>
  <si>
    <t>Online Media and Global Communication (OMGC) is an open access scholarly journal of Shanghai International Studies University.  
https://t.co/WpF1UoAI5i…</t>
  </si>
  <si>
    <t>#postdoc #postdoctoral #postgraduate #fellowship #sciencejobs #postdocjobs #scholar #grants #research #job • Tag us with #thepostdoctoral or @thepostdoctoral</t>
  </si>
  <si>
    <t>PhD candidate ✨on the job market✨ Currently: @COMatBU. @BryantUniv alum. Social media researcher. Tweets and opinions are my own. she/her</t>
  </si>
  <si>
    <t>We’re the group that provides support and representation for graduate students within AEJMC. Become a GEC member by registering on the AEJ Community today!</t>
  </si>
  <si>
    <t>Assoc. professor @Hood_College; fmr @WashingtonPost reporter. It's not easy, but be skeptical and get it right. goldenbach (at) hood (dot) edu</t>
  </si>
  <si>
    <t>International Media Literacy Educator-Researcher-Author; Founder: https://t.co/38h8Kz9a5W; President of @IC4ML; #medialiteracy #newsliteracy #DigiCit</t>
  </si>
  <si>
    <t>IC4ML-Building a robust worldwide media literacy movement that impacts education by building a bridge from academia to action.</t>
  </si>
  <si>
    <t>I'm teaching, researching, chairing and happy. Far too many things to learn in far too little time.</t>
  </si>
  <si>
    <t>they/them🏳️‍🌈Latiné🌸CML &amp; Decolonial Edu.✊🏾 Prof Comm &amp; Media @mville_college. Sr Researcher @GDIGM @Hussmangrad, SHU, @byu alumna BlueSky: alexisromwalker</t>
  </si>
  <si>
    <t>@MUCollegeofComm Prof. &amp; Director of Student Media | @uiowa_sjmc ABD | First Gen | journalism education, news literacy &amp; ethics | Seeking the 2nd ⭐️| 🏳️‍🌈</t>
  </si>
  <si>
    <t>Official Twitter for AEJMC's Media Ethics Division</t>
  </si>
  <si>
    <t>digital journalism professor and reviews editor @jmcquarterly. research chair @aejmc. Prof @USF_ZSAMC 🇺🇸🇨🇦 actively 🏃‍♂️🧑‍💻#firstgen.</t>
  </si>
  <si>
    <t>Our curriculum gives students hands on, real-time experiences that transform how they see the world and their chosen field.
@appstate #appstatecomdept</t>
  </si>
  <si>
    <t>The official Twitter page of the University of Kentucky College of Communication and Information.</t>
  </si>
  <si>
    <t>The official Twitter account for the #PolComm Division of @AEJMC.</t>
  </si>
  <si>
    <t>Study media, politics, &amp; international communication @COMatBU. Views my own.</t>
  </si>
  <si>
    <t>Michael Bugeja, distinguished professor, writes about and teaches technology and media ethics. He directed the Journalism School at Iowa State, 2003-17.</t>
  </si>
  <si>
    <t>The official Twitter account for Iowa State University. Have questions? Just ask: contact@iastate.edu.</t>
  </si>
  <si>
    <t>Michael Fuhlhage Associate Professor @WSU_COM. Journalism &amp; media history. Yankee Reporters and Southern Secrets. @mjfuhlhage@mastodon.social</t>
  </si>
  <si>
    <t>Engagement journalism director at CUNY. Views my own. WI native, beer &amp; Packers enthusiast. Author, Transforming Newsrooms w/ @grovesprof Same handle on sky app</t>
  </si>
  <si>
    <t>Assistant Professor &amp; Graduate Program Director at the School of Professional Communication, Toronto Metropolitan University. All opinions are my own.</t>
  </si>
  <si>
    <t>An independent publisher for 74 years, we offer award-winning nonfiction, textbooks and academic scholarship, professional resources, reference, and more.</t>
  </si>
  <si>
    <t>News from the American Sociological Association (ASA), a membership organization dedicated to advancing #sociology.
Also on https://t.co/Y9f7A2fzsJ</t>
  </si>
  <si>
    <t>Official Twitter account for the Graduate Student Committee of the American Academy of Religion @AARWeb</t>
  </si>
  <si>
    <t>Graduate Student Caucus for Northeast MLA (NeMLA). CFPs, travel awards, events at the annual convention, advocacy for graduate student concerns.</t>
  </si>
  <si>
    <t>@APA @SCPDiv12 Grad Students + ECPs. We are dedicated to supporting our clinical psych community! Tweets by @Antoine_Lebeaut @DrShifaliSingh (President).</t>
  </si>
  <si>
    <t>Graduate Student Council of the American Philosophical Association 
Email: contact-gsc@apaonline.org 
Facebook: https://t.co/TD6kz5s8v7…</t>
  </si>
  <si>
    <t>Assistant Professor of Journalism and Communication @CUHKOfficial｜PhD, @AnnenbergPenn｜Former Journalist, Southern Weekly｜Founder, CNPolitics｜@PKU1898 Alum</t>
  </si>
  <si>
    <t>Assistant Professor in Communication @CUHKofficial
en route from @AnnenbergPenn @CNMnus @Tsinghua_Uni
Digital Media + Computational Social Science</t>
  </si>
  <si>
    <t>Ph.D. student at @manshipschool
US-based correspondent 
Co-founder/Fact-checker at https://t.co/1AO9qVxOEl</t>
  </si>
  <si>
    <t>Love to talk. Love to eat. Love my family and friends. Love Mizzou. Love pugs. Especially Tito.</t>
  </si>
  <si>
    <t>Husband, Father, Journalism Professor, PhD in Higher Ed Admin, Author, Fmr. News Producer, JSU, SU, &amp; UNCG Graduate, &amp; 'Breaking News with Media Leaders' Host</t>
  </si>
  <si>
    <t>Syracuse '24 | @Newhousesu | Pop Culture Beat Reporter for #Unpeeled on @Citrustv</t>
  </si>
  <si>
    <t>Journalist at the S.I. Newhouse School of Public Communications</t>
  </si>
  <si>
    <t>NCCNewsOnline is the student newsroom for the BDJ Dept. at Syracuse University's S. I. Newhouse School of Public Communications.</t>
  </si>
  <si>
    <t>This is the place for news about the BDJ community of students, faculty, alumni and anyone interested in journalism @NewhouseSU.</t>
  </si>
  <si>
    <t>On Tuesday, October 3, 2023, everyone is encouraged to read, watch, like, tweet, post, text, email, listen to, or comment on news. #NewsEngagementDay</t>
  </si>
  <si>
    <t>The National Communication Association is a scholarly society that enables &amp; supports its members’ Communication research &amp; teaching.</t>
  </si>
  <si>
    <t>Assistant Professor @JMU @JMUSCOM | Ph.D. @UnivOfKansas | Health Communication | Global South | Public Relations | Misinformation | Science Communication</t>
  </si>
  <si>
    <t>Jeremy Harris Lipschultz, PhD, Peter Kiewit Distinguished Professor @communo @unosmlre https://t.co/AXr4S186OC</t>
  </si>
  <si>
    <t>Wait'll you see this.</t>
  </si>
  <si>
    <t>Endowed Prof @NewhouseSU | https://t.co/pz3HdsST75 | Editor: @Comm_Monographs| Dir: https://t.co/8Vje6uzru9; https://t.co/XQBTKjGMXA; https://t.co/plhuUyClzc | Tweets my own.</t>
  </si>
  <si>
    <t>mostly baseball &amp; politics</t>
  </si>
  <si>
    <t>The universe is in the process of a frequency shift. I believe in the power of positive thinking. I love following people who live to be creative &amp; kind.</t>
  </si>
  <si>
    <t>Saitama Token 
SaitaRealty Token 
Utility 
SaitaPro SaitaSwap SaitaCard SaitaLogistics XBridge SaitaChain 
@WeAreSaitama</t>
  </si>
  <si>
    <t>UNO Social Media Lab for Research &amp; Engagement. Formerly @unosml @unosml1 accounts.</t>
  </si>
  <si>
    <t>National Association of Hispanic Journalists/Asociación Nacional de Periodistas Hispanos | #LatinoNewsLeaders #MoreLatinosInNews #NAHJTraining #NAHJ2023</t>
  </si>
  <si>
    <t>When I'm lost in dark matters, I can hear the universe whispering, "Hold on. Hang in. You're not alone."
o am I even kidding?</t>
  </si>
  <si>
    <t>#nft #data #business #social #Moneymatters5
#13thingsalien this is #CrazyMediaNumbers</t>
  </si>
  <si>
    <t>Seasoned and effective business consultant, Data Scientist, college professor, economist, and financial advisor.</t>
  </si>
  <si>
    <t>|#Digital 🦄 Nomad|
|#WomeninTech| #Influencer @Onalytica | @WomenTechmakers |#Tech #IoT #IIoT #AI #ML #RPA #Robotics #CyberSec #IoTPL |#SocialMedia #Marketing|</t>
  </si>
  <si>
    <t>Coaching you to understand your energy, create fearlessly, avoid burnout &amp; thrive in your power | Author | Motivational Public Speaker | Español🇵🇷</t>
  </si>
  <si>
    <t>#ShoutMGB is a wonderful place to meet other professionals who follow creative souls. #cybersecurity #technology #BigData #MachineLearning #Software #Linux</t>
  </si>
  <si>
    <t>I work as a researcher and consultant on issues pertaining to global energy policy and politics, energy security, energy justice, and climate change.</t>
  </si>
  <si>
    <t>ComSHER: Communicating Science, Health, Environment, and Risk is a Division of the Association for Education in Journalism and Mass Communication (AEJMC).</t>
  </si>
  <si>
    <t>The @icahdq Environmental Communication Division aims to advance research on the interplay of the environment with any level of communication and in any setting</t>
  </si>
  <si>
    <t>Environmental Communication Research Group at the University of Wroclaw @uniwroc 
#media #politics #scientists #security #communication #climatechange #ENVCRE</t>
  </si>
  <si>
    <t>University of Arizona School of Journalism and Global Media. You belong here.</t>
  </si>
  <si>
    <t>Director @uarizona School of Journalism. Dir. Bilingual Jour M.A. 
Research: Latin America|Migration|Diasporas|Hispanics|Latinxs|News Media|Journalism Education</t>
  </si>
  <si>
    <t>Join our AEJMC division if you're interested in newspaper or online news research. Tweets by NOND officer team. Don't miss our #nond hashtag!</t>
  </si>
  <si>
    <t>linditacamaj.com</t>
  </si>
  <si>
    <t>mmedivision.wordpress.com</t>
  </si>
  <si>
    <t>greenlee.iastate.edu/danielad/</t>
  </si>
  <si>
    <t>journals.sagepub.com/home/jmq</t>
  </si>
  <si>
    <t>mahedikabir.com</t>
  </si>
  <si>
    <t>newhouse.syracuse.edu</t>
  </si>
  <si>
    <t>cpoy.org</t>
  </si>
  <si>
    <t>i35photography.com</t>
  </si>
  <si>
    <t>bu.academia.edu/MichelleAmazeen</t>
  </si>
  <si>
    <t>bu.edu/igs</t>
  </si>
  <si>
    <t>bu.edu/com</t>
  </si>
  <si>
    <t>theinternetuserexperience.substack.com</t>
  </si>
  <si>
    <t>manship.lsu.edu</t>
  </si>
  <si>
    <t>lsu.edu/manship/people…</t>
  </si>
  <si>
    <t>uibk.ac.at/medien-kommuni…</t>
  </si>
  <si>
    <t>ica-gcsc.org</t>
  </si>
  <si>
    <t>icahdq.org/group/public</t>
  </si>
  <si>
    <t>icahdq.org/group/journali…</t>
  </si>
  <si>
    <t>icahdq.org</t>
  </si>
  <si>
    <t>plymouth.ac.uk/staff/aanderson</t>
  </si>
  <si>
    <t>adweek.com</t>
  </si>
  <si>
    <t>adage.com</t>
  </si>
  <si>
    <t>carabyrd.us</t>
  </si>
  <si>
    <t>aejmc.us/PRD/</t>
  </si>
  <si>
    <t>bgsu.edu</t>
  </si>
  <si>
    <t>janlaurenboyles.com</t>
  </si>
  <si>
    <t>greenlee.iastate.edu</t>
  </si>
  <si>
    <t>community.aejmc.org/religionmediai…</t>
  </si>
  <si>
    <t>cup.columbia.edu</t>
  </si>
  <si>
    <t>journalofpreducation.com</t>
  </si>
  <si>
    <t>aejmc.us/icd/</t>
  </si>
  <si>
    <t>emma-frances-bloomfield.com</t>
  </si>
  <si>
    <t>communication.cofc.edu/about/faculty-…</t>
  </si>
  <si>
    <t>laurenlassabe.com</t>
  </si>
  <si>
    <t>aejmc.us/vis/</t>
  </si>
  <si>
    <t>politicalcommunication.org</t>
  </si>
  <si>
    <t>plattsburgh.edu</t>
  </si>
  <si>
    <t>journals.sagepub.com/home/crc</t>
  </si>
  <si>
    <t>un.org</t>
  </si>
  <si>
    <t>miamoody.org</t>
  </si>
  <si>
    <t>aejmc.us/csw/</t>
  </si>
  <si>
    <t>press.uillinois.edu/books/?id=p087…</t>
  </si>
  <si>
    <t>aejmcctecs.com</t>
  </si>
  <si>
    <t>yilangpeng.com</t>
  </si>
  <si>
    <t>instagram.com/motaz_azaiza/</t>
  </si>
  <si>
    <t>ThePostdoctoral.com</t>
  </si>
  <si>
    <t>brianatrifiro.com</t>
  </si>
  <si>
    <t>community.aejmc.org/commissionongr…</t>
  </si>
  <si>
    <t>hood.edu/academics/facu…</t>
  </si>
  <si>
    <t>belinhadeabreu.com</t>
  </si>
  <si>
    <t>ic4ml.org</t>
  </si>
  <si>
    <t>denielliott.com</t>
  </si>
  <si>
    <t>alexisromerowalker.com</t>
  </si>
  <si>
    <t>prjohnson.org</t>
  </si>
  <si>
    <t>medaej.weebly.com</t>
  </si>
  <si>
    <t>gregperreault.com</t>
  </si>
  <si>
    <t>communication.appstate.edu</t>
  </si>
  <si>
    <t>ci.uky.edu</t>
  </si>
  <si>
    <t>aejmcpolcomm.weebly.com</t>
  </si>
  <si>
    <t>deniswu.org</t>
  </si>
  <si>
    <t>interpersonal-divide.org</t>
  </si>
  <si>
    <t>mjfuhlhage.net</t>
  </si>
  <si>
    <t>carriebrown.info</t>
  </si>
  <si>
    <t>ryerson.academia.edu/SiboChen</t>
  </si>
  <si>
    <t>rowman.com</t>
  </si>
  <si>
    <t>asanet.org</t>
  </si>
  <si>
    <t>nemlagraduatecaucus.wordpress.com</t>
  </si>
  <si>
    <t>apaonline.org/page/gsc</t>
  </si>
  <si>
    <t>fangkc.com</t>
  </si>
  <si>
    <t>scholar.google.com/citations?user…</t>
  </si>
  <si>
    <t>linkedin.com/in/uyendpp/</t>
  </si>
  <si>
    <t>youtube.com/@keontecoleman</t>
  </si>
  <si>
    <t>nccnewsonline.com</t>
  </si>
  <si>
    <t>newhouse.syr.edu</t>
  </si>
  <si>
    <t>NewsEngagementDay.org</t>
  </si>
  <si>
    <t>natcom.org</t>
  </si>
  <si>
    <t>muhammadittefaq.com</t>
  </si>
  <si>
    <t>amzn.to/3DHnuRf</t>
  </si>
  <si>
    <t>drsrivi.com</t>
  </si>
  <si>
    <t>youtube.com/channel/UCIQ7Q…</t>
  </si>
  <si>
    <t>bit.ly/3dWRkWm</t>
  </si>
  <si>
    <t>nahj.org</t>
  </si>
  <si>
    <t>soundcloud.com/sms0499154500</t>
  </si>
  <si>
    <t>linkedin.com/in/dr-nasir-h-…</t>
  </si>
  <si>
    <t>elitsakrumova.com</t>
  </si>
  <si>
    <t>linktr.ee/song.of.myself…</t>
  </si>
  <si>
    <t>linkedin.com/pub/michael-ba…</t>
  </si>
  <si>
    <t>aejmc.us/comsher/</t>
  </si>
  <si>
    <t>linktr.ee/uazjschool</t>
  </si>
  <si>
    <t>journalism.arizona.edu/people/jessica…</t>
  </si>
  <si>
    <t>aejmc.us/news/</t>
  </si>
  <si>
    <t>https://t.co/pz3HdsST75 https://t.co/8Vje6uzru9 https://t.co/XQBTKjGMXA https://t.co/plhuUyClzc</t>
  </si>
  <si>
    <t>http://drsrivi.com http://difficultdialoguesproject.org http://Mediarisenow.org http://drsrivi.com/codeshift</t>
  </si>
  <si>
    <t>link.springer.com/book/10.1057/9…</t>
  </si>
  <si>
    <t>cliftonumc.com</t>
  </si>
  <si>
    <t>bit.ly/43QVOa4</t>
  </si>
  <si>
    <t>bsky.app/profile/davepa…</t>
  </si>
  <si>
    <t>facebook.com/groups/politic…</t>
  </si>
  <si>
    <t>degruyter.com/journal/key/om</t>
  </si>
  <si>
    <t>imlrs.net</t>
  </si>
  <si>
    <t>threads.net/@asanews</t>
  </si>
  <si>
    <t>facebook.com/GraduateStuden</t>
  </si>
  <si>
    <t>facebook.com/1856aa</t>
  </si>
  <si>
    <t>amzn.to/2UaIVcv</t>
  </si>
  <si>
    <t>drsrivi.com difficultdialoguesproject.org Mediarisenow.org drsrivi.com/codeshift</t>
  </si>
  <si>
    <t>none</t>
  </si>
  <si>
    <t>regular</t>
  </si>
  <si>
    <t>Open Twitter Page for This Person</t>
  </si>
  <si>
    <t xml:space="preserve">lindita_camaj
</t>
  </si>
  <si>
    <t>med_lafouairas
RT @jmcquarterly: 🌞 Good morning!
Here's a great paper @jmcquarterly
(EIC: @Prof_Dimitrova) to start
your day. It deals with the link
b…</t>
  </si>
  <si>
    <t>aejmcmmee
The paper call for 2024 AEJMC Midwinter
Conference is now out. The deadline
to submit extended abstracts (only
600 to 800 words) is December 15,
2023. https://t.co/xwoktO7xIx</t>
  </si>
  <si>
    <t>prof_dimitrova
RT @jmcquarterly: #TopPaper in
@jmcquarterly (EIC: @Prof_Dimitrova):
https://t.co/mxKjp8Qa8f U.S. Public
Opinion on China and the United…</t>
  </si>
  <si>
    <t>jmcquarterly
Here's a #TopPaper in @jmcquarterly
(EIC: @Prof_Dimitrova): https://t.co/0b3CKt99rD
Police #Brutality and #Racial Justice
Narratives Through Multi-Narrative
Framing #GeorgeFloyd Moshe Karabelnik,
Jenifer Sunrise Winter, Richard
N. Canevez 816 ⏬ #AlternativeMetrics
@aejmc</t>
  </si>
  <si>
    <t>mahedikabir2
RT @jmcquarterly: Congratulations
on submitting your work to #ICA24!
Looking for a home for your paper?
We'd be happy to take a look! #Pee…</t>
  </si>
  <si>
    <t>newhousesu
Read more about the @NewhouseSU
students and their projects that
were honored in the @CollegePhotog
and @AEJMC National News Engagement
Day competitions! https://t.co/SSFzJW6hm8
#TeamNewhouse 📸: @isaiah_photo
https://t.co/8r16r1i9JD</t>
  </si>
  <si>
    <t xml:space="preserve">collegephotog
</t>
  </si>
  <si>
    <t>isaiah_photo
RT @NewhouseSU: Read more about
the @NewhouseSU students and their
projects that were honored in the
@CollegePhotog and @AEJMC National
New…</t>
  </si>
  <si>
    <t>aejmc
The AEJMC Standing Committee on
Research is accepting nominations
through Dec. 1 for the Paul J.
Deutschmann Award for Excellence
in Research. View the full call
online here: https://t.co/xPmzRmZ6Cf</t>
  </si>
  <si>
    <t>profkakie
@ShannonScovel @AzhaniTealer @ShannonScovel
(I saw your presentation in Detroit
at AEJMC.)</t>
  </si>
  <si>
    <t xml:space="preserve">azhanitealer
</t>
  </si>
  <si>
    <t xml:space="preserve">shannonscovel
</t>
  </si>
  <si>
    <t>commscholar
RT @COMatBU: Congrats to Emma Longo
(COM'24) for winning the @IGS_BU
Undergraduate Student Award! She
turned her project, "How Fossil
Fuel…</t>
  </si>
  <si>
    <t>igs_bu
RT @COMatBU: Congrats to Emma Longo
(COM'24) for winning the @IGS_BU
Undergraduate Student Award! She
turned her project, "How Fossil
Fuel…</t>
  </si>
  <si>
    <t>comatbu
Congrats to Emma Longo (COM'24)
for winning the @IGS_BU Undergraduate
Student Award! She turned her project,
"How Fossil Fuel Companies Use
Native Advertisements to Promote
Climate Denialism in US Media,"
into an article for @AEJMC. Read
more: https://t.co/W9WHSg1Z8K</t>
  </si>
  <si>
    <t>drjessmaddox
RT @willthewordguy: Assistant Professor
in Digital Advertising - HigherEdJobs
— new posting from us ⁦@ManshipSchool⁩
— not on search commit…</t>
  </si>
  <si>
    <t xml:space="preserve">manshipschool
</t>
  </si>
  <si>
    <t>willthewordguy
Assistant Professor - School of
Media and Communication ⁦@bgsu⁩
⁦@AEJMC⁩ ⁦@AEJMC_PRD⁩ #jobalert
https://t.co/snRcg3uWt3</t>
  </si>
  <si>
    <t>vioreladan
RT @AEJMC: An AEJMC Standing Committee
on Research Award, The Blum Research
Award was created to recognize
people who have devoted substant…</t>
  </si>
  <si>
    <t xml:space="preserve">gcsc2020
</t>
  </si>
  <si>
    <t xml:space="preserve">ica_prd
</t>
  </si>
  <si>
    <t xml:space="preserve">journalism_ica
</t>
  </si>
  <si>
    <t xml:space="preserve">ica_cat
</t>
  </si>
  <si>
    <t xml:space="preserve">icahdq
</t>
  </si>
  <si>
    <t>profaanderson
RT @stevedepo: Join IECA in 2024!
Benefits include on-line access
to ENVIRONMENTAL COMMUNICATION,
discounts for 2025 COCE and on-line
cours…</t>
  </si>
  <si>
    <t>stevedepo
Join IECA in 2024! Benefits include
on-line access to ENVIRONMENTAL
COMMUNICATION, discounts for 2025
COCE and on-line courses, networking
with 400+ members, and more! Check
us out at https://t.co/kVHMxeHtLl.
@EnvCommResGroup @ICAEnviroComm
@AEJMC_ComSHER #myieca</t>
  </si>
  <si>
    <t>suzie_bell
"Journalism &amp;amp; Mass Communication
Quarterly (JMCQ) is the flagship
journal of the Association for
Education in Journalism and Mass
Communication (AEJMC). It is a
quarterly, peer-reviewed journal
ranked in the Journal Citation
Reports..." AEJMC From 1° clave
+ reciente pub</t>
  </si>
  <si>
    <t xml:space="preserve">adweek
</t>
  </si>
  <si>
    <t xml:space="preserve">adage
</t>
  </si>
  <si>
    <t>carabyrd
RT @AEJMC_PRD: Join the @AEJMC_PRD
Teaching Committee on Thursday,
Nov. 9 from 2-3 p.m. ET for #PRProfChatCoffeeTalk.
This informal chat wi…</t>
  </si>
  <si>
    <t>aejmc_prd
Student names can reinforce an
instructor's commitment to assignment
feedback. #TeachingTips #PRProfChat
#AcademicExcellence #feedbackforstudent
https://t.co/jLzeMxqRfo</t>
  </si>
  <si>
    <t>j_o_rawlins
RT @willthewordguy: Assistant Professor
- School of Media and Communication
⁦@bgsu⁩ ⁦@AEJMC⁩ ⁦@AEJMC_PRD⁩ #jobalert
https://t.co/snRcg3uWt3</t>
  </si>
  <si>
    <t xml:space="preserve">bgsu
</t>
  </si>
  <si>
    <t>workacademic
RT @willthewordguy: Marquette University
| Assistant/Associate Professor
in Health Communication ⁦@AEJMC⁩
#jobalert https://t.co/Cp5gLn8QFa</t>
  </si>
  <si>
    <t>princeadugyamf6
RT @willthewordguy: Assistant Professor
in Digital Advertising - HigherEdJobs
— new posting from us ⁦@ManshipSchool⁩
— not on search commit…</t>
  </si>
  <si>
    <t>janlaurenb
Still time to apply, @aejmc friends!
NEW JOB ALERT 📢 We're hiring for
a faculty position at the Greenlee
School (@ISU_GSJC)! We have an
opportunity for an Asst Prof of
Practice or Asst Teaching Prof
in Broadcast Media &amp;amp; Video
Production. Deadline: Nov. 5. https://t.co/9bfJhYo5zf</t>
  </si>
  <si>
    <t>isu_gsjc
RT @JanLaurenB: Still time to apply,
@aejmc friends! NEW JOB ALERT 📢
We're hiring for a faculty position
at the Greenlee School (@ISU_GSJC)…</t>
  </si>
  <si>
    <t>annefmaclennan
RT @willthewordguy: Assistant Professor
- School of Media and Communication
⁦@bgsu⁩ ⁦@AEJMC⁩ ⁦@AEJMC_PRD⁩ #jobalert
https://t.co/snRcg3uWt3</t>
  </si>
  <si>
    <t>aejmc_rmig
RT @ColumbiaUP: Now available!
"The long history of free enterprise
in the United States cannot be
understood without reckoning with
the hi…</t>
  </si>
  <si>
    <t>columbiaup
Now available! "The long history
of free enterprise in the United
States cannot be understood without
reckoning with the history of religion."—Kathryn
Lofton https://t.co/hD7uivmLLY
https://t.co/ZUyotCCscr</t>
  </si>
  <si>
    <t>jpreprd
RT @AEJMC_PRD: Happy Monday!😊
Join the @AEJMCPRD Teaching Committee
and @AEJMC Standing Committee on
Teaching on Tuesday, Oct. 31 from
12-1…</t>
  </si>
  <si>
    <t>icd_aejmc
Department of Communication at
the University of South Alabama
invites applicants for a full-time
(9-month), tenure-track assistant
professor position in Advertising
and Public Relations to begin August
15, 2024. https://t.co/QaY1j5uFmz</t>
  </si>
  <si>
    <t>drefb1
RT @stevedepo: Join IECA in 2024!
Benefits include on-line access
to ENVIRONMENTAL COMMUNICATION,
discounts for 2025 COCE and on-line
cours…</t>
  </si>
  <si>
    <t>dave_parisi
RT @willthewordguy: Assistant Professor
in Digital Advertising - HigherEdJobs
— new posting from us ⁦@ManshipSchool⁩
— not on search commit…</t>
  </si>
  <si>
    <t>llassabe
RT @willthewordguy: Assistant Professor
of Communication - HigherEdJobs
⁦@AEJMC⁩ #jobalerts https://t.co/zZoCxbW5b6</t>
  </si>
  <si>
    <t>aejmcviscom
Our fall newsletter is here and
it's just as good as getting a
full size candy bar on Halloween!
Find it in your email or read it
online: https://t.co/8AnyWJ9WU8</t>
  </si>
  <si>
    <t xml:space="preserve">thanitzsch
</t>
  </si>
  <si>
    <t xml:space="preserve">poli_com
</t>
  </si>
  <si>
    <t xml:space="preserve">renitac
</t>
  </si>
  <si>
    <t xml:space="preserve">sunyplattsburgh
</t>
  </si>
  <si>
    <t>joccjournal
🌏 We're nearing the end of Global
Media and Information Literacy
Week! 💡 Mark the occasion with
us by reading 'Media Literacy and
Education in India During Times
of Communication Abundance' by
Jesna Jayachandran 👇 Read now!
https://t.co/BXol9CpIjh @UN @AEJMC</t>
  </si>
  <si>
    <t xml:space="preserve">un
</t>
  </si>
  <si>
    <t>brcreech
RT @AEJMCMMEE: The paper call for
2024 AEJMC Midwinter Conference
is now out. The deadline to submit
extended abstracts (only 600 to
800 wo…</t>
  </si>
  <si>
    <t>miamoodyramirez
RT @AEJMC: AEJMC members approved
a recent resolution: Recommitment
to College/University Diversity
Programs and Minority Faculty Hiring
Re…</t>
  </si>
  <si>
    <t>tjohnson1960
RT @jmcquarterly: Here's a #TopPaper
in @jmcquarterly (EIC: @Prof_Dimitrova):
https://t.co/0b3CKt99rD Police
#Brutality and #Racial Justic…</t>
  </si>
  <si>
    <t>ldeshan
@AEJMC Claiming you will challenge
programs to support DEI without
offering any plan for what that
pressure looks like doesn’t mean
much of anything.</t>
  </si>
  <si>
    <t>csw_aejmc
New book alert: Mean Girl Feminism
by @KimHong4thewin. Available in
Jan 2024. https://t.co/ZWsLnJXnjf
https://t.co/zvDDWdHuPM</t>
  </si>
  <si>
    <t xml:space="preserve">kimhong4thewin
</t>
  </si>
  <si>
    <t>aejmcctec
RT @azaizamotaz9: Reporting from
the middle area where a residential
tower was bombed. Many of the dead
and injured were taken to the hospi…</t>
  </si>
  <si>
    <t>louisahabgsu
Dear #ICA2024 submitters, after
submission of your full paper on
topics related to online media
and communication especially international
conflicts, submit it to our @omgcjournal
which is free to authors and readers,
8 language abstracts. https://t.co/yQWfD5lmU6</t>
  </si>
  <si>
    <t>pengyilang
How do far-right media leverage
social media logics and entertainment
content to amplify their voices?
We are excited to share our new
research in New Media &amp;amp; Society
(w/ @tianyangyt @fangkc ). https://t.co/TJWhm70KoK</t>
  </si>
  <si>
    <t>azaizamotaz9
Reporting from the middle area
where a residential tower was bombed.
Many of the dead and injured were
taken to the hospital. Volunteers
search under the rubble for survivors
and victims https://t.co/UozGzZqRDq</t>
  </si>
  <si>
    <t xml:space="preserve">omgcjournal
</t>
  </si>
  <si>
    <t>thepostdoctoral
Journalism Professor Recognized
for Outstanding Dissertation |
University of Arkansas - The MCS
Division of AEJMC awards excellence
in graduate research with the dissertation
award. Award winners are given
a cash prize and an opportunity ...
- https://t.co/a9pf1LjNGq</t>
  </si>
  <si>
    <t>brianatrifiro
Please join @CSGEAEJMC for our
Fall 2023 Teaching panel, #medialiteracy101
on 11/27 @ 4pm EST!</t>
  </si>
  <si>
    <t>csgeaejmc
What do you want to know about
media literacy? We'll share your
questions w/ @CSGEAEJMC + @AEJMCethics
#medialiteracy101 on 11/27. Our
teaching panel: 💻@PR_Johnson 📱@AlexisRomWalker
📺@denielliott 🖱️@IC4ML ⌨️@belmedia
🖥️@ProfGoldie Register at: https://t.co/KBT0NrSpJJ
https://t.co/4olQLMk7KD</t>
  </si>
  <si>
    <t xml:space="preserve">profgoldie
</t>
  </si>
  <si>
    <t xml:space="preserve">belmedia
</t>
  </si>
  <si>
    <t xml:space="preserve">ic4ml
</t>
  </si>
  <si>
    <t xml:space="preserve">denielliott
</t>
  </si>
  <si>
    <t xml:space="preserve">alexisromwalker
</t>
  </si>
  <si>
    <t xml:space="preserve">pr_johnson
</t>
  </si>
  <si>
    <t xml:space="preserve">aejmcethics
</t>
  </si>
  <si>
    <t>gregperreault
RT @aejmc_nond: 📅 Mark your calendars!
@AEJMC Southeast Colloquium submissions
are due Dec. 11! Join us March
7-9 in Lexington, KY @uk_ci.…</t>
  </si>
  <si>
    <t xml:space="preserve">appstatecomdept
</t>
  </si>
  <si>
    <t xml:space="preserve">uk_ci
</t>
  </si>
  <si>
    <t>aejmc_polcomm
RT @jmcquarterly: Congratulations
on submitting your work to #ICA24!
Looking for a home for your paper?
We'd be happy to take a look! #Pee…</t>
  </si>
  <si>
    <t>hdeniswu
RT @AEJMC: An AEJMC Standing Committee
on Research Award, The Blum Research
Award was created to recognize
people who have devoted substant…</t>
  </si>
  <si>
    <t>michael_bugeja
Wed. Nov. 1, 2-3 p.m. (central)
I will give a presentation about
the P&amp;amp;T process with emphasis
on gratitude rather than gratification.
Good writing tips for dossier.
Go to link below to register for
free. @NatComm @gratitude @ISU_GSJC
@AEJMC @IowaStateU https://t.co/vF1xWA0WhA</t>
  </si>
  <si>
    <t xml:space="preserve">iowastateu
</t>
  </si>
  <si>
    <t xml:space="preserve">gratitude
</t>
  </si>
  <si>
    <t>mjfuhlhage
@Brizzyc Happened to me during
AEJMC. Only, they bought a couple
of grand in furniture at Ashley.</t>
  </si>
  <si>
    <t xml:space="preserve">brizzyc
</t>
  </si>
  <si>
    <t>chensibo
RT @stevedepo: Join IECA in 2024!
Benefits include on-line access
to ENVIRONMENTAL COMMUNICATION,
discounts for 2025 COCE and on-line
cours…</t>
  </si>
  <si>
    <t>rlpgbooks
PhD students: Help us make updates
for the third edition of "Destination
Dissertation." Take our survey
and get a $100 honorarium toward
books. cc: @CSGEAEJMC @apa_gsc
@APAGradECP @NeMLAGradCaucus @AarGrad
@ASAnews Start here👉 https://t.co/H3uWn9cQr9
https://t.co/SWz8Re7cCw</t>
  </si>
  <si>
    <t xml:space="preserve">asanews
</t>
  </si>
  <si>
    <t xml:space="preserve">aargrad
</t>
  </si>
  <si>
    <t xml:space="preserve">nemlagradcaucus
</t>
  </si>
  <si>
    <t xml:space="preserve">apagradecp
</t>
  </si>
  <si>
    <t xml:space="preserve">apa_gsc
</t>
  </si>
  <si>
    <t xml:space="preserve">fangkc
</t>
  </si>
  <si>
    <t xml:space="preserve">tianyangyt
</t>
  </si>
  <si>
    <t>uyendpp
RT @AEJMCMMEE: The paper call for
2024 AEJMC Midwinter Conference
is now out. The deadline to submit
extended abstracts (only 600 to
800 wo…</t>
  </si>
  <si>
    <t>enwillis
RT @willthewordguy: Assistant Professor
in Digital Advertising - HigherEdJobs
— new posting from us ⁦@ManshipSchool⁩
— not on search commit…</t>
  </si>
  <si>
    <t>keontecoleman
@AEJMC announced the 2023 @newsengagement
award winners! 2 of the 5 winners
were in my @NewhouseSU @NewhouseBDJ
@NCCNewsOnline newscast class.
@mwmcclos &amp;amp; @DecinaKayley won
by submitted day of turns to the
competition! Congratulations 🎉
🎉 🎉 https://t.co/nOOlkjhL4J</t>
  </si>
  <si>
    <t xml:space="preserve">decinakayley
</t>
  </si>
  <si>
    <t xml:space="preserve">mwmcclos
</t>
  </si>
  <si>
    <t xml:space="preserve">nccnewsonline
</t>
  </si>
  <si>
    <t>newhousebdj
RT @KeonteColeman: @AEJMC announced
the 2023 @newsengagement award
winners! 2 of the 5 winners were
in my @NewhouseSU @NewhouseBDJ
@NCCNews…</t>
  </si>
  <si>
    <t xml:space="preserve">newsengagement
</t>
  </si>
  <si>
    <t>natcomm
RT @Michael_Bugeja: Wed. Nov. 1,
2-3 p.m. (central) I will give
a presentation about the P&amp;amp;T
process with emphasis on gratitude
rather than…</t>
  </si>
  <si>
    <t>ittefaqm
RT @stevedepo: Join IECA in 2024!
Benefits include on-line access
to ENVIRONMENTAL COMMUNICATION,
discounts for 2025 COCE and on-line
cours…</t>
  </si>
  <si>
    <t>jeremyhl
This is a great @Snapchat way to
“see” the world. #smc2024 #smprofs
#prprofs @aejmc</t>
  </si>
  <si>
    <t xml:space="preserve">snapchat
</t>
  </si>
  <si>
    <t>drsrivi
RT @willthewordguy: Assistant Professor
in Digital Advertising - HigherEdJobs
— new posting from us ⁦@ManshipSchool⁩
— not on search commit…</t>
  </si>
  <si>
    <t>deviiette
Israel’s propaganda campaign failed
to consider Snapchat Maps. https://t.co/GHypRFoqcX</t>
  </si>
  <si>
    <t>michaelbathurst
Wisdom Worth Following 🇨🇦🇺🇸🇬🇧🌎🌍🙏
@jeremyhl @SoMCoaching @michaelbathurst
@Eli_Krumova @docassar @this0499154500
@shoutmgb @usesaitapr0 @reutsmichael1
@aejmc @unosmlre @mpowelly01 Top
hashtags: #smprofs #smpc2023 #prprofs
#smle2022 #ff #aejmc21 #aejmc22
#aejmc2021 #ShoutMGB</t>
  </si>
  <si>
    <t xml:space="preserve">mpowelly01
</t>
  </si>
  <si>
    <t xml:space="preserve">unosmlre
</t>
  </si>
  <si>
    <t>nahj
Happy Friday! @NAHJ is continuing
to highlight members making waves
in #journalism. 👏 Check out this
incredible Q&amp;amp;A with Dr. Jessica
Retis, Director of University of
Arizona School of Journalism. @jretis
@uazjschool ➡️ Read more: https://t.co/f8063YOOzs
#HispanicHeritageMonth https://t.co/RUq9ISpZRJ</t>
  </si>
  <si>
    <t>reutsmichael1
RT @michaelbathurst: Wisdom Worth
Following 🇨🇦🇺🇸🇬🇧🌎🌍🙏 @jeremyhl
@SoMCoaching @michaelbathurst @Eli_Krumova
@docassar @this0499154500 @shout…</t>
  </si>
  <si>
    <t xml:space="preserve">this0499154500
</t>
  </si>
  <si>
    <t xml:space="preserve">docassar
</t>
  </si>
  <si>
    <t xml:space="preserve">eli_krumova
</t>
  </si>
  <si>
    <t xml:space="preserve">somcoaching
</t>
  </si>
  <si>
    <t xml:space="preserve">shoutmgb
</t>
  </si>
  <si>
    <t>benjaminsovaco1
RT @COMatBU: Congrats to Emma Longo
(COM'24) for winning the @IGS_BU
Undergraduate Student Award! She
turned her project, "How Fossil
Fuel…</t>
  </si>
  <si>
    <t xml:space="preserve">aejmc_comsher
</t>
  </si>
  <si>
    <t xml:space="preserve">icaenvirocomm
</t>
  </si>
  <si>
    <t xml:space="preserve">envcommresgroup
</t>
  </si>
  <si>
    <t xml:space="preserve">uazjschool
</t>
  </si>
  <si>
    <t xml:space="preserve">jretis
</t>
  </si>
  <si>
    <t>aejmc_nond
RT @AEJMC: The AEJMC Standing Committee
on Research is accepting nominations
through Dec. 1 for the Paul J.
Deutschmann Award for Excellenc…</t>
  </si>
  <si>
    <t>&lt;?xml version="1.0" encoding="utf-8"?&gt;_x000D_
&lt;configuration&gt;_x000D_
  &lt;configSections&gt;_x000D_
    &lt;sectionGroup name="userSettings" type="System.Configuration.UserSettingsGroup, System, Version=2.0.0.0, Culture=neutral, PublicKeyToken=b77a5c561934e089"&gt;_x000D_
      &lt;section name="AutoScaleUserSettings" type="System.Configuration.ClientSettingsSection, System, Version=2.0.0.0, Culture=neutral, PublicKeyToken=b77a5c561934e089" allowExeDefinition="MachineToLocalUser" requirePermission="false" /&gt;_x000D_
      &lt;section name="ExportDataUserSettings" type="System.Configuration.ClientSettingsSection, System, Version=2.0.0.0, Culture=neutral, PublicKeyToken=b77a5c561934e089" allowExeDefinition="MachineToLocalUser" requirePermission="false" /&gt;_x000D_
      &lt;section name="PlugInUserSettings" type="System.Configuration.ClientSettingsSection, System, Version=2.0.0.0, Culture=neutral, PublicKeyToken=b77a5c561934e089" allowExeDefinition="MachineToLocalUser" requirePermission="false" /&gt;_x000D_
      &lt;section name="ExportToNodeXLGraphGalleryUserSettings" type="System.Configuration.ClientSettingsSection, System, Version=2.0.0.0, Culture=neutral, PublicKeyToken=b77a5c561934e089" allowExeDefinition="MachineToLocalUser" requirePermission="false" /&gt;_x000D_
      &lt;section name="ExportToEmailUserSettings" type="System.Configuration.ClientSettingsSection, System, Version=2.0.0.0, Culture=neutral, PublicKeyToken=b77a5c561934e089" allowExeDefinition="MachineToLocalUser" requirePermission="false" /&gt;_x000D_
      &lt;section name="ImportDataUserSettings" type="System.Configuration.ClientSettingsSection, System, Version=2.0.0.0, Culture=neutral, PublicKeyToken=b77a5c561934e089" allowExeDefinition="MachineToLocalUser" requirePermission="false" /&gt;_x000D_
      &lt;section name="ClusterUserSettings" type="System.Configuration.ClientSettingsSection, System, Version=2.0.0.0, Culture=neutral, PublicKeyToken=b77a5c561934e089" allowExeDefinition="MachineToLocalUser" requirePermission="false" /&gt;_x000D_
      &lt;section name="ColumnGroupUserSettings" type="System.Configuration.ClientSettingsSection, System, Version=2.0.0.0, Culture=neutral, PublicKeyToken=b77a5c561934e089" allowExeDefinition="MachineToLocalUser" requirePermission="false" /&gt;_x000D_
      &lt;section name="GroupUserSettings" type="System.Configuration.ClientSettingsSection, System, Version=2.0.0.0, Culture=neutral, PublicKeyToken=b77a5c561934e089" allowExeDefinition="MachineToLocalUser" requirePermission="false" /&gt;_x000D_
      &lt;section name="AutomatedGraphImageUserSettings"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name="AutomateTasksUserSettings" type="System.Configuration.ClientSettingsSection, System, Version=2.0.0.0, Culture=neutral, PublicKeyToken=b77a5c561934e089" allowExeDefinition="MachineToLocalUser" requirePermission="false" /&gt;_x000D_
      &lt;section name="AutoFillUserSettings3"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 name="GraphImageUserSettings2" type="System.Configuration.ClientSettingsSection, System, Version=2.0.0.0, Culture=neutral, PublicKeyToken=b77a5c561934e089" allowExeDefinition="MachineToLocalUser" requirePermission="false" /&gt;_x000D_
      &lt;section name="DynamicFiltersUserSettings" type="System.Configuration.ClientSettingsSection, System, Version=2.0.0.0, Culture=neutral, PublicKeyToken=b77a5c561934e089" allowExeDefinition="MachineToLocalUser" requirePermission="false" /&gt;_x000D_
      &lt;section name="MergeDuplicateEdgesUserSettings" type="System.Configuration.ClientSettingsSection, System, Version=2.0.0.0, Culture=neutral, PublicKeyToken=b77a5c561934e089" allowExeDefinition="MachineToLocalUser" requirePermission="false" /&gt;_x000D_
    &lt;/sectionGroup&gt;_x000D_
  &lt;/configSections&gt;_x000D_
  &lt;userSettings&gt;_x000D_
    &lt;AutoScaleUserSettings&gt;_x000D_
      &lt;setting name="AutoScale" serializeAs="String"&gt;_x000D_
        &lt;value&gt;True&lt;/value&gt;_x000D_
      &lt;/setting&gt;_x000D_
    &lt;/AutoScaleUserSettings&gt;_x000D_
    &lt;ExportDataUserSettings&gt;_x000D_
      &lt;setting name="URL" serializeAs="String"&gt;_x000D_
        &lt;value&gt;http://bit.ly/NodeXLMaps&lt;/value&gt;_x000D_
      &lt;/setting&gt;_x000D_
      &lt;setting name="Hashtag" serializeAs="String"&gt;_x000D_
        &lt;value&gt;#NodeXL&lt;/value&gt;_x000D_
      &lt;/setting&gt;_x000D_
      &lt;setting name="BrandURL" serializeAs="String"&gt;_x000D_
        &lt;value&gt;http://connectedaction.net&lt;/value&gt;_x000D_
      &lt;/setting&gt;_x000D_
      &lt;setting name="ActionLabel" serializeAs="String"&gt;_x000D_
        &lt;value&gt;Buy a social media network map and report&lt;/value&gt;_x000D_
      &lt;/setting&gt;_x000D_
      &lt;setting name="ActionURL" serializeAs="String"&gt;_x000D_
        &lt;value&gt;http://bit.ly/NodeXLMaps&lt;/value&gt;_x000D_
      &lt;/setting&gt;_x000D_
      &lt;setting name="BrandLogo" serializeAs="String"&gt;_x000D_
        &lt;value&gt;https://www.connectedaction.net/wp-content/uploads/2018/10/CALogo-Plain_header.jpg&lt;/value&gt;_x000D_
      &lt;/setting&gt;_x000D_
    &lt;/ExportDataUserSettings&gt;_x000D_
    &lt;PlugInUserSettings&gt;_x000D_
      &lt;setting name="PlugInFolderPath" serializeAs="String"&gt;_x000D_
        &lt;valu</t>
  </si>
  <si>
    <t>e&gt;C:\Program Files (x86)\Social Media Research Foundation\NodeXL Excel Template\PlugIns&lt;/value&gt;_x000D_
      &lt;/setting&gt;_x000D_
    &lt;/PlugInUserSettings&gt;_x000D_
    &lt;ExportToNodeXLGraphGalleryUserSettings&gt;_x000D_
      &lt;setting name="SpaceDelimitedTags" serializeAs="String"&gt;_x000D_
        &lt;value&gt;Connected Action Your Link to Social Network Insights&lt;/value&gt;_x000D_
      &lt;/setting&gt;_x000D_
      &lt;setting name="Description" serializeAs="String"&gt;_x000D_
        &lt;value&gt;The graph represents a network of 457 Twitter users whose recent tweets contained "strataconf", taken from a data set limited to a maximum of 1,500 users.  The network was obtained on Friday, 01 March 2013 at 03:14 UTC.  There is an edge for each follows relationship.  There is an edge for each "replies-to" relationship in a tweet.  There is an edge for each "mentions" relationship in a tweet.  There is a self-loop edge for each tweet that is not a "replies-to" or "mentions".  The tweets were made over the 9-hour, 38-minute period from Thursday, 28 February 2013 at 17:26 UTC to Friday, 01 March 2013 at 03:04 UTC._x000D_
_x000D_
The graph is directed._x000D_
_x000D_
The graph's vertices were grouped by cluster using the Clauset-Newman-Moore cluster algorithm._x000D_
_x000D_
The graph was laid out using the Harel-Koren Fast Multiscale layout algorithm._x000D_
_x000D_
The edge colors are based on relationship values.  The edge widths are based on edge weight values.  The edge opacities are based on edge weight values.  The vertex sizes are based on followers values.  The vertex opacities are based on followers values._x000D_
_x000D_
Overall Graph Metrics:_x000D_
Vertices: 457_x000D_
Unique Edges: 6787_x000D_
Edges With Duplicates: 1467_x000D_
Total Edges: 8254_x000D_
Self-Loops: 1029_x000D_
Reciprocated Vertex Pair Ratio: 0.321843532145624_x000D_
Reciprocated Edge Ratio: 0.486961617345444_x000D_
Connected Components: 18_x000D_
Single-Vertex Connected Components: 16_x000D_
Maximum Vertices in a Connected Component: 439_x000D_
Maximum Edges in a Connected Component: 8232_x000D_
Maximum Geodesic Distance (Diameter): 5_x000D_
Average Geodesic Distance: 2.292309_x000D_
Graph Density: 0.03275557602979_x000D_
Modularity: 0.254594_x000D_
NodeXL Version: 1.0.1.234_x000D_
_x000D_
Top 10 Vertices, Ranked by Betweenness Centrality:_x000D_
strataconf_x000D_
timoreilly_x000D_
OReillyMedia_x000D_
acroll_x000D_
peteskomoroch_x000D_
cloudera_x000D_
digiphile_x000D_
katecrawford_x000D_
furrier_x000D_
mgualtieri_x000D_
_x000D_
Top URLs in Tweet in Entire Graph:_x000D_
http://strataconf.com/strata2013/public/content/video/_x000D_
http://strataconf.com/strata2013/public/content/video_x000D_
http://strataconf.com/strata2013/public/schedule/detail/27240_x000D_
http://strataconf.com/strata2013/public/schedule/detail/27321_x000D_
http://strataconf.com/strata2013/public/schedule/detail/28626_x000D_
http://notonlydev.com/docgraph/_x000D_
http://www.youtube.com/watch?v=ZelT_UrisQk&amp;amp;feature=youtu.be_x000D_
http://www.extendedresults.com_x000D_
https://app.discovertext.com/Home/SignupContactTrial_x000D_
http://instagram.com/p/WSHFCcpyEO/_x000D_
_x000D_
Top URLs in Tweet in G1:_x000D_
http://strataconf.com/strata2013/public/schedule/detail/27240_x000D_
http://strataconf.com/strata2013/public/schedule/detail/27321_x000D_
http://strataconf.com/strata2013/public/content/video_x000D_
http://strataconf.com/strata2013/public/schedule/detail/28626_x000D_
http://strataconf.com/strata2013/public/content/video/_x000D_
http://notonlydev.com/docgraph/_x000D_
http://www.youtube.com/watch?v=ZelT_UrisQk&amp;amp;feature=youtu.be_x000D_
https://app.discovertext.com/Home/SignupContactTrial_x000D_
http://gigaom.com/2013/02/28/using-arduinos-to-make-conferences-better/_x000D_
http://strataconf.com/strata2013/public/schedule/detail/27970_x000D_
_x000D_
Top URLs in Tweet in G2:_x000D_
http://www.extendedresults.com_x000D_
http://strataconf.com/strata2013/public/content/video/_x000D_
http://SiliconAngle.com_x000D_
http://www.pushbi.com/_x000D_
http://blogs.vmware.com/vfabric/2013/02/from-the-front-line-of-strataconf-a-vmware-perspective.html_x000D_
http://servicesangle.com/blog/2013/02/28/center-of-value-shifting-from-software-to-data-says-oreilly/_x000D_
http://blog.extendedresults.com/2013/02/28/win-a-microsoft-surface-today/_x000D_
http://www.datanami.com/datanami/2013-02-28/five_interesting_statrups_at_strata.html_x000D_
http://blogs.vmware.com/vfabric/2013/02/from-the-front-line-of-strataconf-a-vmware-perspective.html?utm_source=rss&amp;amp;utm_medium=rss&amp;amp;utm_campaign=from-the-front-line-of-strataconf-a-vmware-perspective_x000D_
http://www.youtube.com/playlist?list=PLenh213llmcYF0pwQm5NjUAINRLrHoELB_x000D_
_x000D_
Top URLs in Tweet in G3:_x000D_
http://strataconf.com/strata2013/public/content/video/_x000D_
http://blogs.technet.com/b/dataplatforminsider/archive/2013/02/28/busting-big-data-adoption-myths-with-halo-4-part-3.aspx_x000D_
http://strataconf.com/strata2013/public/content/video_x000D_
http://strataconf.com/rx2013_x000D_
http://logd.tw.rpi.edu_x000D_
http://instagram.com/p/WSHFCcpyEO/_x000D_
http://strataconf.com/strata2013/public/schedule/detail/27390_x000D_
http://www.slideshare.net/marbienk/13-02-27strataclarioncall169final_x000D_
http://goo.gl/PJ3OC_x000D_
http://eventifier.co/event/strataconf13_x000D_
_x000D_
Top URLs in Tweet in G4:_x000D_
http://strataconf.com/strata2013/public/content/video_x000D_
http://www.forbes.com/sites/bwoo/2013/02/27/a-mind-blowing-big-data-experience-notes-from-strata-2013/_x000D_
http://blogs.vmware.com/vfabric/2013/02/from-the-front-line-of-strataconf-a-vmware-perspective.html?utm_source=dlvr.it&amp;amp;utm_medium=twitter&amp;amp;utm_campaign=from-the-front-line-of-strataconf-a-vmware-perspective_x000D_
http://tweetedtimes.com/#!/timoreilly_x000D_
http://strataconf.com/strata2013/public/content/video/_x000D_
http://www.directrelief.org/2013/02/strata-conference-sparks-new-ideas-using-big-data-good/_x000D_
_x000D_
Top URLs in Tweet in G5:_x000D_
http://instagram.com/p/WSlpWzLCoL/_x000D_
http://instagram.com/p/WSoEc4LCrs/_x000D_
_x000D_
Top URLs in Tweet in G6:_x000D_
http://strataconf.com/strata2013/public/content/video_x000D_
_x000D_
Top Domains in Tweet in Entire Graph:_x000D_
strataconf.com_x000D_
youtube.com_x000D_
extendedresults.com_x000D_
instagram.com_x000D_
siliconangle.com_x000D_
vmware.com_x000D_
notonlydev.com_x000D_
gigaom.com_x000D_
forbes.com_x000D_
mit.edu_x000D_
_x000D_
Top Domains in Tweet in G1:_x000D_
strataconf.com_x000D_
instagram.com_x000D_
youtube.com_x000D_
notonlydev.com_x000D_
gigaom.com_x000D_
mit.edu_x000D_
discovertext.com_x000D_
oreilly.com_x000D_
wikipedia.org_x000D_
slideshare.net_x000D_
_x000D_
Top Domains in Tweet in G2:_x000D_
extendedresults.com_x000D_
strataconf.com_x000D_
siliconangle.com_x000D_
vmware.com_x000D_
pushbi.com_x000D_
youtube.</t>
  </si>
  <si>
    <t>com_x000D_
datanami.com_x000D_
forbes.com_x000D_
instagram.com_x000D_
ow.ly_x000D_
_x000D_
Top Domains in Tweet in G3:_x000D_
strataconf.com_x000D_
youtube.com_x000D_
technet.com_x000D_
co.jp_x000D_
bigdataweek.com_x000D_
lockerz.com_x000D_
forbes.com_x000D_
rpi.edu_x000D_
instagram.com_x000D_
slideshare.net_x000D_
_x000D_
Top Domains in Tweet in G4:_x000D_
strataconf.com_x000D_
forbes.com_x000D_
vmware.com_x000D_
tweetedtimes.com_x000D_
directrelief.org_x000D_
_x000D_
Top Domains in Tweet in G5:_x000D_
instagram.com_x000D_
_x000D_
Top Domains in Tweet in G6:_x000D_
strataconf.com_x000D_
_x000D_
Top Hashtags in Tweet in Entire Graph:_x000D_
strataconf_x000D_
bigdata_x000D_
hadoop_x000D_
bi_x000D_
opendata_x000D_
senselab_x000D_
intel_x000D_
beyondhadoop_x000D_
sap_x000D_
microsoft_x000D_
_x000D_
Top Hashtags in Tweet in G1:_x000D_
strataconf_x000D_
bigdata_x000D_
opendata_x000D_
beyondhadoop_x000D_
senselab_x000D_
dataviz_x000D_
ddj_x000D_
rstats_x000D_
datavis_x000D_
linkedin_x000D_
_x000D_
Top Hashtags in Tweet in G2:_x000D_
strataconf_x000D_
bigdata_x000D_
hadoop_x000D_
bi_x000D_
thecube_x000D_
sap_x000D_
analytics_x000D_
hana_x000D_
intel_x000D_
excel_x000D_
_x000D_
Top Hashtags in Tweet in G3:_x000D_
strataconf_x000D_
bigdata_x000D_
microsoft_x000D_
hadoop_x000D_
intel_x000D_
hbase_x000D_
bdw13_x000D_
edtech_x000D_
stratarx_x000D_
opendata_x000D_
_x000D_
Top Hashtags in Tweet in G4:_x000D_
strataconf_x000D_
역사당_x000D_
바람소리_x000D_
tlot_x000D_
친일파_x000D_
전남오픈마켓_x000D_
mksokbo_x000D_
mtoday_x000D_
위키트리_x000D_
freebradley_x000D_
_x000D_
Top Hashtags in Tweet in G5:_x000D_
strataconf_x000D_
bigdata_x000D_
_x000D_
Top Words in Tweet in Entire Graph:_x000D_
strataconf_x000D_
data_x000D_
big_x000D_
bigdata_x000D_
talk_x000D_
rt_x000D_
great_x000D_
now_x000D_
hadoop_x000D_
design_x000D_
_x000D_
Top Words in Tweet in G1:_x000D_
strataconf_x000D_
data_x000D_
talk_x000D_
design_x000D_
great_x000D_
katecrawford_x000D_
big_x000D_
math_x000D_
social_x000D_
rt_x000D_
_x000D_
Top Words in Tweet in G2:_x000D_
strataconf_x000D_
data_x000D_
bigdata_x000D_
hadoop_x000D_
big_x000D_
booth_x000D_
rt_x000D_
amp_x000D_
analytics_x000D_
more_x000D_
_x000D_
Top Words in Tweet in G3:_x000D_
strataconf_x000D_
data_x000D_
now_x000D_
big_x000D_
bigdata_x000D_
watch_x000D_
talk_x000D_
live_x000D_
hadoop_x000D_
amp_x000D_
_x000D_
Top Words in Tweet in G4:_x000D_
strataconf_x000D_
2_x000D_
strata_x000D_
big_x000D_
data_x000D_
2013_x000D_
today_x000D_
stream_x000D_
vmware_x000D_
상위태그_x000D_
_x000D_
Top Words in Tweet in G5:_x000D_
strataconf_x000D_
bigdata_x000D_
data_x000D_
_x000D_
Top Words in Tweet in G6:_x000D_
2013_x000D_
video_x000D_
stream_x000D_
strata_x000D_
o'reilly_x000D_
conferences_x000D_
_x000D_
Top Word Pairs in Tweet in Entire Graph:_x000D_
big,data_x000D_
check,out_x000D_
data,strataconf_x000D_
santa,clara_x000D_
bwaber,strataconf_x000D_
nathanmarz,strataconf_x000D_
katecrawford,strataconf_x000D_
watch,live_x000D_
bigdata,strataconf_x000D_
strataconf,bigdata_x000D_
_x000D_
Top Word Pairs in Tweet in G1:_x000D_
big,data_x000D_
bwaber,strataconf_x000D_
sam_shah,peteskomoroch_x000D_
nathanmarz,strataconf_x000D_
data,strataconf_x000D_
peteskomoroch,strataconf_x000D_
kncukier,strataconf_x000D_
talk,strataconf_x000D_
check,out_x000D_
wwrob,strataconf_x000D_
_x000D_
Top Word Pairs in Tweet in G2:_x000D_
big,data_x000D_
bi,strataconf_x000D_
check,out_x000D_
strataconf,bigdata_x000D_
thecube,strataconf_x000D_
santa,clara_x000D_
front,line_x000D_
line,strataconf_x000D_
strataconf,vmware_x000D_
vmware,perspective_x000D_
_x000D_
Top Word Pairs in Tweet in G3:_x000D_
big,data_x000D_
watch,live_x000D_
santa,clara_x000D_
bwaber,strataconf_x000D_
now,strataconf_x000D_
strataconf,watch_x000D_
watch,via_x000D_
via,livestream_x000D_
katecrawford,strataconf_x000D_
data,strataconf_x000D_
_x000D_
Top Word Pairs in Tweet in G4:_x000D_
big,data_x000D_
strata,2013_x000D_
상위태그,3시간_x000D_
3시간,1_x000D_
6,전남오픈마켓_x000D_
전남오픈마켓,7_x000D_
11,위키트리_x000D_
_x000D_
Top Word Pairs in Tweet in G5:_x000D_
strataconf,bigdata_x000D_
_x000D_
Top Word Pairs in Tweet in G6:_x000D_
video,stream_x000D_
stream,strata_x000D_
strata,2013_x000D_
2013,o'reilly_x000D_
o'reilly,conferences_x000D_
_x000D_
Top Replied-To in Entire Graph:_x000D_
nadavaha_x000D_
strataconf_x000D_
wwrob_x000D_
katecrawford_x000D_
noahi_x000D_
nathanmarz_x000D_
restdevices_x000D_
jsteeleeditor_x000D_
aheineike_x000D_
bwaber_x000D_
_x000D_
Top Replied-To in G1:_x000D_
nadavaha_x000D_
katecrawford_x000D_
noahi_x000D_
restdevices_x000D_
jsteeleeditor_x000D_
aheineike_x000D_
wwrob_x000D_
nathanmarz_x000D_
acroll_x000D_
dtunkelang_x000D_
_x000D_
Top Replied-To in G2:_x000D_
strataconf_x000D_
teradata_x000D_
nathanmarz_x000D_
katecrawford_x000D_
pros_x000D_
jameskobielus_x000D_
pentaho_x000D_
ds_henry_x000D_
brunoaziza_x000D_
microsoft_x000D_
_x000D_
Top Replied-To in G3:_x000D_
strataconf_x000D_
wwrob_x000D_
bwaber_x000D_
pacoid_x000D_
datanami_x000D_
sqlserver_x000D_
markmadsen_x000D_
sashasud_x000D_
pecanstreetinc_x000D_
runduck22_x000D_
_x000D_
Top Mentioned in Entire Graph:_x000D_
strataconf_x000D_
katecrawford_x000D_
nathanmarz_x000D_
bwaber_x000D_
kncukier_x000D_
peteskomoroch_x000D_
sam_shah_x000D_
mrogati_x000D_
noahi_x000D_
omgannaks_x000D_
_x000D_
Top Mentioned in G1:_x000D_
katecrawford_x000D_
nathanmarz_x000D_
kncukier_x000D_
sam_shah_x000D_
peteskomoroch_x000D_
bwaber_x000D_
strataconf_x000D_
mrogati_x000D_
noahi_x000D_
lndata_x000D_
_x000D_
Top Mentioned in G2:_x000D_
strataconf_x000D_
nathanmarz_x000D_
hortonworks_x000D_
katecrawford_x000D_
oreillymedia_x000D_
asterdata_x000D_
furrier_x000D_
twitter_x000D_
sisense_x000D_
cloudera_x000D_
_x000D_
Top Mentioned in G3:_x000D_
strataconf_x000D_
katecrawford_x000D_
nathanmarz_x000D_
bwaber_x000D_
pecanstreetinc_x000D_
pkpatel_x000D_
jdegoes_x000D_
jahendler_x000D_
omgannaks_x000D_
datastax_x000D_
_x000D_
Top Mentioned in G4:_x000D_
forbes_x000D_
sqlserver_x000D_
bradleytbauer_x000D_
lemintheworld_x000D_
_x000D_
Top Mentioned in G6:_x000D_
innatur_ua_x000D_
unimooc_x000D_
frangarciaw_x000D_
_x000D_
Top Tweeters in Entire Graph:_x000D_
YourMomBot_x000D_
datachick_x000D_
BillNigh_x000D_
econwriter5_x000D_
rwang0_x000D_
digiphile_x000D_
issuenow_x000D_
LusciousPear_x000D_
hrbrmstr_x000D_
jameskobielus_x000D_
_x000D_
Top Tweeters in G1:_x000D_
datachick_x000D_
digiphile_x000D_
LusciousPear_x000D_
hrbrmstr_x000D_
cbgreenwood_x000D_
fcoel_x000D_
jbenno_x000D_
rjurney_x000D_
timoreilly_x000D_
venessapaech_x000D_
_x000D_
Top Tweeters in G2:_x000D_
BillNigh_x000D_
rwang0_x000D_
jameskobielus_x000D_
sogrady_x000D_
rizzn_x000D_
PlanetV12n_x000D_
jenstirrup_x000D_
furrier_x000D_
quitada_x000D_
SiliconANGLE_x000D_
_x000D_
Top Tweeters in G3:_x000D_
YourMomBot_x000D_
econwriter5_x000D_
akihito_x000D_
swardley_x000D_
EEPaul_x000D_
Dorothysjobs_x000D_
KoprowskiT_x000D_
thomjeff_x000D_
MSFTnews_x000D_
CRN_x000D_
_x000D_
Top Tweeters in G4:_x000D_
issuenow_x000D_
xinity_bot_x000D_
3way2betterbiz_x000D_
A_Neutron_x000D_
lisa_hoang_x000D_
robx_s_x000D_
DirectRelief_x000D_
Anon13502_x000D_
lisalc9_x000D_
TechPAScode_x000D_
_x000D_
Top Tweeters in G5:_x000D_
MiraVeda_x000D_
LipstiknPolitks_x000D_
_x000D_
Top Tweeters in G6:_x000D_
innatur_ua_x000D_
FranGarciaW&lt;/value&gt;_x000D_
      &lt;/setting&gt;_x000D_
      &lt;setting name="ExportGraphML" serializeAs="String"&gt;_x000D_
        &lt;value&gt;True&lt;/value&gt;_x000D_
      &lt;/setting&gt;_x000D_
      &lt;setting name="Title" serializeAs="String"&gt;_x000D_
        &lt;value&gt;strataconf Twitter NodeXL SNA Map and Report for Friday, 01 March 2013 at 03:14 UTC&lt;/value&gt;_x000D_
      &lt;/setting&gt;_x000D_
      &lt;setting name="Author" serializeAs="String"&gt;_x000D_
        &lt;value&gt;NodeXLExcelAutomator&lt;/value&gt;_x000D_
      &lt;/setting&gt;_x000D_
      &lt;setting name="UseFixedAspectRatio" serializeAs="String"&gt;_x000D_
        &lt;value&gt;True&lt;/value&gt;_x000D_
      &lt;/setting&gt;_x000D_
      &lt;setting name="UseCredentials" serializeAs="String"&gt;_x000D_
        &lt;value&gt;True&lt;/value&gt;_x000D_
      &lt;/setting&gt;_x000D_
      &lt;setting name="ExportWorkbookAndSettings" serializeAs="String"&gt;_x000D_
        &lt;value&gt;True&lt;/value&gt;_x000D_
      &lt;/setting&gt;_x000D_
    &lt;/ExportToNodeXLGraphGalleryUserSettings&gt;_x000D_
    &lt;ExportToEmailUserSettings&gt;_x000D_
      &lt;setting name="SmtpPort" serializeAs="String"&gt;_x000D_
        &lt;value&gt;26&lt;/value&gt;_x000D_
      &lt;/setting&gt;_x000D_
      &lt;setting name="FromAddress" serializeAs="String"&gt;_x000D_
        &lt;value&gt;NodeXL-Reports@connectedaction.net&lt;/value&gt;_x000D_
      &lt;/setting&gt;_x000D_
      &lt;setting name="ExportGraphML" serializeAs="String"&gt;_x000D_
        &lt;value&gt;False&lt;/value&gt;_x000D_
      &lt;/setting&gt;_x000D_
      &lt;setting name="SmtpH</t>
  </si>
  <si>
    <t>ost" serializeAs="String"&gt;_x000D_
        &lt;value&gt;mail.connectedaction.net&lt;/value&gt;_x000D_
      &lt;/setting&gt;_x000D_
      &lt;setting name="ExportWorkbookAndSettings" serializeAs="String"&gt;_x000D_
        &lt;value&gt;True&lt;/value&gt;_x000D_
      &lt;/setting&gt;_x000D_
      &lt;setting name="UseFixedAspectRatio" serializeAs="String"&gt;_x000D_
        &lt;value&gt;True&lt;/value&gt;_x000D_
      &lt;/setting&gt;_x000D_
      &lt;setting name="UseSslForSmtp" serializeAs="String"&gt;_x000D_
        &lt;value&gt;False&lt;/value&gt;_x000D_
      &lt;/setting&gt;_x000D_
      &lt;setting name="SmtpUserName" serializeAs="String"&gt;_x000D_
        &lt;value&gt;NodeXL-Reports@connectedaction.net&lt;/value&gt;_x000D_
      &lt;/setting&gt;_x000D_
      &lt;setting name="SpaceDelimitedToAddresses" serializeAs="String"&gt;_x000D_
        &lt;value&gt;yoon.j.lee@wsu.edu NodeXL-Reports@connectedaction.net&lt;/value&gt;_x000D_
      &lt;/setting&gt;_x000D_
      &lt;setting name="MessageBody" serializeAs="String"&gt;_x000D_
        &lt;value&gt;&amp;lt;a href="http://www.connectedaction.net"&amp;gt;&amp;lt;img src="https://www.connectedaction.net/wp-content/uploads/2018/10/CALogo-Plain_header.jpg" alt="" width="150" height="115"/&amp;gt;&amp;lt;/a&amp;gt;_x000D_
_x000D_
Here is your &amp;lt;a href="https://www.smrfoundation.org/nodexl/"&amp;gt;NodeXL&amp;lt;/a&amp;gt; &amp;lt;b&amp;gt;&amp;lt;i&amp;gt;Social Media Network Map and Report&amp;lt;/b&amp;gt;&amp;lt;/i&amp;gt; from &amp;lt;a href="http://www.connectedaction.net"&amp;gt;Connected Action&amp;lt;/a&amp;gt;._x000D_
    _x000D_
{Graph Image}_x000D_
    _x000D_
{Graph Summary}_x000D_
    _x000D_
 &amp;lt;a href="https://www.smrfoundation.org/nodexl/"&amp;gt;NodeXL on the web&amp;lt;/a&amp;gt;  | Social Media Network Map and Report from &amp;lt;a href="http://www.connectedaction.net"&amp;gt;Connected Action&amp;lt;/a&amp;gt;._x000D_
&amp;lt;a mailto="NodeXL-Reports@connectedaction.net"&amp;gt;Request additional NodeXL Social Media Maps and Reports&amp;lt;/a&amp;gt;&lt;/value&gt;_x000D_
      &lt;/setting&gt;_x000D_
      &lt;setting name="Subject" serializeAs="String"&gt;_x000D_
        &lt;value&gt;HPV and Vacine Twitter NodeXL SNA Map and Report for November 26, 2012&lt;/value&gt;_x000D_
      &lt;/setting&gt;_x000D_
    &lt;/ExportToEmailUserSettings&gt;_x000D_
    &lt;ImportDataUserSettings&gt;_x000D_
      &lt;setting name="SaveImportDescription" serializeAs="String"&gt;_x000D_
        &lt;value&gt;True&lt;/value&gt;_x000D_
      &lt;/setting&gt;_x000D_
      &lt;setting name="ClearTablesBeforeImport" serializeAs="String"&gt;_x000D_
        &lt;value&gt;True&lt;/value&gt;_x000D_
      &lt;/setting&gt;_x000D_
      &lt;setting name="AutomateAfterImport" serializeAs="String"&gt;_x000D_
        &lt;value&gt;True&lt;/value&gt;_x000D_
      &lt;/setting&gt;_x000D_
    &lt;/ImportDataUserSettings&gt;_x000D_
    &lt;ClusterUserSettings&gt;_x000D_
      &lt;setting name="ClusterAlgorithm" serializeAs="String"&gt;_x000D_
        &lt;value&gt;ClausetNewmanMoore&lt;/value&gt;_x000D_
      &lt;/setting&gt;_x000D_
      &lt;setting name="PutNeighborlessVerticesInOneCluster" serializeAs="String"&gt;_x000D_
        &lt;value&gt;True&lt;/value&gt;_x000D_
      &lt;/setting&gt;_x000D_
    &lt;/ClusterUserSettings&gt;_x000D_
    &lt;ColumnGroupUserSettings&gt;_x000D_
      &lt;setting name="ColumnGroupsToShow" serializeAs="String"&gt;_x000D_
        &lt;value&gt;EdgeDoNotHide, EdgeGraphMetrics, EdgeOtherColumns, VertexDoNotHide, VertexGraphMetrics, VertexOtherColumns, GroupDoNotHide, GroupGraphMetrics, GroupOtherColumns, GroupEdgeGraphMetrics&lt;/value&gt;_x000D_
      &lt;/setting&gt;_x000D_
    &lt;/ColumnGroupUserSettings&gt;_x000D_
    &lt;GroupUserSettings&gt;_x000D_
      &lt;setting name="ReadGroups" serializeAs="String"&gt;_x000D_
        &lt;value&gt;True&lt;/value&gt;_x000D_
      &lt;/setting&gt;_x000D_
      &lt;setting name="ReadVertexShapeFromGroups" serializeAs="String"&gt;_x000D_
        &lt;value&gt;False&lt;/value&gt;_x000D_
      &lt;/setting&gt;_x000D_
      &lt;setting name="ReadVertexColorFromGroups" serializeAs="String"&gt;_x000D_
        &lt;value&gt;True&lt;/value&gt;_x000D_
      &lt;/setting&gt;_x000D_
    &lt;/GroupUserSettings&gt;_x000D_
    &lt;AutomatedGraphImageUserSettings&gt;_x000D_
      &lt;setting name="ImageFormat" serializeAs="String"&gt;_x000D_
        &lt;value&gt;Png&lt;/value&gt;_x000D_
      &lt;/setting&gt;_x000D_
      &lt;setting name="IncludeFooter" serializeAs="String"&gt;_x000D_
        &lt;value&gt;False&lt;/value&gt;_x000D_
      &lt;/setting&gt;_x000D_
      &lt;setting name="HeaderText" serializeAs="String"&gt;_x000D_
        &lt;value /&gt;_x000D_
      &lt;/setting&gt;_x000D_
      &lt;setting name="FooterText" serializeAs="String"&gt;_x000D_
        &lt;value /&gt;_x000D_
      &lt;/setting&gt;_x000D_
      &lt;setting name="HeaderFooterFont" serializeAs="String"&gt;_x000D_
        &lt;value&gt;Microsoft Sans Serif, 14.25pt&lt;/value&gt;_x000D_
      &lt;/setting&gt;_x000D_
      &lt;setting name="IncludeHeader" serializeAs="String"&gt;_x000D_
        &lt;value&gt;False&lt;/value&gt;_x000D_
      &lt;/setting&gt;_x000D_
      &lt;setting name="ImageSizePx" serializeAs="String"&gt;_x000D_
        &lt;value&gt;4096, 3072&lt;/value&gt;_x000D_
      &lt;/setting&gt;_x000D_
    &lt;/AutomatedGraphImageUserSettings&gt;_x000D_
    &lt;GraphMetricUserSettings&gt;_x000D_
      &lt;setting name="GraphMetricsToCalculate" serializeAs="String"&gt;_x000D_
        &lt;value&gt;InDegree, OutDegree, ClusteringCoefficient, BrandesFastCentralities, EigenvectorCentrality, PageRank, OverallMetrics, GroupMetrics, EdgeReciprocation, TopNBy, Words, ReciprocatedVertexPairRatio, TimeSeries, NetworkTopItems&lt;/value&gt;_x000D_
      &lt;/setting&gt;_x000D_
      &lt;setting name="TopNByMetricsToCalculate" serializeAs="Xml"&gt;_x000D_
        &lt;value&gt;_x000D_
          &lt;ArrayOfTopNByMetricUserSettings xmlns:xsi="http://www.w3.org/2001/XMLSchema-instance" xmlns:xsd="http://www.w3.org/2001/XMLSchema"&gt;_x000D_
            &lt;TopNByMetricUserSettings&gt;_x000D_
              &lt;N&gt;10&lt;/N&gt;_x000D_
              &lt;WorksheetName&gt;Vertices&lt;/WorksheetName&gt;_x000D_
              &lt;TableName&gt;Vertices&lt;/TableName&gt;_x000D_
              &lt;RankedColumnName&gt;Betweenness Centrality&lt;/RankedColumnName&gt;_x000D_
              &lt;ItemNameColumnName&gt;Vertex&lt;/ItemNameColumnName&gt;_x000D_
            &lt;/TopNByMetricUserSettings&gt;_x000D_
          &lt;/ArrayOfTopNByMetricUserSettings&gt;_x000D_
        &lt;/value&gt;_x000D_
      &lt;/setting&gt;_x000D_
      &lt;setting name="WordPairMetricUserSettings" serializeAs="String"&gt;_x000D_
        &lt;value&gt;TextColumnIsOnEdgeWorksheet░True▓TextColumnName░Tweet▓CountByGroup░True▓SkipSinglePairs░True▓WordsToSkip░a able about across after ain't all almost also am among an and any are aren't as at be because been but by can can't cannot could could've couldn't did didn't do does doesn't don't either else ever every for from get got had has hasn't have he he'd he'll he's her hers him his how how'd how'll how's however i i'd i'll i'm i've if in into is isn't it it's its just least let like likely may me might might've most must must've mustn't my neither no nor not of off often on only or other our own rather said say says she she'd she'll she's should should've shouldn't since so some than that that'll that's the their them then there there's these they they'd they'll they</t>
  </si>
  <si>
    <t>re theyve this to too us wants was wasn't we we'd we'll we're were weren't what what's when where where'd where'll where's which while who who'd who'll who's whom why why'd will with won't would would've wouldn't yet you you'd you'll you're you've your&lt;/value&gt;_x000D_
      &lt;/setting&gt;_x000D_
      &lt;setting name="WordMetricUserSettings" serializeAs="String"&gt;_x000D_
        &lt;value&gt;CalculateSentiment░True▓TextColumnIsOnEdgeWorksheet░True▓TextColumnName░Tweet▓CountByGroup░True▓SkipSingleTerms░True▓WordsToSkip░0 1 2 3 4 5 6 7 8 9 a à â å ä ã ab aber able about across after ahora ain't al all almost als also am amp among an and años any aqui aquí are aren't as así at au auch auf aunque aus avec b be because been bei beim bin bis but by c cada can can't cannot che com como con could could've couldn't cuando d ð da damit dann dans das dass de dein deine deinem deinen deiner deines del della dem den denen denn der deren des desde después dessen di dich did didn't diese diesem diesen dieses dijo dir do doch does doesn't don't donde dort dos du durante durch ðÿ ðÿš e é è een een ein eine einem einen einer eines either el él ella elle else en entre er era es esa ese eso est esta está este esto estos et etwa etwas euch euer euren eures even ever every f for för from fue für g get gleich got h ha haben había hace had han has hasn't hasta hat hatte hätte hatten hätten hättest have hay he he'd he'll he's her here hers het hier him his how how'd how'll how's however http https i ï i'd i'll i'm i've ich if ihm ihn ihnen ihr ihre ihrem ihren il im in ins into is isn't ist it it's its j je jetzt just k kann können konnte könnte konnten könnten konntest könntest konntet l la las le least les let like likely lo los m más may me mein meine meinem meines menos mi mich might might've mir mismo mit moi most muss musste müsste mussten müssten müsstest must must've mustn't muy my n ñ na nach ne neither new ni nicht no noch nor nos not nous now nun nur o ó ö ob och oder of off often om on only op or other otra otro otros ou our out own p på page pages país para parte pas per pero por porque post posts pour puede q que qué qui quoi r rather real rt s said say says schon se según sehr sein ser she she'd she'll she's should should've shouldn't si sí sich sido sie siempre sin since sind so sobre sogar soll sollst sollte sollten solltest solo sólo som some son sous soy ß su sur sus t también tan tanto te than that that'll that's the their them then there there's these they they'd they'll they're they've this though through tiempo tiene tja to todo todos toi too tres tu tun u ü über um un una und une uno uns unser unsere unserem unseren unseres unter up us v va van vez vi via vía vom von voor vor vos vous w want wants wäre wären wärest was wasn't we we'd we'll we're wenn wer werden were weren't what what's when where where'd where'll where's which while who who'd who'll who's whom why why'd wie will wir wird wirst with wo won't would would've wouldn't wurde wurden würden wurdest würdest www x y ya yet yo you you'd you'll you're you've your z zu zum zur▓SentimentList1Name░Positive▓SentimentList2Name░Negative▓SentimentList3Name░Angry/Violent▓SentimentWordsInList1░a+ abound abounds abundance abundant accessable accessible acclaim acclaimed acclamation accolade accolades accommodative accomodative accomplish accomplished accomplishment accomplishments accurate accurately achievable achievement achievements achievible acumen adaptable adaptive adequate adjustable admirable admirably admiration admire admirer admiring admiringly adorable adore adored adorer adoring adoringly adroit adroitly adulate adulation adulatory advanced advantage advantageous advantageously advantages adventuresome adventurous advocate advocated advocates affability affable affably affectation affection affectionate affinity affirm affirmation affirmative affluence affluent afford affordable affordably afordable agile agilely agility agreeable agreeableness agreeably all-around alluring alluringly altruistic altruistically amaze amazed amazement amazes amazing amazingly ambitious ambitiously ameliorate amenable amenity amiability amiabily amiable amicability amicable amicably amity ample amply amuse amusing amusingly angel angelic apotheosis appeal appealing applaud appreciable appreciate appreciated appreciates appreciative appreciatively appropriate approval approve ardent ardently ardor articulate aspiration aspirations aspire assurance assurances assure assuredly assuring astonish astonished astonishing astonishingly astonishment astound astounded astounding astoundingly astutely attentive attraction attractive attractively attune audible audibly auspicious authentic authoritative autonomous available aver avid avidly award awarded awards awe awed awesome awesomely awesomeness awestruck awsome backbone balanced bargain beauteous beautiful beautifullly beautifully beautify beauty beckon beckoned beckoning beckons believable believeable beloved benefactor beneficent beneficial beneficially beneficiary benefit benefits benevolence benevolent benifits best best-known best-performing best-selling better better-known better-than-expected beutifully blameless bless blessing bliss blissful blissfully blithe blockbuster bloom blossom bolster bonny bonus bonuses boom booming boost boundless bountiful brainiest brainy brand-new brave bravery bravo breakthrough breakthroughs breathlessness breathtaking breathtakingly breeze bright brighten brighter brightest brilliance brilliances brilliant brilliantly brisk brotherly bullish buoyant cajole calm calming calmness capability capable capably captivate captivating carefree cashback cashbacks catchy celebrate celebrated celebration celebratory champ champion charisma charismatic charitable charm charming charmingly chaste cheaper cheapest cheer cheerful cheery cherish cherished cherub chic chivalrous chivalry civility civilize clarity classic classy clean cleaner cleanest cleanliness cleanly clear clear-cut cleared clearer clearly clea</t>
  </si>
  <si>
    <t>rs clever cleverly cohere coherence coherent cohesive colorful comely comfort comfortable comfortably comforting comfy commend commendable commendably commitment commodious compact compactly compassion compassionate compatible competitive complement complementary complemented complements compliant compliment complimentary comprehensive conciliate conciliatory concise confidence confident congenial congratulate congratulation congratulations congratulatory conscientious considerate consistent consistently constructive consummate contentment continuity contrasty contribution convenience convenient conveniently convience convienient convient convincing convincingly cool coolest cooperative cooperatively cornerstone correct correctly cost-effective cost-saving counter-attack counter-attacks courage courageous courageously courageousness courteous courtly covenant cozy creative credence credible crisp crisper cure cure-all cushy cute cuteness danke danken daring daringly darling dashing dauntless dawn dazzle dazzled dazzling dead-cheap dead-on decency decent decisive decisiveness dedicated defeat defeated defeating defeats defender deference deft deginified delectable delicacy delicate delicious delight delighted delightful delightfully delightfulness dependable dependably deservedly deserving desirable desiring desirous destiny detachable devout dexterous dexterously dextrous dignified dignify dignity diligence diligent diligently diplomatic dirt-cheap distinction distinctive distinguished diversified divine divinely dominate dominated dominates dote dotingly doubtless dreamland dumbfounded dumbfounding dummy-proof durable dynamic eager eagerly eagerness earnest earnestly earnestness ease eased eases easier easiest easiness easing easy easy-to-use easygoing ebullience ebullient ebulliently ecenomical economical ecstasies ecstasy ecstatic ecstatically edify educated effective effectively effectiveness effectual efficacious efficient efficiently effortless effortlessly effusion effusive effusively effusiveness elan elate elated elatedly elation electrify elegance elegant elegantly elevate elite eloquence eloquent eloquently embolden eminence eminent empathize empathy empower empowerment enchant enchanted enchanting enchantingly encourage encouragement encouraging encouragingly endear endearing endorse endorsed endorsement endorses endorsing energetic energize energy-efficient energy-saving engaging engrossing enhance enhanced enhancement enhances enjoy enjoyable enjoyably enjoyed enjoying enjoyment enjoys enlighten enlightenment enliven ennoble enough enrapt enrapture enraptured enrich enrichment enterprising entertain entertaining entertains enthral enthrall enthralled enthuse enthusiasm enthusiast enthusiastic enthusiastically entice enticed enticing enticingly entranced entrancing entrust enviable enviably envious enviously enviousness envy equitable ergonomical err-free erudite ethical eulogize euphoria euphoric euphorically evaluative evenly eventful everlasting evocative exalt exaltation exalted exaltedly exalting exaltingly examplar examplary excallent exceed exceeded exceeding exceedingly exceeds excel exceled excelent excellant excelled excellence excellency excellent excellently excels exceptional exceptionally excite excited excitedly excitedness excitement excites exciting excitingly exellent exemplar exemplary exhilarate exhilarating exhilaratingly exhilaration exonerate expansive expeditiously expertly exquisite exquisitely extol extoll extraordinarily extraordinary exuberance exuberant exuberantly exult exultant exultation exultingly eye-catch eye-catching eyecatch eyecatching fabulous fabulously facilitate fair fairly fairness faith faithful faithfully faithfulness fame famed famous famously fancier fancinating fancy fanfare fans fantastic fantastically fascinate fascinating fascinatingly fascination fashionable fashionably fast fast-growing fast-paced faster fastest fastest-growing faultless fav fave favor favorable favored favorite favorited favour fearless fearlessly feasible feasibly feat feature-rich fecilitous feisty felicitate felicitous felicity fertile fervent fervently fervid fervidly fervor festive fidelity fiery fine fine-looking finely finer finest firmer first-class first-in-class first-rate flashy flatter flattering flatteringly flawless flawlessly flexibility flexible flourish flourishing fluent flutter fond fondly fondness foolproof foremost foresight formidable fortitude fortuitous fortuitously fortunate fortunately fortune fragrant free freed freedom freedoms fresh fresher freshest friendliness friendly frolic frugal fruitful ftw fulfillment fun futurestic futuristic gaiety gaily gain gained gainful gainfully gaining gains gallant gallantly galore geekier geeky gem gems generosity generous generously genial genius gentle gentlest genuine gifted glad gladden gladly gladness glamorous glee gleeful gleefully glimmer glimmering glisten glistening glitter glitz glorify glorious gloriously glory glow glowing glowingly god-given god-send godlike godsend gold golden good goodly goodness goodwill goood gooood gorgeous gorgeously grace graceful gracefully gracious graciously graciousness grand grandeur grateful gratefully gratification gratified gratifies gratify gratifying gratifyingly gratitude great greatest greatness grin groundbreaking guarantee guidance guiltless gumption gush gusto gutsy hail halcyon hale hallmark hallmarks hallowed handier handily hands-down handsome handsomely handy happier happily happiness happy hard-working hardier hardy harmless harmonious harmoniously harmonize harmony headway heal healthful healthy hearten heartening heartfelt heartily heartwarming heaven heavenly helped helpful helping hero heroic heroically heroine heroize heros high-quality high-spirited hilarious holy homage honest honesty honor honorable honored honoring hooray hopeful hospitable hot hotcake hotcakes hottest hug humane humble humility humor humorous humorously humou</t>
  </si>
  <si>
    <t>r humourous ideal idealize ideally idol idolize idolized idyllic illuminate illuminati illuminating illumine illustrious ilu imaculate imaginative immaculate immaculately immense impartial impartiality impartially impassioned impeccable impeccably important impress impressed impresses impressive impressively impressiveness improve improved improvement improvements improves improving incredible incredibly indebted individualized indulgence indulgent industrious inestimable inestimably inexpensive infallibility infallible infallibly influential ingenious ingeniously ingenuity ingenuous ingenuously innocuous innovation innovative inpressed insightful insightfully inspiration inspirational inspire inspiring instantly instructive instrumental integral integrated intelligence intelligent intelligible interesting interests intimacy intimate intricate intrigue intriguing intriguingly intuitive invaluable invaluablely inventive invigorate invigorating invincibility invincible inviolable inviolate invulnerable irreplaceable irreproachable irresistible irresistibly issue-free jaw-droping jaw-dropping jollify jolly jovial joy joyful joyfully joyous joyously jubilant jubilantly jubilate jubilation jubiliant judicious justly keen keenly keenness kid-friendly kindliness kindly kindness knowledgeable kudos large-capacity laud laudable laudably lavish lavishly law-abiding lawful lawfully lead leading leads lean led legendary leverage levity liberate liberation liberty lifesaver light-hearted lighter likable like liked likes liking lionhearted lively logical long-lasting lovable lovably love loved loveliness lovely lover loves loving low-cost low-price low-priced low-risk lower-priced loyal loyalty lucid lucidly luck luckier luckiest luckiness lucky lucrative luminous lush luster lustrous luxuriant luxuriate luxurious luxuriously luxury lyrical magic magical magnanimous magnanimously magnificence magnificent magnificently majestic majesty manageable maneuverable marvel marveled marvelled marvellous marvelous marvelously marvelousness marvels master masterful masterfully masterpiece masterpieces masters mastery matchless mature maturely maturity meaningful memorable merciful mercifully mercy merit meritorious merrily merriment merriness merry mesmerize mesmerized mesmerizes mesmerizing mesmerizingly meticulous meticulously mightily mighty mind-blowing miracle miracles miraculous miraculously miraculousness modern modest modesty momentous monumental monumentally morality motivated multi-purpose navigable neat neatest neatly nice nicely nicer nicest nifty nimble noble nobly noiseless non-violence non-violent notably noteworthy nourish nourishing nourishment novelty nurturing oasis obsession obsessions obtainable openly openness optimal optimism optimistic opulent orderly originality outdo outdone outperform outperformed outperforming outperforms outshine outshone outsmart outstanding outstandingly outstrip outwit ovation overjoyed overtake overtaken overtakes overtaking overtook overture pain-free painless painlessly palatial pamper pampered pamperedly pamperedness pampers panoramic paradise paramount pardon passion passionate passionately patience patient patiently patriot patriotic peace peaceable peaceful peacefully peacekeepers peach peerless pep pepped pepping peppy peps perfect perfection perfectly permissible perseverance persevere personages personalized phenomenal phenomenally picturesque piety pinnacle playful playfully pleasant pleasantly pleased pleases pleasing pleasingly pleasurable pleasurably pleasure plentiful pluses plush plusses poetic poeticize poignant poise poised polished polite politeness popular portable posh positive positively positives powerful powerfully praise praiseworthy praising pre-eminent precious precise precisely preeminent prefer preferable preferably prefered preferes preferring prefers premier prestige prestigious prettily pretty priceless pride principled privilege privileged prize proactive problem-free problem-solver prodigious prodigiously prodigy productive productively proficient proficiently profound profoundly profuse profusion progress progressive prolific prominence prominent promise promised promises promising promoter prompt promptly proper properly propitious propitiously pros prosper prosperity prosperous prospros protect protection protective proud proven proves providence proving prowess prudence prudent prudently punctual pure purify purposeful quaint qualified qualify quicker quiet quieter radiance radiant rapid rapport rapt rapture raptureous raptureously rapturous rapturously rational razor-sharp reachable readable readily ready reaffirm reaffirmation realistic realizable reasonable reasonably reasoned reassurance reassure receptive reclaim recomend recommend recommendation recommendations recommended reconcile reconciliation record-setting recover recovery rectification rectify rectifying redeem redeeming redemption refine refined refinement reform reformed reforming reforms refresh refreshed refreshing refund refunded regal regally regard rejoice rejoicing rejoicingly rejuvenate rejuvenated rejuvenating relaxed relent reliable reliably relief relish remarkable remarkably remedy remission remunerate renaissance renewed renown renowned replaceable reputable reputation resilient resolute resound resounding resourceful resourcefulness respect respectable respectful respectfully respite resplendent responsibly responsive restful restored restructure restructured restructuring retractable revel revelation revere reverence reverent reverently revitalize revival revive revives revolutionary revolutionize revolutionized revolutionizes reward rewarding rewardingly rich richer richly richness right righten righteous righteously righteousness rightful rightfully rightly rightness risk-free robust rock-star rock-stars rockstar rockstars romantic romantically romanticize roomier roomy rosy safe safely sagacity sagely saint saintliness saintly salutary salute sa</t>
  </si>
  <si>
    <t>ne satisfactorily satisfactory satisfied satisfies satisfy satisfying satisified saver savings savior savvy scenic seamless seasoned secure securely selective self-determination self-respect self-satisfaction self-sufficiency self-sufficient sensation sensational sensationally sensations sensible sensibly sensitive serene serenity sexy sharp sharper sharpest shimmering shimmeringly shine shiny significant silent simpler simplest simplified simplifies simplify simplifying sincere sincerely sincerity skill skilled skillful skillfully slammin sleek slick smart smarter smartest smartly smile smiles smiling smilingly smitten smooth smoother smoothes smoothest smoothly snappy snazzy sociable soft softer solace solicitous solicitously solid solidarity soothe soothingly sophisticated soulful soundly soundness spacious sparkle sparkling spectacular spectacularly speedily speedy spellbind spellbinding spellbindingly spellbound spirited spiritual splendid splendidly splendor spontaneous sporty spotless sprightly stability stabilize stable stainless standout state-of-the-art stately statuesque staunch staunchly staunchness steadfast steadfastly steadfastness steadiest steadiness steady stellar stellarly stimulate stimulates stimulating stimulative stirringly straighten straightforward streamlined striking strikingly striving strong stronger strongest stunned stunning stunningly stupendous stupendously sturdier sturdy stylish stylishly stylized suave suavely sublime subsidize subsidized subsidizes subsidizing substantive succeed succeeded succeeding succeeds succes success successes successful successfully suffice sufficed suffices sufficient sufficiently suitable sumptuous sumptuously sumptuousness super superb superbly superior superiority supple support supported supporter supporting supportive supports supremacy supreme supremely supurb supurbly surmount surpass surreal survival survivor sustainability sustainable swank swankier swankiest swanky sweeping sweet sweeten sweetheart sweetly sweetness swift swiftness talent talented talents tantalize tantalizing tantalizingly tempt tempting temptingly tenacious tenaciously tenacity tender tenderly terrific terrifically thank thankful thinner thoughtful thoughtfully thoughtfulness thrift thrifty thrill thrilled thrilling thrillingly thrills thrive thriving thumb-up thumbs-up tickle tidy time-honored timely tingle titillate titillating titillatingly togetherness tolerable toll-free top top-notch top-quality topnotch tops tough tougher toughest traction tranquil tranquility transparent treasure tremendously trendy triumph triumphal triumphant triumphantly trivially trophy trouble-free trumpet trust trusted trusting trustingly trustworthiness trustworthy trusty truthful truthfully truthfulness twinkly ultra-crisp unabashed unabashedly unaffected unassailable unbeatable unbiased unbound uncomplicated unconditional undamaged undaunted understandable undisputable undisputably undisputed unencumbered unequivocal unequivocally unfazed unfettered unforgettable unity unlimited unmatched unparalleled unquestionable unquestionably unreal unrestricted unrivaled unselfish unwavering upbeat upgradable upgradeable upgraded upheld uphold uplift uplifting upliftingly upliftment upscale usable useable useful user-friendly user-replaceable valiant valiantly valor valuable variety venerate verifiable veritable versatile versatility vibrant vibrantly victorious victory viewable vigilance vigilant virtue virtuous virtuously visionary vivacious vivid vouch vouchsafe warm warmer warmhearted warmly warmth wealthy welcome well well-backlit well-balanced well-behaved well-being well-bred well-connected well-educated well-established well-informed well-intentioned well-known well-made well-managed well-mannered well-positioned well-received well-regarded well-rounded well-run well-wishers wellbeing whoa wholeheartedly wholesome whooa whoooa wieldy willing willingly willingness win windfall winnable winner winners winning wins wisdom wise wisely witty won wonder wonderful wonderfully wonderous wonderously wonders wondrous woo work workable worked works world-famous worth worth-while worthiness worthwhile worthy wow wowed wowing wows yay youthful zeal zenith zest zippy▓SentimentWordsInList2░2-faced 2-faces abnormal abolish abominable abominably abominate abomination abort aborted aborts abrade abrasive abrupt abruptly abscond absence absent-minded absentee absurd absurdity absurdly absurdness abuse abused abuses abusive abysmal abysmally abyss accidental accost accursed accusation accusations accuse accuses accusing accusingly acerbate acerbic acerbically ache ached aches achey aching acrid acridly acridness acrimonious acrimoniously acrimony adamant adamantly addict addicted addicting addicts admonish admonisher admonishingly admonishment admonition adulterate adulterated adulteration adulterier adversarial adversary adverse adversity afflict affliction afflictive affront afraid aggravate aggravating aggravation aggression aggressive aggressiveness aggressor aggrieve aggrieved aggrivation aghast agonies agonize agonizing agonizingly agony aground ail ailing ailment aimless alarm alarmed alarming alarmingly alienate alienated alienation allegation allegations allege allergic allergies allergy aloof altercation ambiguity ambiguous ambivalence ambivalent ambush amiss amputate anarchism anarchist anarchistic anarchy anemic anger angrily angriness angry anguish animosity annihilate annihilation annoy annoyance annoyances annoyed annoying annoyingly annoys anomalous anomaly antagonism antagonist antagonistic antagonize anti- anti-american anti-israeli anti-occupation anti-proliferation anti-semites anti-social anti-us anti-white antipathy antiquated antithetical anxieties anxiety anxious anxiously anxiousness apathetic apathetically apathy apocalypse apocalyptic apologist apologists appal appall appalled appalling appallingly apprehension apprehensions apprehensive apprehensively arbitra</t>
  </si>
  <si>
    <t>ry arcane archaic arduous arduously argumentative arrogance arrogant arrogantly ashamed asinine asininely asinininity askance asperse aspersion aspersions assail assassin assassinate assault assult astray asunder atrocious atrocities atrocity atrophy attack attacks audacious audaciously audaciousness audacity audiciously austere authoritarian autocrat autocratic avalanche avarice avaricious avariciously avenge averse aversion aweful awful awfully awfulness awkward awkwardness ax babble back-logged back-wood back-woods backache backaches backaching backbite backbiting backward backwardness backwood backwoods bad badly baffle baffled bafflement baffling bait balk banal banalize bane banish banishment bankrupt barbarian barbaric barbarically barbarity barbarous barbarously barren baseless bash bashed bashful bashing bastard bastards battered battering batty bearish beastly bedlam bedlamite befoul beg beggar beggarly begging beguile belabor belated beleaguer belie belittle belittled belittling bellicose belligerence belligerent belligerently bemoan bemoaning bemused bent berate bereave bereavement bereft berserk beseech beset besiege besmirch bestial betray betrayal betrayals betrayer betraying betrays bewail beware bewilder bewildered bewildering bewilderingly bewilderment bewitch bias biased biases bicker bickering bid-rigging bigotries bigotry bitch bitchy biting bitingly bitter bitterly bitterness bizarre blab blabber blackmail blah blame blameworthy bland blandish blaspheme blasphemous blasphemy blasted blatant blatantly blather bleak bleakly bleakness bleed bleeding bleeds blemish blind blinding blindingly blindside blister blistering bloated blockage blockhead bloodshed bloodthirsty bloody blotchy blow blunder blundering blunders blunt blur bluring blurred blurring blurry blurs blurt boastful boggle bogus boil boiling boisterous bomb bombard bombardment bombastic bondage bonkers bore bored boredom bores boring botch bother bothered bothering bothers bothersome bowdlerize boycott braggart bragger brainless brainwash brash brashly brashness brat bravado brazen brazenly brazenness breach break break-up break-ups breakdown breaking breaks breakup breakups bribery brimstone bristle brittle broke broken broken-hearted brood browbeat bruise bruised bruises bruising brusque brutal brutalising brutalities brutality brutalize brutalizing brutally brute brutish bs buckle bug bugging buggy bugs bulkier bulkiness bulky bulkyness bull**** bull---- bullies bullshit bullshyt bully bullying bullyingly bum bump bumped bumping bumpping bumps bumpy bungle bungler bungling bunk burden burdensome burdensomely burn burned burning burns bust busts busybody butcher butchery buzzing byzantine cackle calamities calamitous calamitously calamity callous calumniate calumniation calumnies calumnious calumniously calumny cancer cancerous cannibal cannibalize capitulate capricious capriciously capriciousness capsize careless carelessness caricature carnage carp cartoonish cash-strapped castigate castrated casualty cataclysm cataclysmal cataclysmic cataclysmically catastrophe catastrophes catastrophic catastrophically catastrophies caustic caustically cautionary cave censure chafe chaff chagrin challenging chaos chaotic chasten chastise chastisement chatter chatterbox cheap cheapen cheaply cheat cheated cheater cheating cheats checkered cheerless cheesy chide childish chill chilly chintzy choke choleric choppy chore chronic chunky clamor clamorous clash cliche cliched clique clog clogged clogs cloud clouding cloudy clueless clumsy clunky coarse cocky coerce coercion coercive cold coldly collapse collude collusion combative combust comical commiserate commonplace commotion commotions complacent complain complained complaining complains complaint complaints complex complicated complication complicit compulsion compulsive concede conceded conceit conceited concen concens concern concerned concerns concession concessions condemn condemnable condemnation condemned condemns condescend condescending condescendingly condescension confess confession confessions confined conflict conflicted conflicting conflicts confound confounded confounding confront confrontation confrontational confuse confused confuses confusing confusion confusions congested congestion cons conscons conservative conspicuous conspicuously conspiracies conspiracy conspirator conspiratorial conspire consternation contagious contaminate contaminated contaminates contaminating contamination contempt contemptible contemptuous contemptuously contend contention contentious contort contortions contradict contradiction contradictory contrariness contravene contrive contrived controversial controversy convoluted corrode corrosion corrosions corrosive corrupt corrupted corrupting corruption corrupts corruptted costlier costly counter-productive counterproductive coupists covetous coward cowardly crabby crack cracked cracks craftily craftly crafty cramp cramped cramping cranky crap crappy craps crash crashed crashes crashing crass craven cravenly craze crazily craziness crazy creak creaking creaks credulous creep creeping creeps creepy crept crime criminal cringe cringed cringes cripple crippled cripples crippling crisis critic critical criticism criticisms criticize criticized criticizing critics cronyism crook crooked crooks crowded crowdedness crude cruel crueler cruelest cruelly cruelness cruelties cruelty crumble crumbling crummy crumple crumpled crumples crush crushed crushing cry culpable culprit cumbersome cunt cunts cuplrit curse cursed curses curt cuss cussed cutthroat cynical cynicism d*mn damage damaged damages damaging damn damnable damnably damnation damned damning damper danger dangerous dangerousness dark darken darkened darker darkness dastard dastardly daunt daunting dauntingly dawdle daze dazed dead deadbeat deadlock deadly deadweight deaf dearth death debacle debase debasement debaser debatable debauch debaucher debauchery debilitate debilitating d</t>
  </si>
  <si>
    <t>ebility debt debts decadence decadent decay decayed deceit deceitful deceitfully deceitfulness deceive deceiver deceivers deceiving deception deceptive deceptively declaim decline declines declining decrement decrepit decrepitude decry defamation defamations defamatory defame defect defective defects defensive defiance defiant defiantly deficiencies deficiency deficient defile defiler deform deformed defrauding defunct defy degenerate degenerately degeneration degradation degrade degrading degradingly dehumanization dehumanize deign deject dejected dejectedly dejection delay delayed delaying delays delinquency delinquent delirious delirium delude deluded deluge delusion delusional delusions demean demeaning demise demolish demolisher demon demonic demonize demonized demonizes demonizing demoralize demoralizing demoralizingly denial denied denies denigrate denounce dense dent dented dents denunciate denunciation denunciations deny denying deplete deplorable deplorably deplore deploring deploringly deprave depraved depravedly deprecate depress depressed depressing depressingly depression depressions deprive deprived deride derision derisive derisively derisiveness derogatory desecrate desert desertion desiccate desiccated desititute desolate desolately desolation despair despairing despairingly desperate desperately desperation despicable despicably despise despised despoil despoiler despondence despondency despondent despondently despot despotic despotism destabilisation destains destitute destitution destroy destroyer destruction destructive desultory deter deteriorate deteriorating deterioration deterrent detest detestable detestably detested detesting detests detract detracted detracting detraction detracts detriment detrimental devastate devastated devastates devastating devastatingly devastation deviate deviation devil devilish devilishly devilment devilry devious deviously deviousness devoid diabolic diabolical diabolically diametrically diappointed diatribe diatribes dick dictator dictatorial die die-hard died dies difficult difficulties difficulty diffidence dilapidated dilemma dilly-dally dim dimmer din ding dings dinky dire direly direness dirt dirtbag dirtbags dirts dirty disable disabled disaccord disadvantage disadvantaged disadvantageous disadvantages disaffect disaffected disaffirm disagree disagreeable disagreeably disagreed disagreeing disagreement disagrees disallow disapointed disapointing disapointment disappoint disappointed disappointing disappointingly disappointment disappointments disappoints disapprobation disapproval disapprove disapproving disarm disarray disaster disasterous disastrous disastrously disavow disavowal disbelief disbelieve disbeliever disclaim discombobulate discomfit discomfititure discomfort discompose disconcert disconcerted disconcerting disconcertingly disconsolate disconsolately disconsolation discontent discontented discontentedly discontinued discontinuity discontinuous discord discordance discordant discountenance discourage discouragement discouraging discouragingly discourteous discourteously discoutinous discredit discrepant discriminate discrimination discriminatory disdain disdained disdainful disdainfully disfavor disgrace disgraced disgraceful disgracefully disgruntle disgruntled disgust disgusted disgustedly disgustful disgustfully disgusting disgustingly dishearten disheartening dishearteningly dishonest dishonestly dishonesty dishonor dishonorable dishonorablely disillusion disillusioned disillusionment disillusions disinclination disinclined disingenuous disingenuously disintegrate disintegrated disintegrates disintegration disinterest disinterested dislike disliked dislikes disliking dislocated disloyal disloyalty dismal dismally dismalness dismay dismayed dismaying dismayingly dismissive dismissively disobedience disobedient disobey disoobedient disorder disordered disorderly disorganized disorient disoriented disown disparage disparaging disparagingly dispensable dispirit dispirited dispiritedly dispiriting displace displaced displease displeased displeasing displeasure disproportionate disprove disputable dispute disputed disquiet disquieting disquietingly disquietude disregard disregardful disreputable disrepute disrespect disrespectable disrespectablity disrespectful disrespectfully disrespectfulness disrespecting disrupt disruption disruptive diss dissapointed dissappointed dissappointing dissatisfaction dissatisfactory dissatisfied dissatisfies dissatisfy dissatisfying dissed dissemble dissembler dissension dissent dissenter dissention disservice disses dissidence dissident dissidents dissing dissocial dissolute dissolution dissonance dissonant dissonantly dissuade dissuasive distains distaste distasteful distastefully distort distorted distortion distorts distract distracting distraction distraught distraughtly distraughtness distress distressed distressing distressingly distrust distrustful distrusting disturb disturbance disturbed disturbing disturbingly disunity disvalue divergent divisive divisively divisiveness dizzing dizzingly dizzy doddering dodgey dogged doggedly dogmatic doldrums domineer domineering donside doom doomed doomsday dope doubt doubtful doubtfully doubts douchbag douchebag douchebags downbeat downcast downer downfall downfallen downgrade downhearted downheartedly downhill downside downsides downturn downturns drab draconian draconic drag dragged dragging dragoon drags drain drained draining drains drastic drastically drawback drawbacks dread dreadful dreadfully dreadfulness dreary dripped dripping drippy drips drones droop droops drop-out drop-outs dropout dropouts drought drowning drunk drunkard drunken dubious dubiously dubitable dud dull dullard dumb dumbfound dump dumped dumping dumps dunce dungeon dungeons dupe dust dusty dwindling dying earsplitting eccentric eccentricity effigy effrontery egocentric egomania egotism egotistical egotistically egregious egregiously election-rigger eliminatio</t>
  </si>
  <si>
    <t>n emaciated emasculate embarrass embarrassing embarrassingly embarrassment embattled embroil embroiled embroilment emergency emphatic emphatically emptiness encroach encroachment endanger enemies enemy enervate enfeeble enflame engulf enjoin enmity enrage enraged enraging enslave entangle entanglement entrap entrapment envious enviously enviousness epidemic equivocal erase erode erodes erosion err errant erratic erratically erroneous erroneously error errors eruptions escapade eschew estranged evade evasion evasive evil evildoer evils eviscerate exacerbate exagerate exagerated exagerates exaggerate exaggeration exasperate exasperated exasperating exasperatingly exasperation excessive excessively exclusion excoriate excruciating excruciatingly excuse excuses execrate exhaust exhausted exhaustion exhausts exhorbitant exhort exile exorbitant exorbitantance exorbitantly expel expensive expire expired explode exploit exploitation explosive expropriate expropriation expulse expunge exterminate extermination extinguish extort extortion extraneous extravagance extravagant extravagantly extremism extremist extremists eyesore f**k fabricate fabrication facetious facetiously fail failed failing fails failure failures faint fainthearted faithless fake fall fallacies fallacious fallaciously fallaciousness fallacy fallen falling fallout falls false falsehood falsely falsify falter faltered famine famished fanatic fanatical fanatically fanaticism fanatics fanciful far-fetched farce farcical farcical-yet-provocative farcically farfetched fascism fascist fastidious fastidiously fastuous fat fat-cat fat-cats fatal fatalistic fatalistically fatally fatcat fatcats fateful fatefully fathomless fatigue fatigued fatique fatty fatuity fatuous fatuously fault faults faulty fawningly faze fear fearful fearfully fears fearsome feckless feeble feeblely feebleminded feign feint fell felon felonious ferociously ferocity fetid fever feverish fevers fiasco fib fibber fickle fiction fictional fictitious fidget fidgety fiend fiendish fierce figurehead filth filthy finagle finicky fissures fist flabbergast flabbergasted flagging flagrant flagrantly flair flairs flak flake flakey flakieness flaking flaky flare flares flareup flareups flat-out flaunt flaw flawed flaws flee fleed fleeing fleer flees fleeting flicering flicker flickering flickers flighty flimflam flimsy flirt flirty floored flounder floundering flout fluster foe fool fooled foolhardy foolish foolishly foolishness forbid forbidden forbidding forceful foreboding forebodingly forfeit forged forgetful forgetfully forgetfulness forlorn forlornly forsake forsaken forswear foul foully foulness fractious fractiously fracture fragile fragmented frail frantic frantically franticly fraud fraudulent fraught frazzle frazzled freak freaking freakish freakishly freaks freeze freezes freezing frenetic frenetically frenzied frenzy fret fretful frets friction frictions fried friggin frigging fright frighten frightening frighteningly frightful frightfully frigid frost frown froze frozen fruitless fruitlessly frustrate frustrated frustrates frustrating frustratingly frustration frustrations fuck fucking fudge fugitive full-blown fulminate fumble fume fumes fundamentalism funky funnily funny furious furiously furor fury fuss fussy fustigate fusty futile futilely futility fuzzy gabble gaff gaffe gainsay gainsayer gall galling gallingly galls gangster gape garbage garish gasp gauche gaudy gawk gawky geezer genocide get-rich ghastly ghetto ghosting gibber gibberish gibe giddy gimmick gimmicked gimmicking gimmicks gimmicky glare glaringly glib glibly glitch glitches gloatingly gloom gloomy glower glum glut gnawing goad goading god-awful goof goofy goon gossip graceless gracelessly graft grainy grapple grate grating gravely greasy greed greedy grief grievance grievances grieve grieving grievous grievously grim grimace grind gripe gripes grisly gritty gross grossly grotesque grouch grouchy groundless grouse growl grudge grudges grudging grudgingly gruesome gruesomely gruff grumble grumpier grumpiest grumpily grumpish grumpy guile guilt guiltily guilty gullible gutless gutter hack hacks haggard haggle hairloss halfhearted halfheartedly hallucinate hallucination hamper hampered handicapped hang hangs haphazard hapless harangue harass harassed harasses harassment harboring harbors hard hard-hit hard-line hard-liner hardball harden hardened hardheaded hardhearted hardliner hardliners hardship hardships harm harmed harmful harms harpy harridan harried harrow harsh harshly hasseling hassle hassled hassles haste hastily hasty hate hated hateful hatefully hatefulness hater haters hates hating hatred haughtily haughty haunt haunting havoc hawkish haywire hazard hazardous haze hazy head-aches headache headaches heartbreaker heartbreaking heartbreakingly heartless heathen heavy-handed heavyhearted heck heckle heckled heckles hectic hedge hedonistic heedless hefty hegemonism hegemonistic hegemony heinous hell hell-bent hellion hells helpless helplessly helplessness heresy heretic heretical hesitant hestitant hideous hideously hideousness high-priced hiliarious hinder hindrance hiss hissed hissing ho-hum hoard hoax hobble hogs hollow hoodium hoodwink hooligan hopeless hopelessly hopelessness horde horrendous horrendously horrible horrid horrific horrified horrifies horrify horrifying horrifys hostage hostile hostilities hostility hotbeds hothead hotheaded hothouse hubris huckster hum humid humiliate humiliating humiliation humming hung hurt hurted hurtful hurting hurts hustler hype hypocricy hypocrisy hypocrite hypocrites hypocritical hypocritically hysteria hysteric hysterical hysterically hysterics idiocies idiocy idiot idiotic idiotically idiots idle ignoble ignominious ignominiously ignominy ignorance ignorant ignore ill-advised ill-conceived ill-defined ill-designed ill-fated ill-favored ill-formed ill-mannered ill-natured ill-sorted ill-tempered ill-treated ill-treatment ill-usage ill-used il</t>
  </si>
  <si>
    <t>legal illegally illegitimate illicit illiterate illness illogic illogical illogically illusion illusions illusory imaginary imbalance imbecile imbroglio immaterial immature imminence imminently immobilized immoderate immoderately immodest immoral immorality immorally immovable impair impaired impasse impatience impatient impatiently impeach impedance impede impediment impending impenitent imperfect imperfection imperfections imperfectly imperialist imperil imperious imperiously impermissible impersonal impertinent impetuous impetuously impiety impinge impious implacable implausible implausibly implicate implication implode impolite impolitely impolitic importunate importune impose imposers imposing imposition impossible impossiblity impossibly impotent impoverish impoverished impractical imprecate imprecise imprecisely imprecision imprison imprisonment improbability improbable improbably improper improperly impropriety imprudence imprudent impudence impudent impudently impugn impulsive impulsively impunity impure impurity inability inaccuracies inaccuracy inaccurate inaccurately inaction inactive inadequacy inadequate inadequately inadverent inadverently inadvisable inadvisably inane inanely inappropriate inappropriately inapt inaptitude inarticulate inattentive inaudible incapable incapably incautious incendiary incense incessant incessantly incite incitement incivility inclement incognizant incoherence incoherent incoherently incommensurate incomparable incomparably incompatability incompatibility incompatible incompetence incompetent incompetently incomplete incompliant incomprehensible incomprehension inconceivable inconceivably incongruous incongruously inconsequent inconsequential inconsequentially inconsequently inconsiderate inconsiderately inconsistence inconsistencies inconsistency inconsistent inconsolable inconsolably inconstant inconvenience inconveniently incorrect incorrectly incorrigible incorrigibly incredulous incredulously inculcate indecency indecent indecently indecision indecisive indecisively indecorum indefensible indelicate indeterminable indeterminably indeterminate indifference indifferent indigent indignant indignantly indignation indignity indiscernible indiscreet indiscreetly indiscretion indiscriminate indiscriminately indiscriminating indistinguishable indoctrinate indoctrination indolent indulge ineffective ineffectively ineffectiveness ineffectual ineffectually ineffectualness inefficacious inefficacy inefficiency inefficient inefficiently inelegance inelegant ineligible ineloquent ineloquently inept ineptitude ineptly inequalities inequality inequitable inequitably inequities inescapable inescapably inessential inevitable inevitably inexcusable inexcusably inexorable inexorably inexperience inexperienced inexpert inexpertly inexpiable inexplainable inextricable inextricably infamous infamously infamy infected infection infections inferior inferiority infernal infest infested infidel infidels infiltrator infiltrators infirm inflame inflammation inflammatory inflammed inflated inflationary inflexible inflict infraction infringe infringement infringements infuriate infuriated infuriating infuriatingly inglorious ingrate ingratitude inhibit inhibition inhospitable inhospitality inhuman inhumane inhumanity inimical inimically iniquitous iniquity injudicious injure injurious injury injustice injustices innuendo inoperable inopportune inordinate inordinately insane insanely insanity insatiable insecure insecurity insensible insensitive insensitively insensitivity insidious insidiously insignificance insignificant insignificantly insincere insincerely insincerity insinuate insinuating insinuation insociable insolence insolent insolently insolvent insouciance instability instable instigate instigator instigators insubordinate insubstantial insubstantially insufferable insufferably insufficiency insufficient insufficiently insular insult insulted insulting insultingly insults insupportable insupportably insurmountable insurmountably insurrection intefere inteferes intense interfere interference interferes intermittent interrupt interruption interruptions intimidate intimidating intimidatingly intimidation intolerable intolerablely intolerance intoxicate intractable intransigence intransigent intrude intrusion intrusive inundate inundated invader invalid invalidate invalidity invasive invective inveigle invidious invidiously invidiousness invisible involuntarily involuntary irascible irate irately ire irk irked irking irks irksome irksomely irksomeness irksomenesses ironic ironical ironically ironies irony irragularity irrational irrationalities irrationality irrationally irrationals irreconcilable irrecoverable irrecoverableness irrecoverablenesses irrecoverably irredeemable irredeemably irreformable irregular irregularity irrelevance irrelevant irreparable irreplacible irrepressible irresolute irresolvable irresponsible irresponsibly irretating irretrievable irreversible irritable irritably irritant irritate irritated irritating irritation irritations isolate isolated isolation issue issues itch itching itchy jabber jaded jagged jam jarring jaundiced jealous jealously jealousness jealousy jeer jeering jeeringly jeers jeopardize jeopardy jerk jerky jitter jitters jittery job-killing jobless joke joker jolt judder juddering judders jumpy junk junky junkyard jutter jutters kaput kill killed killer killing killjoy kills knave knife knock knotted kook kooky lack lackadaisical lacked lackey lackeys lacking lackluster lacks laconic lag lagged lagging laggy lags laid-off lambast lambaste lame lame-duck lament lamentable lamentably languid languish languor languorous languorously lanky lapse lapsed lapses lascivious last-ditch latency laughable laughably laughingstock lawbreaker lawbreaking lawless lawlessness layoff layoff-happy lazy leak leakage leakages leaking leaks leaky lech lecher lecherous lechery leech leer leery left-leaning lemon lengthy less-developed lesser-</t>
  </si>
  <si>
    <t>known letch lethal lethargic lethargy lewd lewdly lewdness liability liable liar liars licentious licentiously licentiousness lie lied lier lies life-threatening lifeless limit limitation limitations limited limits limp listless litigious little-known livid lividly loath loathe loathing loathly loathsome loathsomely lone loneliness lonely loner lonesome long-time long-winded longing longingly loophole loopholes loose loot lorn lose loser losers loses losing loss losses lost loud louder lousy loveless lovelorn low-rated lowly ludicrous ludicrously lugubrious lukewarm lull lumpy lunatic lunaticism lurch lure lurid lurk lurking lying macabre mad madden maddening maddeningly madder madly madman madness maladjusted maladjustment malady malaise malcontent malcontented maledict malevolence malevolent malevolently malice malicious maliciously maliciousness malign malignant malodorous maltreatment mangle mangled mangles mangling mania maniac maniacal manic manipulate manipulation manipulative manipulators mar marginal marginally martyrdom martyrdom-seeking mashed massacre massacres matte mawkish mawkishly mawkishness meager meaningless meanness measly meddle meddlesome mediocre mediocrity melancholy melodramatic melodramatically meltdown menace menacing menacingly mendacious mendacity menial merciless mercilessly mess messed messes messing messy midget miff militancy mindless mindlessly mirage mire misalign misaligned misaligns misapprehend misbecome misbecoming misbegotten misbehave misbehavior miscalculate miscalculation miscellaneous mischief mischievous mischievously misconception misconceptions miscreant miscreants misdirection miser miserable miserableness miserably miseries miserly misery misfit misfortune misgiving misgivings misguidance misguide misguided mishandle mishap misinform misinformed misinterpret misjudge misjudgment mislead misleading misleadingly mislike mismanage mispronounce mispronounced mispronounces misread misreading misrepresent misrepresentation miss missed misses misstatement mist mistake mistaken mistakenly mistakes mistified mistress mistrust mistrustful mistrustfully mists misunderstand misunderstanding misunderstandings misunderstood misuse moan mobster mock mocked mockeries mockery mocking mockingly mocks molest molestation monotonous monotony monster monstrosities monstrosity monstrous monstrously moody moot mope morbid morbidly mordant mordantly moribund moron moronic morons mortification mortified mortify mortifying motionless motley mourn mourner mournful mournfully muddle muddy mudslinger mudslinging mulish multi-polarization mundane murder murderer murderous murderously murky muscle-flexing mushy musty mysterious mysteriously mystery mystify myth nag nagging naive naively narrower nastily nastiness nasty naughty nauseate nauseates nauseating nauseatingly naïve nebulous nebulously needless needlessly needy nefarious nefariously negate negation negative negatives negativity neglect neglected negligence negligent nemesis nepotism nervous nervously nervousness nettle nettlesome neurotic neurotically niggle niggles nightmare nightmarish nightmarishly nitpick nitpicking noise noises noisier noisy non-confidence nonexistent nonresponsive nonsense nosey notoriety notorious notoriously noxious nuisance numb obese object objection objectionable objections oblique obliterate obliterated oblivious obnoxious obnoxiously obscene obscenely obscenity obscure obscured obscures obscurity obsess obsessive obsessively obsessiveness obsolete obstacle obstinate obstinately obstruct obstructed obstructing obstruction obstructs obtrusive obtuse occlude occluded occludes occluding odd odder oddest oddities oddity oddly odor offence offend offender offending offenses offensive offensively offensiveness officious ominous ominously omission omit one-sided onerous onerously onslaught opinionated opponent opportunistic oppose opposition oppositions oppress oppression oppressive oppressively oppressiveness oppressors ordeal orphan ostracize outbreak outburst outbursts outcast outcry outlaw outmoded outrage outraged outrageous outrageously outrageousness outrages outsider over-acted over-awe over-balanced over-hyped over-priced over-valuation overact overacted overawe overbalance overbalanced overbearing overbearingly overblown overdo overdone overdue overemphasize overheat overkill overloaded overlook overpaid overpayed overplay overpower overpriced overrated overreach overrun overshadow oversight oversights oversimplification oversimplified oversimplify oversize overstate overstated overstatement overstatements overstates overtaxed overthrow overthrows overturn overweight overwhelm overwhelmed overwhelming overwhelmingly overwhelms overzealous overzealously overzelous pain painful painfull painfully pains pale pales paltry pan pandemonium pander pandering panders panic panick panicked panicking panicky paradoxical paradoxically paralize paralyzed paranoia paranoid parasite pariah parody partiality partisan partisans passe passive passiveness pathetic pathetically patronize paucity pauper paupers payback peculiar peculiarly pedantic peeled peeve peeved peevish peevishly penalize penalty perfidious perfidity perfunctory peril perilous perilously perish pernicious perplex perplexed perplexing perplexity persecute persecution pertinacious pertinaciously pertinacity perturb perturbed pervasive perverse perversely perversion perversity pervert perverted perverts pessimism pessimistic pessimistically pest pestilent petrified petrify pettifog petty phobia phobic phony picket picketed picketing pickets picky pig pigs pillage pillory pimple pinch pique pitiable pitiful pitifully pitiless pitilessly pittance pity plagiarize plague plasticky plaything plea pleas plebeian plight plot plotters ploy plunder plunderer pointless pointlessly poison poisonous poisonously pokey poky polarisation polemize pollute polluter polluters polution pompous poor poorer poorest poorly posturing pout poverty powerles</t>
  </si>
  <si>
    <t>s prate pratfall prattle precarious precariously precipitate precipitous predatory predicament prejudge prejudice prejudices prejudicial premeditated preoccupy preposterous preposterously presumptuous presumptuously pretence pretend pretense pretentious pretentiously prevaricate pricey pricier prick prickle prickles prideful prik primitive prison prisoner problem problematic problems procrastinate procrastinates procrastination profane profanity prohibit prohibitive prohibitively propaganda propagandize proprietary prosecute protest protested protesting protests protracted provocation provocative provoke pry pugnacious pugnaciously pugnacity punch punish punishable punitive punk puny puppet puppets puzzled puzzlement puzzling quack qualm qualms quandary quarrel quarrellous quarrellously quarrels quarrelsome quash queer questionable quibble quibbles quitter rabid racism racist racists racy radical radicalization radically radicals rage ragged raging rail raked rampage rampant ramshackle rancor randomly rankle rant ranted ranting rantingly rants rape raped raping rascal rascals rash rattle rattled rattles ravage raving reactionary rebellious rebuff rebuke recalcitrant recant recession recessionary reckless recklessly recklessness recoil recourses redundancy redundant refusal refuse refused refuses refusing refutation refute refuted refutes refuting regress regression regressive regret regreted regretful regretfully regrets regrettable regrettably regretted reject rejected rejecting rejection rejects relapse relentless relentlessly relentlessness reluctance reluctant reluctantly remorse remorseful remorsefully remorseless remorselessly remorselessness renounce renunciation repel repetitive reprehensible reprehensibly reprehension reprehensive repress repression repressive reprimand reproach reproachful reprove reprovingly repudiate repudiation repugn repugnance repugnant repugnantly repulse repulsed repulsing repulsive repulsively repulsiveness resent resentful resentment resignation resigned resistance restless restlessness restrict restricted restriction restrictive resurgent retaliate retaliatory retard retarded retardedness retards reticent retract retreat retreated revenge revengeful revengefully revert revile reviled revoke revolt revolting revoltingly revulsion revulsive rhapsodize rhetoric rhetorical ricer ridicule ridicules ridiculous ridiculously rife rift rifts rigid rigidity rigidness rile riled rip rip-off ripoff ripped risk risks risky rival rivalry roadblocks rocky rogue rollercoaster rot rotten rough rremediable rubbish rude rue ruffian ruffle ruin ruined ruining ruinous ruins rumbling rumor rumors rumours rumple run-down runaway rupture rust rusts rusty rut ruthless ruthlessly ruthlessness ruts sabotage sack sacrificed sad sadden sadly sadness sag sagged sagging saggy sags salacious sanctimonious sap sarcasm sarcastic sarcastically sardonic sardonically sass satirical satirize savage savaged savagery savages scaly scam scams scandal scandalize scandalized scandalous scandalously scandals scandel scandels scant scapegoat scar scarce scarcely scarcity scare scared scarier scariest scarily scarred scars scary scathing scathingly sceptical scoff scoffingly scold scolded scolding scoldingly scorching scorchingly scorn scornful scornfully scoundrel scourge scowl scramble scrambled scrambles scrambling scrap scratch scratched scratches scratchy scream screech screw-up screwed screwed-up screwy scuff scuffs scum scummy second-class second-tier secretive sedentary seedy seethe seething self-coup self-criticism self-defeating self-destructive self-humiliation self-interest self-interested self-serving selfinterested selfish selfishly selfishness semi-retarded senile sensationalize senseless senselessly seriousness sermonize servitude set-up setback setbacks sever severe severity sh*t shabby shadowy shady shake shaky shallow sham shambles shame shameful shamefully shamefulness shameless shamelessly shamelessness shark sharply shatter shemale shimmer shimmy shipwreck shirk shirker shit shiver shock shocked shocking shockingly shoddy short-lived shortage shortchange shortcoming shortcomings shortness shortsighted shortsightedness showdown shrew shriek shrill shrilly shrivel shroud shrouded shrug shun shunned sick sicken sickening sickeningly sickly sickness sidetrack sidetracked siege sillily silly simplistic simplistically sin sinful sinfully sinister sinisterly sink sinking skeletons skeptic skeptical skeptically skepticism sketchy skimpy skinny skittish skittishly skulk slack slander slanderer slanderous slanderously slanders slap slashing slaughter slaughtered slave slaves sleazy slime slog slogged slogging slogs sloooooooooooooow sloooow slooow sloow sloppily sloppy sloth slothful slow slow-moving slowed slower slowest slowly sloww slowww slowwww slug sluggish slump slumping slumpping slur slut sluts sly smack smallish smash smear smell smelled smelling smells smelly smelt smoke smokescreen smolder smoldering smother smoulder smouldering smudge smudged smudges smudging smug smugly smut smuttier smuttiest smutty snag snagged snagging snags snappish snappishly snare snarky snarl sneak sneakily sneaky sneer sneering sneeringly snob snobbish snobby snobish snobs snub so-cal soapy sob sober sobering solemn solicitude somber sore sorely soreness sorrow sorrowful sorrowfully sorry sour sourly spade spank spendy spew spewed spewing spews spilling spinster spiritless spite spiteful spitefully spitefulness splatter split splitting spoil spoilage spoilages spoiled spoilled spoils spook spookier spookiest spookily spooky spoon-fed spoon-feed spoonfed sporadic spotty spurious spurn sputter squabble squabbling squander squash squeak squeaks squeaky squeal squealing squeals squirm stab stagnant stagnate stagnation staid stain stains stale stalemate stall stalls stammer stampede standstill stark starkly startle startling startlingly starvation starve static steal stealing steals steep steeply sten</t>
  </si>
  <si>
    <t>ch stereotype stereotypical stereotypically stern stew sticky stiff stiffness stifle stifling stiflingly stigma stigmatize sting stinging stingingly stingy stink stinks stodgy stole stolen stooge stooges stormy straggle straggler strain strained straining strange strangely stranger strangest strangle streaky strenuous stress stresses stressful stressfully stricken strict strictly strident stridently strife strike stringent stringently struck struggle struggled struggles struggling strut stubborn stubbornly stubbornness stuck stuffy stumble stumbled stumbles stump stumped stumps stun stunt stunted stupid stupidest stupidity stupidly stupified stupify stupor stutter stuttered stuttering stutters sty stymied sub-par subdued subjected subjection subjugate subjugation submissive subordinate subpoena subpoenas subservience subservient substandard subtract subversion subversive subversively subvert succumb suck sucked sucker sucks sucky sue sued sueing sues suffer suffered sufferer sufferers suffering suffers suffocate sugar-coat sugar-coated sugarcoated suicidal suicide sulk sullen sully sunder sunk sunken superficial superficiality superficially superfluous superstition superstitious suppress suppression surrender susceptible suspect suspicion suspicions suspicious suspiciously swagger swamped sweaty swelled swelling swindle swipe swollen symptom symptoms syndrome taboo tacky taint tainted tamper tangle tangled tangles tank tanked tanks tantrum tardy tarnish tarnished tarnishes tarnishing tattered taunt taunting tauntingly taunts taut tawdry taxing tease teasingly tedious tediously temerity temper tempest temptation tenderness tense tension tentative tentatively tenuous tenuously tepid terrible terribleness terribly terror terror-genic terrorism terrorize testily testy tetchily tetchy thankless thicker thirst thorny thoughtless thoughtlessly thoughtlessness thrash threat threaten threatening threats threesome throb throbbed throbbing throbs throttle thug thumb-down thumbs-down thwart time-consuming timid timidity timidly timidness tin-y tingled tingling tired tiresome tiring tiringly toil toll top-heavy topple torment tormented torrent tortuous torture tortured tortures torturing torturous torturously totalitarian touchy toughness tout touted touts toxic traduce tragedy tragic tragically traitor traitorous traitorously tramp trample transgress transgression trap traped trapped trash trashed trashy trauma traumatic traumatically traumatize traumatized travesties travesty treacherous treacherously treachery treason treasonous trick tricked trickery tricky trivial trivialize trouble troubled troublemaker troubles troublesome troublesomely troubling troublingly truant tumble tumbled tumbles tumultuous turbulent turmoil twist twisted twists two-faced two-faces tyrannical tyrannically tyranny tyrant ugh uglier ugliest ugliness ugly ulterior ultimatum ultimatums ultra-hardline un-viewable unable unacceptable unacceptablely unacceptably unaccessible unaccustomed unachievable unaffordable unappealing unattractive unauthentic unavailable unavoidably unbearable unbearablely unbelievable unbelievably uncaring uncertain uncivil uncivilized unclean unclear uncollectible uncomfortable uncomfortably uncomfy uncompetitive uncompromising uncompromisingly unconfirmed unconstitutional uncontrolled unconvincing unconvincingly uncooperative uncouth uncreative undecided undefined undependability undependable undercut undercuts undercutting underdog underestimate underlings undermine undermined undermines undermining underpaid underpowered undersized undesirable undetermined undid undignified undissolved undocumented undone undue unease uneasily uneasiness uneasy uneconomical unemployed unequal unethical uneven uneventful unexpected unexpectedly unexplained unfairly unfaithful unfaithfully unfamiliar unfavorable unfeeling unfinished unfit unforeseen unforgiving unfortunate unfortunately unfounded unfriendly unfulfilled unfunded ungovernable ungrateful unhappily unhappiness unhappy unhealthy unhelpful unilateralism unimaginable unimaginably unimportant uninformed uninsured unintelligible unintelligile unipolar unjust unjustifiable unjustifiably unjustified unjustly unkind unkindly unknown unlamentable unlamentably unlawful unlawfully unlawfulness unleash unlicensed unlikely unlucky unmoved unnatural unnaturally unnecessary unneeded unnerve unnerved unnerving unnervingly unnoticed unobserved unorthodox unorthodoxy unpleasant unpleasantries unpopular unpredictable unprepared unproductive unprofitable unprove unproved unproven unproves unproving unqualified unravel unraveled unreachable unreadable unrealistic unreasonable unreasonably unrelenting unrelentingly unreliability unreliable unresolved unresponsive unrest unruly unsafe unsatisfactory unsavory unscrupulous unscrupulously unsecure unseemly unsettle unsettled unsettling unsettlingly unskilled unsophisticated unsound unspeakable unspeakablely unspecified unstable unsteadily unsteadiness unsteady unsuccessful unsuccessfully unsupported unsupportive unsure unsuspecting unsustainable untenable untested unthinkable unthinkably untimely untouched untrue untrustworthy untruthful unusable unusably unuseable unuseably unusual unusually unviewable unwanted unwarranted unwatchable unwelcome unwell unwieldy unwilling unwillingly unwillingness unwise unwisely unworkable unworthy unyielding upbraid upheaval uprising uproar uproarious uproariously uproarous uproarously uproot upset upseting upsets upsetting upsettingly urgent useless usurp usurper utterly vagrant vague vagueness vain vainly vanity vehement vehemently vengeance vengeful vengefully vengefulness venom venomous venomously vent vestiges vex vexation vexing vexingly vibrate vibrated vibrates vibrating vibration vice vicious viciously viciousness victimize vile vileness vilify villainous villainously villains villian villianous villianously villify vindictive vindictively vindictiveness violate violation violator viol</t>
  </si>
  <si>
    <t>ators violent violently viper virulence virulent virulently virus vociferous vociferously volatile volatility vomit vomited vomiting vomits vulgar vulnerable wack wail wallow wane waning wanton war-like warily wariness warlike warned warning warp warped wary washed-out waste wasted wasteful wastefulness wasting water-down watered-down wayward weak weaken weakening weaker weakness weaknesses weariness wearisome weary wedge weed weep weird weirdly wheedle whimper whine whining whiny whips whore whores wicked wickedly wickedness wild wildly wiles wilt wily wimpy wince wobble wobbled wobbles woe woebegone woeful woefully womanizer womanizing worn worried worriedly worrier worries worrisome worry worrying worryingly worse worsen worsening worst worthless worthlessly worthlessness wound wounds wrangle wrath wreak wreaked wreaks wreck wrest wrestle wretch wretched wretchedly wretchedness wrinkle wrinkled wrinkles wrip wripped wripping writhe wrong wrongful wrongly wrought yawn zap zapped zaps zealot zealous zealously zombie▓SentimentWordsInList3░Hate Kill Hurt Shoot Destroy Bomb Knife Stab Blowup Burn▓AddVertexContent░True▓AddWordList░True&lt;/value&gt;_x000D_
      &lt;/setting&gt;_x000D_
      &lt;setting name="TimeSeriesUserSettings" serializeAs="String"&gt;_x000D_
        &lt;value&gt;TimeColumnName░Tweet Date (UTC)▓TimeSlice░Hours▓UniqueEdges░True▓UniqueColumnName░Imported ID▓SlicerColumns░Relationship,Hashtags in Tweet&lt;/value&gt;_x000D_
      &lt;/setting&gt;_x000D_
      &lt;setting name="OverallMetricsUserSettings" serializeAs="String"&gt;_x000D_
        &lt;value&gt;ColumnNameForEdgeType░Relationship&lt;/value&gt;_x000D_
      &lt;/setting&gt;_x000D_
      &lt;setting name="NetworkTopItemsListUserSettings" serializeAs="Xml"&gt;_x000D_
        &lt;value&gt;_x000D_
          &lt;NetworkTopItemsListUserSettings xmlns:xsd="http://www.w3.org/2001/XMLSchema" xmlns:xsi="http://www.w3.org/2001/XMLSchema-instance"&gt;_x000D_
            &lt;IsEdgeColumn&gt;true&lt;/IsEdgeColumn&gt;_x000D_
            &lt;StatusColumnName&gt;Tweet&lt;/StatusColumnName&gt;_x000D_
            &lt;TopTweetersMentionedRepliedTo&gt;true&lt;/TopTweetersMentionedRepliedTo&gt;_x000D_
            &lt;NetworkTopItemsUserSettingsToCalculate&gt;_x000D_
              &lt;NetworkTopItemsUserSettings&gt;_x000D_
                &lt;NumberOfItemsToGet&gt;10&lt;/NumberOfItemsToGet&gt;_x000D_
                &lt;WorksheetName&gt;Edges&lt;/WorksheetName&gt;_x000D_
                &lt;TableName&gt;Edges&lt;/TableName&gt;_x000D_
                &lt;ColumnName&gt;URLs in Tweet&lt;/ColumnName&gt;_x000D_
                &lt;Delimiter&gt;Space&lt;/Delimiter&gt;_x000D_
              &lt;/NetworkTopItemsUserSettings&gt;_x000D_
              &lt;NetworkTopItemsUserSettings&gt;_x000D_
                &lt;NumberOfItemsToGet&gt;10&lt;/NumberOfItemsToGet&gt;_x000D_
                &lt;WorksheetName&gt;Edges&lt;/WorksheetName&gt;_x000D_
                &lt;TableName&gt;Edges&lt;/TableName&gt;_x000D_
                &lt;ColumnName&gt;Domains in Tweet&lt;/ColumnName&gt;_x000D_
                &lt;Delimiter&gt;Space&lt;/Delimiter&gt;_x000D_
              &lt;/NetworkTopItemsUserSettings&gt;_x000D_
              &lt;NetworkTopItemsUserSettings&gt;_x000D_
                &lt;NumberOfItemsToGet&gt;10&lt;/NumberOfItemsToGet&gt;_x000D_
                &lt;WorksheetName&gt;Edges&lt;/WorksheetName&gt;_x000D_
                &lt;TableName&gt;Edges&lt;/TableName&gt;_x000D_
                &lt;ColumnName&gt;Hashtags in Tweet&lt;/ColumnName&gt;_x000D_
                &lt;Delimiter&gt;Space&lt;/Delimiter&gt;_x000D_
              &lt;/NetworkTopItemsUserSettings&gt;_x000D_
            &lt;/NetworkTopItemsUserSettingsToCalculate&gt;_x000D_
          &lt;/NetworkTopItemsListUserSettings&gt;_x000D_
        &lt;/value&gt;_x000D_
      &lt;/setting&gt;_x000D_
    &lt;/GraphMetricUserSettings&gt;_x000D_
    &lt;AutomateTasksUserSettings&gt;_x000D_
      &lt;setting name="FolderToAutomate" serializeAs="String"&gt;_x000D_
        &lt;value /&gt;_x000D_
      &lt;/setting&gt;_x000D_
      &lt;setting name="TasksToRun" serializeAs="String"&gt;_x000D_
        &lt;value&gt;MergeDuplicateEdges, CalculateGraphMetrics, AutoFillWorkbook, CalculateClusters, ReadWorkbook, SaveWorkbookIfNeverSaved, SaveGraphImageFile, ExportToNodeXLGraphGallery, ExportToEmail&lt;/value&gt;_x000D_
      &lt;/setting&gt;_x000D_
      &lt;setting name="AutomateThisWorkbookOnly" serializeAs="String"&gt;_x000D_
        &lt;value&gt;True&lt;/value&gt;_x000D_
      &lt;/setting&gt;_x000D_
      &lt;setting name="FolderToSaveWorkbookTo" serializeAs="String"&gt;_x000D_
        &lt;value&gt;C:\Users\Administrator\Dropbox\NodeXL-EC2VM&lt;/value&gt;_x000D_
      &lt;/setting&gt;_x000D_
    &lt;/AutomateTasksUserSettings&gt;_x000D_
    &lt;AutoFillUserSettings3&gt;_x000D_
      &lt;setting name="VertexLabelSourceColumnName" serializeAs="String"&gt;_x000D_
        &lt;value&gt;Vertex&lt;/value&gt;_x000D_
      &lt;/setting&gt;_x000D_
      &lt;setting name="EdgeAlphaSourceColumnName" serializeAs="String"&gt;_x000D_
        &lt;value&gt;Edge Weight&lt;/value&gt;_x000D_
      &lt;/setting&gt;_x000D_
      &lt;setting name="VertexRadiusSourceColumnName" serializeAs="String"&gt;_x000D_
        &lt;value&gt;Betweenness Centrality&lt;/value&gt;_x000D_
      &lt;/setting&gt;_x000D_
      &lt;setting name="VertexYSourceColumnName" serializeAs="String"&gt;_x000D_
        &lt;value /&gt;_x000D_
      &lt;/setting&gt;_x000D_
      &lt;setting name="VertexXSourceColumnName" serializeAs="String"&gt;_x000D_
        &lt;value /&gt;_x000D_
      &lt;/setting&gt;_x000D_
      &lt;setting name="VertexLabelPositionSourceColumnName" serializeAs="String"&gt;_x000D_
        &lt;value&gt;Betweenness Centrality&lt;/value&gt;_x000D_
      &lt;/setting&gt;_x000D_
      &lt;setting name="EdgeLabelSourceColumnName" serializeAs="String"&gt;_x000D_
        &lt;value /&gt;_x000D_
      &lt;/setting&gt;_x000D_
      &lt;setting name="VertexColorSourceColumnName" serializeAs="String"&gt;_x000D_
        &lt;value /&gt;_x000D_
      &lt;/setting&gt;_x000D_
      &lt;setting name="EdgeVisibilitySourceColumnName" serializeAs="String"&gt;_x000D_
        &lt;value /&gt;_x000D_
      &lt;/setting&gt;_x000D_
      &lt;setting name="VertexLayoutOrderSourceColumnName" serializeAs="String"&gt;_x000D_
        &lt;value&gt;Betweenness Centrality&lt;/value&gt;_x000D_
      &lt;/setting&gt;_x000D_
      &lt;setting name="VertexToolTipSourceColumnName" serializeAs="String"&gt;_x000D_
        &lt;value /&gt;_x000D_
      &lt;/setting&gt;_x000D_
      &lt;setting name="VertexAlphaSourceColumnName" serializeAs="String"&gt;_x000D_
        &lt;value /&gt;_x000D_
      &lt;/setting&gt;_x000D_
      &lt;setting name="GroupCollapsedSourceColumnName" serializeAs="String"&gt;_x000D_
        &lt;value /&gt;_x000D_
      &lt;/setting&gt;_x000D_
      &lt;setting name="VertexPolarRSourceColumnName" serializeAs="String"&gt;_x000D_
        &lt;value /&gt;_x000D_
      &lt;/setting&gt;_x000D_
      &lt;setting name="EdgeWidthSourceColumnName" serializeAs="String"&gt;_x000D_
        &lt;value&gt;Edge Weight&lt;/value&gt;_x000D_
      &lt;/setting&gt;_x000D_
      &lt;setting name="VertexShapeSourceColumnName" serializeAs="String"&gt;_x000D_
        &lt;value&gt;Betweenness Centrality&lt;/value&gt;_x000D_
      &lt;/setting&gt;_x000D_
      &lt;setting name="EdgeStyleSourceCo</t>
  </si>
  <si>
    <t>lumnName" serializeAs="String"&gt;_x000D_
        &lt;value&gt;Edge Weight&lt;/value&gt;_x000D_
      &lt;/setting&gt;_x000D_
      &lt;setting name="EdgeColorSourceColumnName" serializeAs="String"&gt;_x000D_
        &lt;value&gt;Edge Weight&lt;/value&gt;_x000D_
      &lt;/setting&gt;_x000D_
      &lt;setting name="VertexPolarAngleSourceColumnName" serializeAs="String"&gt;_x000D_
        &lt;value /&gt;_x000D_
      &lt;/setting&gt;_x000D_
      &lt;setting name="VertexLabelFillColorSourceColumnName" serializeAs="String"&gt;_x000D_
        &lt;value /&gt;_x000D_
      &lt;/setting&gt;_x000D_
      &lt;setting name="VertexVisibilitySourceColumnName" serializeAs="String"&gt;_x000D_
        &lt;value /&gt;_x000D_
      &lt;/setting&gt;_x000D_
      &lt;setting name="VertexShapeDetails" serializeAs="String"&gt;_x000D_
        &lt;value&gt;GreaterThan	0	Image	Image&lt;/value&gt;_x000D_
      &lt;/setting&gt;_x000D_
      &lt;setting name="VertexYDetails" serializeAs="String"&gt;_x000D_
        &lt;value&gt;False	False	0	0	0	9999	False	False&lt;/value&gt;_x000D_
      &lt;/setting&gt;_x000D_
      &lt;setting name="VertexLayoutOrderDetails" serializeAs="String"&gt;_x000D_
        &lt;value&gt;False	False	0	0	1	9999	False	False&lt;/value&gt;_x000D_
      &lt;/setting&gt;_x000D_
      &lt;setting name="EdgeStyleDetails" serializeAs="String"&gt;_x000D_
        &lt;value&gt;GreaterThan	5	Dash Dot Dot	Solid&lt;/value&gt;_x000D_
      &lt;/setting&gt;_x000D_
      &lt;setting name="VertexColorDetails" serializeAs="String"&gt;_x000D_
        &lt;value&gt;False	False	0	10	Red	Green	False	False	True&lt;/value&gt;_x000D_
      &lt;/setting&gt;_x000D_
      &lt;setting name="EdgeAlphaDetails" serializeAs="String"&gt;_x000D_
        &lt;value&gt;False	False	0	0	35	12	True	False&lt;/value&gt;_x000D_
      &lt;/setting&gt;_x000D_
      &lt;setting name="VertexLabelPositionDetails" serializeAs="String"&gt;_x000D_
        &lt;value&gt;GreaterThan	1	Bottom Center	Nowhere&lt;/value&gt;_x000D_
      &lt;/setting&gt;_x000D_
      &lt;setting name="VertexVisibilityDetails" serializeAs="String"&gt;_x000D_
        &lt;value&gt;GreaterThan	0	Show if in an Edge	Skip&lt;/value&gt;_x000D_
      &lt;/setting&gt;_x000D_
      &lt;setting name="VertexPolarAngleDetails" serializeAs="String"&gt;_x000D_
        &lt;value&gt;False	False	0	0	0	359	False	False&lt;/value&gt;_x000D_
      &lt;/setting&gt;_x000D_
      &lt;setting name="VertexAlphaDetails" serializeAs="String"&gt;_x000D_
        &lt;value&gt;False	False	0	0	100	70	False	False&lt;/value&gt;_x000D_
      &lt;/setting&gt;_x000D_
      &lt;setting name="EdgeWidthDetails" serializeAs="String"&gt;_x000D_
        &lt;value&gt;False	False	0	0	3	10	True	False&lt;/value&gt;_x000D_
      &lt;/setting&gt;_x000D_
      &lt;setting name="GroupCollapsedDetails" serializeAs="String"&gt;_x000D_
        &lt;value&gt;GreaterThan	0	Yes	No&lt;/value&gt;_x000D_
      &lt;/setting&gt;_x000D_
      &lt;setting name="VertexRadiusDetails" serializeAs="String"&gt;_x000D_
        &lt;value&gt;False	False	0	0	100	800	True	False&lt;/value&gt;_x000D_
      &lt;/setting&gt;_x000D_
      &lt;setting name="VertexXDetails" serializeAs="String"&gt;_x000D_
        &lt;value&gt;False	False	0	0	0	9999	False	False&lt;/value&gt;_x000D_
      &lt;/setting&gt;_x000D_
      &lt;setting name="EdgeColorDetails" serializeAs="String"&gt;_x000D_
        &lt;value&gt;False	False	0	0	Gray	Red	True	False	True&lt;/value&gt;_x000D_
      &lt;/setting&gt;_x000D_
      &lt;setting name="VertexLabelFillColorDetails" serializeAs="String"&gt;_x000D_
        &lt;value&gt;False	False	0	10	Red	Green	False	False	True&lt;/value&gt;_x000D_
      &lt;/setting&gt;_x000D_
      &lt;setting name="EdgeVisibilityDetails" serializeAs="String"&gt;_x000D_
        &lt;value&gt;GreaterThan	0	Show	Skip&lt;/value&gt;_x000D_
      &lt;/setting&gt;_x000D_
      &lt;setting name="VertexPolarRDetails" serializeAs="String"&gt;_x000D_
        &lt;value&gt;False	False	0	0	0	1	False	False&lt;/value&gt;_x000D_
      &lt;/setting&gt;_x000D_
      &lt;setting name="GroupLabelSourceColumnName" serializeAs="String"&gt;_x000D_
        &lt;value&gt;Top Words in Tweet&lt;/value&gt;_x000D_
      &lt;/setting&gt;_x000D_
      &lt;setting name="GroupLabelDetails" serializeAs="String"&gt;_x000D_
        &lt;value&gt;True&lt;/value&gt;_x000D_
      &lt;/setting&gt;_x000D_
    &lt;/AutoFillUserSettings3&gt;_x000D_
    &lt;LayoutUserSettings&gt;_x000D_
      &lt;setting name="Layout" serializeAs="String"&gt;_x000D_
        &lt;value&gt;HarelKorenFastMultiscale&lt;/value&gt;_x000D_
      &lt;/setting&gt;_x000D_
      &lt;setting name="LayoutStyle" serializeAs="String"&gt;_x000D_
        &lt;value&gt;UseGroups&lt;/value&gt;_x000D_
      &lt;/setting&gt;_x000D_
      &lt;setting name="GroupRectanglePenWidth" serializeAs="String"&gt;_x000D_
        &lt;value&gt;1&lt;/value&gt;_x000D_
      &lt;/setting&gt;_x000D_
      &lt;setting name="FruchtermanReingoldC" serializeAs="String"&gt;_x000D_
        &lt;value&gt;3&lt;/value&gt;_x000D_
      &lt;/setting&gt;_x000D_
      &lt;setting name="HideIntergroupEdges" serializeAs="String"&gt;_x000D_
        &lt;value&gt;False&lt;/value&gt;_x000D_
      &lt;/setting&gt;_x000D_
      &lt;setting name="ImproveLayoutOfGroups" serializeAs="String"&gt;_x000D_
        &lt;value&gt;True&lt;/value&gt;_x000D_
      &lt;/setting&gt;_x000D_
      &lt;setting name="Margin" serializeAs="String"&gt;_x000D_
        &lt;value&gt;5&lt;/value&gt;_x000D_
      &lt;/setting&gt;_x000D_
      &lt;setting name="FruchtermanReingoldIterations" serializeAs="String"&gt;_x000D_
        &lt;value&gt;10&lt;/value&gt;_x000D_
      &lt;/setting&gt;_x000D_
      &lt;setting name="IntergroupEdgeStyle" serializeAs="String"&gt;_x000D_
        &lt;value&gt;Show&lt;/value&gt;_x000D_
      &lt;/setting&gt;_x000D_
      &lt;setting name="BoxLayoutAlgorithm" serializeAs="String"&gt;_x000D_
        &lt;value&gt;Treemap&lt;/value&gt;_x000D_
      &lt;/setting&gt;_x000D_
    &lt;/LayoutUserSettings&gt;_x000D_
    &lt;GeneralUserSettings4&gt;_x000D_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&lt;setting name="ReadVertexLabels" serializeAs="String"&gt;_x000D_
        &lt;value&gt;True&lt;/value&gt;_x000D_
      &lt;/setting&gt;_x000D_
      &lt;setting name="ClearTablesBeforeImport" serializeAs="String"&gt;_x000D_
        &lt;value&gt;True&lt;/value&gt;_x000D_
      &lt;/setting&gt;_x000D_
      &lt;setting name="ClusterAlgorithm" serializeAs="String"&gt;_x000D_
        &lt;value&gt;ClausetNewmanMoore&lt;/value&gt;_x000D_
      &lt;/setting&gt;_x000D_
      &lt;setting name="BackColor" serializeAs="String"&gt;_x000D_
        &lt;value&gt;White&lt;/value&gt;_x000D_
      &lt;/setting&gt;_x000D_
      &lt;setting name="BackgroundImageUri" serializeAs="String"&gt;_x000D_
        &lt;value /&gt;_x000D_
      &lt;/setting&gt;_x000D_
      &lt;setting name="VertexRadius" serializeAs="String"&gt;_x000D_
        &lt;value&gt;1.5&lt;/value&gt;_x000D_
      &lt;/setting&gt;_x000D_
      &lt;setting name="AutoReadWorkbook" serializeAs="String"&gt;_x000D_
        &lt;value&gt;True&lt;/value&gt;_x000D_
      &lt;/setting&gt;_x000D_
      &lt;setting name="SelectedEdgeColor" serializeAs="String"&gt;_x000D_
        &lt;value&gt;Red&lt;/value&gt;_x000D_
      &lt;/setting&gt;_x000D_
      &lt;setting name="VertexAlpha" serializeAs="String"&gt;_x000D_
        &lt;value&gt;100&lt;/value&gt;_x000D_
      &lt;/setting&gt;_x000D_
      &lt;setting name="AxisFont" serializeAs="String"&gt;_x000D_
        &lt;value&gt;Microsoft Sans Serif, 24pt&lt;/value&gt;_x000D_
      &lt;/setting</t>
  </si>
  <si>
    <t>Edge Weight</t>
  </si>
  <si>
    <t>G1</t>
  </si>
  <si>
    <t>G2</t>
  </si>
  <si>
    <t>G3</t>
  </si>
  <si>
    <t>G4</t>
  </si>
  <si>
    <t>G5</t>
  </si>
  <si>
    <t>G6</t>
  </si>
  <si>
    <t>G7</t>
  </si>
  <si>
    <t>G8</t>
  </si>
  <si>
    <t>G9</t>
  </si>
  <si>
    <t>G10</t>
  </si>
  <si>
    <t>G11</t>
  </si>
  <si>
    <t>G12</t>
  </si>
  <si>
    <t>G13</t>
  </si>
  <si>
    <t>G14</t>
  </si>
  <si>
    <t>G15</t>
  </si>
  <si>
    <t>0, 12, 96</t>
  </si>
  <si>
    <t>0, 136, 227</t>
  </si>
  <si>
    <t>0, 100, 50</t>
  </si>
  <si>
    <t>0, 176, 22</t>
  </si>
  <si>
    <t>191, 0, 0</t>
  </si>
  <si>
    <t>230, 120, 0</t>
  </si>
  <si>
    <t>255, 191, 0</t>
  </si>
  <si>
    <t>150, 200, 0</t>
  </si>
  <si>
    <t>200, 0, 120</t>
  </si>
  <si>
    <t>77, 0, 96</t>
  </si>
  <si>
    <t>91, 0, 191</t>
  </si>
  <si>
    <t>0, 98, 130</t>
  </si>
  <si>
    <t>Vertex Group</t>
  </si>
  <si>
    <t>Vertex 1 Group</t>
  </si>
  <si>
    <t>Vertex 2 Group</t>
  </si>
  <si>
    <t>Not Applicable</t>
  </si>
  <si>
    <t>Word</t>
  </si>
  <si>
    <t>Sentiment List#1</t>
  </si>
  <si>
    <t>Sentiment List#2</t>
  </si>
  <si>
    <t>Sentiment List#3</t>
  </si>
  <si>
    <t>Words in Sentiment List#1</t>
  </si>
  <si>
    <t>Words in Sentiment List#2</t>
  </si>
  <si>
    <t>Words in Sentiment List#3</t>
  </si>
  <si>
    <t>Non-categorized Words</t>
  </si>
  <si>
    <t>Total Words</t>
  </si>
  <si>
    <t>communication</t>
  </si>
  <si>
    <t>award</t>
  </si>
  <si>
    <t>professor</t>
  </si>
  <si>
    <t>assistant</t>
  </si>
  <si>
    <t>media</t>
  </si>
  <si>
    <t>paper</t>
  </si>
  <si>
    <t>research</t>
  </si>
  <si>
    <t>join</t>
  </si>
  <si>
    <t>2024</t>
  </si>
  <si>
    <t>committee</t>
  </si>
  <si>
    <t>eic</t>
  </si>
  <si>
    <t>teaching</t>
  </si>
  <si>
    <t>higheredjobs</t>
  </si>
  <si>
    <t>submit</t>
  </si>
  <si>
    <t>happy</t>
  </si>
  <si>
    <t>line</t>
  </si>
  <si>
    <t>here's</t>
  </si>
  <si>
    <t>members</t>
  </si>
  <si>
    <t>call</t>
  </si>
  <si>
    <t>university</t>
  </si>
  <si>
    <t>conference</t>
  </si>
  <si>
    <t>school</t>
  </si>
  <si>
    <t>deadline</t>
  </si>
  <si>
    <t>standing</t>
  </si>
  <si>
    <t>#toppaper</t>
  </si>
  <si>
    <t>more</t>
  </si>
  <si>
    <t>good</t>
  </si>
  <si>
    <t>take</t>
  </si>
  <si>
    <t>day</t>
  </si>
  <si>
    <t>2023</t>
  </si>
  <si>
    <t>search</t>
  </si>
  <si>
    <t>dec</t>
  </si>
  <si>
    <t>start</t>
  </si>
  <si>
    <t>read</t>
  </si>
  <si>
    <t>full</t>
  </si>
  <si>
    <t>advertising</t>
  </si>
  <si>
    <t>alert</t>
  </si>
  <si>
    <t>#jobalerts</t>
  </si>
  <si>
    <t>abstracts</t>
  </si>
  <si>
    <t>midwinter</t>
  </si>
  <si>
    <t>position</t>
  </si>
  <si>
    <t>600</t>
  </si>
  <si>
    <t>congratulations</t>
  </si>
  <si>
    <t>800</t>
  </si>
  <si>
    <t>great</t>
  </si>
  <si>
    <t>look</t>
  </si>
  <si>
    <t>literacy</t>
  </si>
  <si>
    <t>digital</t>
  </si>
  <si>
    <t>time</t>
  </si>
  <si>
    <t>nov</t>
  </si>
  <si>
    <t>work</t>
  </si>
  <si>
    <t>extended</t>
  </si>
  <si>
    <t>faculty</t>
  </si>
  <si>
    <t>link</t>
  </si>
  <si>
    <t>posting</t>
  </si>
  <si>
    <t>winners</t>
  </si>
  <si>
    <t>11</t>
  </si>
  <si>
    <t>#jobalert</t>
  </si>
  <si>
    <t>ieca</t>
  </si>
  <si>
    <t>victims</t>
  </si>
  <si>
    <t>nominations</t>
  </si>
  <si>
    <t>coce</t>
  </si>
  <si>
    <t>police</t>
  </si>
  <si>
    <t>home</t>
  </si>
  <si>
    <t>submitting</t>
  </si>
  <si>
    <t>united</t>
  </si>
  <si>
    <t>15</t>
  </si>
  <si>
    <t>#brutality</t>
  </si>
  <si>
    <t>#ica24</t>
  </si>
  <si>
    <t>panel</t>
  </si>
  <si>
    <t>environmental</t>
  </si>
  <si>
    <t>discounts</t>
  </si>
  <si>
    <t>fall</t>
  </si>
  <si>
    <t>commit</t>
  </si>
  <si>
    <t>include</t>
  </si>
  <si>
    <t>access</t>
  </si>
  <si>
    <t>deals</t>
  </si>
  <si>
    <t>2025</t>
  </si>
  <si>
    <t>job</t>
  </si>
  <si>
    <t>#racial</t>
  </si>
  <si>
    <t>morning</t>
  </si>
  <si>
    <t>benefits</t>
  </si>
  <si>
    <t>#medialiteracy101</t>
  </si>
  <si>
    <t>hiring</t>
  </si>
  <si>
    <t>looking</t>
  </si>
  <si>
    <t>congrats</t>
  </si>
  <si>
    <t>student</t>
  </si>
  <si>
    <t>fossil</t>
  </si>
  <si>
    <t>blum</t>
  </si>
  <si>
    <t>emma</t>
  </si>
  <si>
    <t>winning</t>
  </si>
  <si>
    <t>project</t>
  </si>
  <si>
    <t>people</t>
  </si>
  <si>
    <t>justic</t>
  </si>
  <si>
    <t>#pee</t>
  </si>
  <si>
    <t>online</t>
  </si>
  <si>
    <t>longo</t>
  </si>
  <si>
    <t>public</t>
  </si>
  <si>
    <t>china</t>
  </si>
  <si>
    <t>mark</t>
  </si>
  <si>
    <t>empathy</t>
  </si>
  <si>
    <t>cours</t>
  </si>
  <si>
    <t>free</t>
  </si>
  <si>
    <t>created</t>
  </si>
  <si>
    <t>com'24</t>
  </si>
  <si>
    <t>#prprofchat</t>
  </si>
  <si>
    <t>undergraduate</t>
  </si>
  <si>
    <t>students</t>
  </si>
  <si>
    <t>fuel</t>
  </si>
  <si>
    <t>information</t>
  </si>
  <si>
    <t>accepting</t>
  </si>
  <si>
    <t>register</t>
  </si>
  <si>
    <t>dissertation</t>
  </si>
  <si>
    <t>recognize</t>
  </si>
  <si>
    <t>turned</t>
  </si>
  <si>
    <t>during</t>
  </si>
  <si>
    <t>national</t>
  </si>
  <si>
    <t>devoted</t>
  </si>
  <si>
    <t>27</t>
  </si>
  <si>
    <t>dear</t>
  </si>
  <si>
    <t>12</t>
  </si>
  <si>
    <t>process</t>
  </si>
  <si>
    <t>without</t>
  </si>
  <si>
    <t>substant</t>
  </si>
  <si>
    <t>#prprofs</t>
  </si>
  <si>
    <t>please</t>
  </si>
  <si>
    <t>greenlee</t>
  </si>
  <si>
    <t>halloween</t>
  </si>
  <si>
    <t>still</t>
  </si>
  <si>
    <t>programs</t>
  </si>
  <si>
    <t>challenge</t>
  </si>
  <si>
    <t>associate</t>
  </si>
  <si>
    <t>4pm</t>
  </si>
  <si>
    <t>occasion</t>
  </si>
  <si>
    <t>apply</t>
  </si>
  <si>
    <t>questions</t>
  </si>
  <si>
    <t>history</t>
  </si>
  <si>
    <t>topical</t>
  </si>
  <si>
    <t>states</t>
  </si>
  <si>
    <t>deutschmann</t>
  </si>
  <si>
    <t>reading</t>
  </si>
  <si>
    <t>#muslim</t>
  </si>
  <si>
    <t>book</t>
  </si>
  <si>
    <t>march</t>
  </si>
  <si>
    <t>presentation</t>
  </si>
  <si>
    <t>week</t>
  </si>
  <si>
    <t>paul</t>
  </si>
  <si>
    <t>mass</t>
  </si>
  <si>
    <t>hot</t>
  </si>
  <si>
    <t>submission</t>
  </si>
  <si>
    <t>education</t>
  </si>
  <si>
    <t>journal</t>
  </si>
  <si>
    <t>awards</t>
  </si>
  <si>
    <t>thank</t>
  </si>
  <si>
    <t>updates</t>
  </si>
  <si>
    <t>resolution</t>
  </si>
  <si>
    <t>presses</t>
  </si>
  <si>
    <t>evidence</t>
  </si>
  <si>
    <t>marquette</t>
  </si>
  <si>
    <t>check</t>
  </si>
  <si>
    <t>health</t>
  </si>
  <si>
    <t>indicates</t>
  </si>
  <si>
    <t>opinion</t>
  </si>
  <si>
    <t>available</t>
  </si>
  <si>
    <t>'media</t>
  </si>
  <si>
    <t>southeast</t>
  </si>
  <si>
    <t>colloquium</t>
  </si>
  <si>
    <t>global</t>
  </si>
  <si>
    <t>friends</t>
  </si>
  <si>
    <t>view</t>
  </si>
  <si>
    <t>discrimination</t>
  </si>
  <si>
    <t>approved</t>
  </si>
  <si>
    <t>aejmcprd</t>
  </si>
  <si>
    <t>dead</t>
  </si>
  <si>
    <t>recent</t>
  </si>
  <si>
    <t>prof</t>
  </si>
  <si>
    <t>incredible</t>
  </si>
  <si>
    <t>team</t>
  </si>
  <si>
    <t>bombed</t>
  </si>
  <si>
    <t>tuesday</t>
  </si>
  <si>
    <t>far</t>
  </si>
  <si>
    <t>meeting</t>
  </si>
  <si>
    <t>prd</t>
  </si>
  <si>
    <t>adjusted</t>
  </si>
  <si>
    <t>central</t>
  </si>
  <si>
    <t>productive</t>
  </si>
  <si>
    <t>hopes</t>
  </si>
  <si>
    <t>lexington</t>
  </si>
  <si>
    <t>topics</t>
  </si>
  <si>
    <t>honored</t>
  </si>
  <si>
    <t>#aejmcprd</t>
  </si>
  <si>
    <t>bar</t>
  </si>
  <si>
    <t>#ad</t>
  </si>
  <si>
    <t>social</t>
  </si>
  <si>
    <t>middle</t>
  </si>
  <si>
    <t>everyone</t>
  </si>
  <si>
    <t>ky</t>
  </si>
  <si>
    <t>help</t>
  </si>
  <si>
    <t>#jmcqreview</t>
  </si>
  <si>
    <t>making</t>
  </si>
  <si>
    <t>continuing</t>
  </si>
  <si>
    <t>urban</t>
  </si>
  <si>
    <t>atchison</t>
  </si>
  <si>
    <t>residential</t>
  </si>
  <si>
    <t>100</t>
  </si>
  <si>
    <t>voices</t>
  </si>
  <si>
    <t>production</t>
  </si>
  <si>
    <t>abundance'</t>
  </si>
  <si>
    <t>quarterly</t>
  </si>
  <si>
    <t>email</t>
  </si>
  <si>
    <t>candy</t>
  </si>
  <si>
    <t>jesna</t>
  </si>
  <si>
    <t>dr</t>
  </si>
  <si>
    <t>csw's</t>
  </si>
  <si>
    <t>third</t>
  </si>
  <si>
    <t>#journalism</t>
  </si>
  <si>
    <t>long</t>
  </si>
  <si>
    <t>entertainment</t>
  </si>
  <si>
    <t>wisdom</t>
  </si>
  <si>
    <t>being</t>
  </si>
  <si>
    <t>careers</t>
  </si>
  <si>
    <t>waves</t>
  </si>
  <si>
    <t>times</t>
  </si>
  <si>
    <t>pedagogy</t>
  </si>
  <si>
    <t>#prprofchatcoffeetalk</t>
  </si>
  <si>
    <t>workshop</t>
  </si>
  <si>
    <t>taken</t>
  </si>
  <si>
    <t>following</t>
  </si>
  <si>
    <t>give</t>
  </si>
  <si>
    <t>framing</t>
  </si>
  <si>
    <t>share</t>
  </si>
  <si>
    <t>atkin</t>
  </si>
  <si>
    <t>mean</t>
  </si>
  <si>
    <t>opportunity</t>
  </si>
  <si>
    <t>edition</t>
  </si>
  <si>
    <t>calendars</t>
  </si>
  <si>
    <t>lee</t>
  </si>
  <si>
    <t>editorial</t>
  </si>
  <si>
    <t>content</t>
  </si>
  <si>
    <t>#smprofs</t>
  </si>
  <si>
    <t>enterprise</t>
  </si>
  <si>
    <t>injured</t>
  </si>
  <si>
    <t>ȍ</t>
  </si>
  <si>
    <t>david</t>
  </si>
  <si>
    <t>announced</t>
  </si>
  <si>
    <t>logics</t>
  </si>
  <si>
    <t>excellence</t>
  </si>
  <si>
    <t>tips</t>
  </si>
  <si>
    <t>getting</t>
  </si>
  <si>
    <t>make</t>
  </si>
  <si>
    <t>prepare</t>
  </si>
  <si>
    <t>nearing</t>
  </si>
  <si>
    <t>emphasis</t>
  </si>
  <si>
    <t>use</t>
  </si>
  <si>
    <t>highlight</t>
  </si>
  <si>
    <t>newsletter</t>
  </si>
  <si>
    <t>recommitment</t>
  </si>
  <si>
    <t>jarrod</t>
  </si>
  <si>
    <t>excited</t>
  </si>
  <si>
    <t>destination</t>
  </si>
  <si>
    <t>applicants</t>
  </si>
  <si>
    <t>tower</t>
  </si>
  <si>
    <t>projects</t>
  </si>
  <si>
    <t>survey</t>
  </si>
  <si>
    <t>michael</t>
  </si>
  <si>
    <t>related</t>
  </si>
  <si>
    <t>wed</t>
  </si>
  <si>
    <t>size</t>
  </si>
  <si>
    <t>#ica2024</t>
  </si>
  <si>
    <t>jayachandran</t>
  </si>
  <si>
    <t>reckoning</t>
  </si>
  <si>
    <t>informal</t>
  </si>
  <si>
    <t>yes</t>
  </si>
  <si>
    <t>department</t>
  </si>
  <si>
    <t>submissions</t>
  </si>
  <si>
    <t>monday</t>
  </si>
  <si>
    <t>diversity</t>
  </si>
  <si>
    <t>india</t>
  </si>
  <si>
    <t>31</t>
  </si>
  <si>
    <t>chat</t>
  </si>
  <si>
    <t>#jobad</t>
  </si>
  <si>
    <t>phd</t>
  </si>
  <si>
    <t>leverage</t>
  </si>
  <si>
    <t>thursday</t>
  </si>
  <si>
    <t>end</t>
  </si>
  <si>
    <t>having</t>
  </si>
  <si>
    <t>support</t>
  </si>
  <si>
    <t>many</t>
  </si>
  <si>
    <t>elected</t>
  </si>
  <si>
    <t>personalizati</t>
  </si>
  <si>
    <t>minority</t>
  </si>
  <si>
    <t>understood</t>
  </si>
  <si>
    <t>friday</t>
  </si>
  <si>
    <t>find</t>
  </si>
  <si>
    <t>#aejmcjobs</t>
  </si>
  <si>
    <t>welcome</t>
  </si>
  <si>
    <t>college</t>
  </si>
  <si>
    <t>oct</t>
  </si>
  <si>
    <t>asst</t>
  </si>
  <si>
    <t>area</t>
  </si>
  <si>
    <t>submitters</t>
  </si>
  <si>
    <t>amplify</t>
  </si>
  <si>
    <t>reporting</t>
  </si>
  <si>
    <t>due</t>
  </si>
  <si>
    <t>excellenc</t>
  </si>
  <si>
    <t>worth</t>
  </si>
  <si>
    <t>right</t>
  </si>
  <si>
    <t>Count</t>
  </si>
  <si>
    <t>Positive</t>
  </si>
  <si>
    <t>Negative</t>
  </si>
  <si>
    <t>Angry/Violent</t>
  </si>
  <si>
    <t>Salience</t>
  </si>
  <si>
    <t>(Entire graph)</t>
  </si>
  <si>
    <t>Word on Sentiment List #1: List1</t>
  </si>
  <si>
    <t>Word on Sentiment List #2: List2</t>
  </si>
  <si>
    <t>Word on Sentiment List #3: List3</t>
  </si>
  <si>
    <t>Word 1</t>
  </si>
  <si>
    <t>Word 2</t>
  </si>
  <si>
    <t>Mutual Information</t>
  </si>
  <si>
    <t>Word1 on Sentiment List #1: List1</t>
  </si>
  <si>
    <t>Word1 on Sentiment List #2: List2</t>
  </si>
  <si>
    <t>Word1 on Sentiment List #3: List3</t>
  </si>
  <si>
    <t>Word2 on Sentiment List #1: List1</t>
  </si>
  <si>
    <t>Word2 on Sentiment List #2: List2</t>
  </si>
  <si>
    <t>Word2 on Sentiment List #3: List3</t>
  </si>
  <si>
    <t>Sentiment List #1: List1 Word Count</t>
  </si>
  <si>
    <t>Sentiment List #1: List1 Word Percentage (%)</t>
  </si>
  <si>
    <t>Sentiment List #2: List2 Word Count</t>
  </si>
  <si>
    <t>Sentiment List #2: List2 Word Percentage (%)</t>
  </si>
  <si>
    <t>Sentiment List #3: List3 Word Count</t>
  </si>
  <si>
    <t>Sentiment List #3: List3 Word Percentage (%)</t>
  </si>
  <si>
    <t>Non-categorized Word Count</t>
  </si>
  <si>
    <t>Non-categorized Word Percentage (%)</t>
  </si>
  <si>
    <t>Edge Content Word Count</t>
  </si>
  <si>
    <t>Vertex Content Word Count</t>
  </si>
  <si>
    <t>Group Content Word Count</t>
  </si>
  <si>
    <t>VertexID</t>
  </si>
  <si>
    <t>peerreview</t>
  </si>
  <si>
    <t>jes</t>
  </si>
  <si>
    <t>shout</t>
  </si>
  <si>
    <t>until</t>
  </si>
  <si>
    <t>proposals</t>
  </si>
  <si>
    <t>studies</t>
  </si>
  <si>
    <t>burd</t>
  </si>
  <si>
    <t>gene</t>
  </si>
  <si>
    <t>foundation</t>
  </si>
  <si>
    <t>sponsored</t>
  </si>
  <si>
    <t>hospi</t>
  </si>
  <si>
    <t>racial</t>
  </si>
  <si>
    <t>brutality</t>
  </si>
  <si>
    <t>pee</t>
  </si>
  <si>
    <t>jobad</t>
  </si>
  <si>
    <t>ad</t>
  </si>
  <si>
    <t>aejmcjobs</t>
  </si>
  <si>
    <t>multimedia</t>
  </si>
  <si>
    <t>plattsburgh</t>
  </si>
  <si>
    <t>suny</t>
  </si>
  <si>
    <t>jan</t>
  </si>
  <si>
    <t>feminism</t>
  </si>
  <si>
    <t>girl</t>
  </si>
  <si>
    <t>communications</t>
  </si>
  <si>
    <t>cc</t>
  </si>
  <si>
    <t>books</t>
  </si>
  <si>
    <t>toward</t>
  </si>
  <si>
    <t>honorarium</t>
  </si>
  <si>
    <t>prejudice</t>
  </si>
  <si>
    <t>high</t>
  </si>
  <si>
    <t>those</t>
  </si>
  <si>
    <t>increase</t>
  </si>
  <si>
    <t>emotionalization</t>
  </si>
  <si>
    <t>personalization</t>
  </si>
  <si>
    <t>features</t>
  </si>
  <si>
    <t>honor</t>
  </si>
  <si>
    <t>broadcast</t>
  </si>
  <si>
    <t>practice</t>
  </si>
  <si>
    <t>nccnews</t>
  </si>
  <si>
    <t>maps</t>
  </si>
  <si>
    <t>consider</t>
  </si>
  <si>
    <t>failed</t>
  </si>
  <si>
    <t>campaign</t>
  </si>
  <si>
    <t>propaganda</t>
  </si>
  <si>
    <t>israel</t>
  </si>
  <si>
    <t>contact</t>
  </si>
  <si>
    <t>nond</t>
  </si>
  <si>
    <t>amazing</t>
  </si>
  <si>
    <t>contest</t>
  </si>
  <si>
    <t>participated</t>
  </si>
  <si>
    <t>feedbackforstudent</t>
  </si>
  <si>
    <t>academicexcellence</t>
  </si>
  <si>
    <t>teachingtips</t>
  </si>
  <si>
    <t>feedback</t>
  </si>
  <si>
    <t>assignment</t>
  </si>
  <si>
    <t>commitment</t>
  </si>
  <si>
    <t>instructor's</t>
  </si>
  <si>
    <t>reinforce</t>
  </si>
  <si>
    <t>names</t>
  </si>
  <si>
    <t>info</t>
  </si>
  <si>
    <t>person</t>
  </si>
  <si>
    <t>fully</t>
  </si>
  <si>
    <t>progress</t>
  </si>
  <si>
    <t>works</t>
  </si>
  <si>
    <t>papers</t>
  </si>
  <si>
    <t>invite</t>
  </si>
  <si>
    <t>held</t>
  </si>
  <si>
    <t>annual</t>
  </si>
  <si>
    <t>49th</t>
  </si>
  <si>
    <t>date</t>
  </si>
  <si>
    <t>save</t>
  </si>
  <si>
    <t>pub</t>
  </si>
  <si>
    <t>reciente</t>
  </si>
  <si>
    <t>clave</t>
  </si>
  <si>
    <t>reports</t>
  </si>
  <si>
    <t>citation</t>
  </si>
  <si>
    <t>ranked</t>
  </si>
  <si>
    <t>reviewed</t>
  </si>
  <si>
    <t>peer</t>
  </si>
  <si>
    <t>association</t>
  </si>
  <si>
    <t>jmcq</t>
  </si>
  <si>
    <t>davis</t>
  </si>
  <si>
    <t>andrew</t>
  </si>
  <si>
    <t>appstatecomdept's</t>
  </si>
  <si>
    <t>review</t>
  </si>
  <si>
    <t>spectrum</t>
  </si>
  <si>
    <t>separatist</t>
  </si>
  <si>
    <t>theorize</t>
  </si>
  <si>
    <t>identity</t>
  </si>
  <si>
    <t>lofton</t>
  </si>
  <si>
    <t>kathryn</t>
  </si>
  <si>
    <t>religion</t>
  </si>
  <si>
    <t>journals</t>
  </si>
  <si>
    <t>below</t>
  </si>
  <si>
    <t>go</t>
  </si>
  <si>
    <t>dossier</t>
  </si>
  <si>
    <t>writing</t>
  </si>
  <si>
    <t>gratification</t>
  </si>
  <si>
    <t>august</t>
  </si>
  <si>
    <t>begin</t>
  </si>
  <si>
    <t>relations</t>
  </si>
  <si>
    <t>track</t>
  </si>
  <si>
    <t>tenure</t>
  </si>
  <si>
    <t>month</t>
  </si>
  <si>
    <t>invites</t>
  </si>
  <si>
    <t>alabama</t>
  </si>
  <si>
    <t>south</t>
  </si>
  <si>
    <t>december</t>
  </si>
  <si>
    <t>words</t>
  </si>
  <si>
    <t>prprofs</t>
  </si>
  <si>
    <t>smprofs</t>
  </si>
  <si>
    <t>smc2024</t>
  </si>
  <si>
    <t>world</t>
  </si>
  <si>
    <t>see</t>
  </si>
  <si>
    <t>way</t>
  </si>
  <si>
    <t>hon</t>
  </si>
  <si>
    <t>networking</t>
  </si>
  <si>
    <t>courses</t>
  </si>
  <si>
    <t>know</t>
  </si>
  <si>
    <t>hispanicheritagemonth</t>
  </si>
  <si>
    <t>arizona</t>
  </si>
  <si>
    <t>director</t>
  </si>
  <si>
    <t>retis</t>
  </si>
  <si>
    <t>jessica</t>
  </si>
  <si>
    <t>ashley</t>
  </si>
  <si>
    <t>furniture</t>
  </si>
  <si>
    <t>grand</t>
  </si>
  <si>
    <t>couple</t>
  </si>
  <si>
    <t>bought</t>
  </si>
  <si>
    <t>happened</t>
  </si>
  <si>
    <t>competitions</t>
  </si>
  <si>
    <t>engagement</t>
  </si>
  <si>
    <t>news</t>
  </si>
  <si>
    <t>answer</t>
  </si>
  <si>
    <t>today</t>
  </si>
  <si>
    <t>starting</t>
  </si>
  <si>
    <t>catch</t>
  </si>
  <si>
    <t>chance</t>
  </si>
  <si>
    <t>last</t>
  </si>
  <si>
    <t>treat</t>
  </si>
  <si>
    <t>especia</t>
  </si>
  <si>
    <t>detroit</t>
  </si>
  <si>
    <t>saw</t>
  </si>
  <si>
    <t>guo</t>
  </si>
  <si>
    <t>ke</t>
  </si>
  <si>
    <t>chen</t>
  </si>
  <si>
    <t>peiqin</t>
  </si>
  <si>
    <t>ray</t>
  </si>
  <si>
    <t>rik</t>
  </si>
  <si>
    <t>partisan</t>
  </si>
  <si>
    <t>audience</t>
  </si>
  <si>
    <t>role</t>
  </si>
  <si>
    <t>dispute</t>
  </si>
  <si>
    <t>trade</t>
  </si>
  <si>
    <t>publication</t>
  </si>
  <si>
    <t>practices</t>
  </si>
  <si>
    <t>best</t>
  </si>
  <si>
    <t>feature</t>
  </si>
  <si>
    <t>october</t>
  </si>
  <si>
    <t>prize</t>
  </si>
  <si>
    <t>cash</t>
  </si>
  <si>
    <t>given</t>
  </si>
  <si>
    <t>graduate</t>
  </si>
  <si>
    <t>division</t>
  </si>
  <si>
    <t>mcs</t>
  </si>
  <si>
    <t>arkansas</t>
  </si>
  <si>
    <t>outstanding</t>
  </si>
  <si>
    <t>recognized</t>
  </si>
  <si>
    <t>nominate</t>
  </si>
  <si>
    <t>promoting</t>
  </si>
  <si>
    <t>parts</t>
  </si>
  <si>
    <t>substantial</t>
  </si>
  <si>
    <t>smprof</t>
  </si>
  <si>
    <t>prprof</t>
  </si>
  <si>
    <t>community</t>
  </si>
  <si>
    <t>build</t>
  </si>
  <si>
    <t>provide</t>
  </si>
  <si>
    <t>competition</t>
  </si>
  <si>
    <t>turns</t>
  </si>
  <si>
    <t>submitted</t>
  </si>
  <si>
    <t>won</t>
  </si>
  <si>
    <t>class</t>
  </si>
  <si>
    <t>newscast</t>
  </si>
  <si>
    <t>lite</t>
  </si>
  <si>
    <t>design</t>
  </si>
  <si>
    <t>art</t>
  </si>
  <si>
    <t>article</t>
  </si>
  <si>
    <t>denialism</t>
  </si>
  <si>
    <t>climate</t>
  </si>
  <si>
    <t>promote</t>
  </si>
  <si>
    <t>advertisements</t>
  </si>
  <si>
    <t>native</t>
  </si>
  <si>
    <t>companies</t>
  </si>
  <si>
    <t>language</t>
  </si>
  <si>
    <t>readers</t>
  </si>
  <si>
    <t>authors</t>
  </si>
  <si>
    <t>conflicts</t>
  </si>
  <si>
    <t>international</t>
  </si>
  <si>
    <t>especially</t>
  </si>
  <si>
    <t>anything</t>
  </si>
  <si>
    <t>much</t>
  </si>
  <si>
    <t>doesn</t>
  </si>
  <si>
    <t>looks</t>
  </si>
  <si>
    <t>pressure</t>
  </si>
  <si>
    <t>plan</t>
  </si>
  <si>
    <t>offering</t>
  </si>
  <si>
    <t>dei</t>
  </si>
  <si>
    <t>claiming</t>
  </si>
  <si>
    <t>celebrate</t>
  </si>
  <si>
    <t>marks</t>
  </si>
  <si>
    <t>tomorrow</t>
  </si>
  <si>
    <t>baghestani</t>
  </si>
  <si>
    <t>shireen</t>
  </si>
  <si>
    <t>kim</t>
  </si>
  <si>
    <t>hill</t>
  </si>
  <si>
    <t>sei</t>
  </si>
  <si>
    <t>ahern</t>
  </si>
  <si>
    <t>connolly</t>
  </si>
  <si>
    <t>colleen</t>
  </si>
  <si>
    <t>coleman</t>
  </si>
  <si>
    <t>renita</t>
  </si>
  <si>
    <t>cheng</t>
  </si>
  <si>
    <t>hong</t>
  </si>
  <si>
    <t>details</t>
  </si>
  <si>
    <t>fri</t>
  </si>
  <si>
    <t>reviewers</t>
  </si>
  <si>
    <t>leadership</t>
  </si>
  <si>
    <t>csw</t>
  </si>
  <si>
    <t>involved</t>
  </si>
  <si>
    <t>convenient</t>
  </si>
  <si>
    <t>survivors</t>
  </si>
  <si>
    <t>rubble</t>
  </si>
  <si>
    <t>under</t>
  </si>
  <si>
    <t>volunteers</t>
  </si>
  <si>
    <t>hospital</t>
  </si>
  <si>
    <t>ident</t>
  </si>
  <si>
    <t>strategic</t>
  </si>
  <si>
    <t>integrated</t>
  </si>
  <si>
    <t>chair</t>
  </si>
  <si>
    <t>kentucky</t>
  </si>
  <si>
    <t>aejmc2023</t>
  </si>
  <si>
    <t>recap</t>
  </si>
  <si>
    <t>advice</t>
  </si>
  <si>
    <t>accreditation</t>
  </si>
  <si>
    <t>acejmc</t>
  </si>
  <si>
    <t>update</t>
  </si>
  <si>
    <t>issue</t>
  </si>
  <si>
    <t>packed</t>
  </si>
  <si>
    <t>sh</t>
  </si>
  <si>
    <t>alternativemetrics</t>
  </si>
  <si>
    <t>canevez</t>
  </si>
  <si>
    <t>richard</t>
  </si>
  <si>
    <t>winter</t>
  </si>
  <si>
    <t>sunrise</t>
  </si>
  <si>
    <t>jenifer</t>
  </si>
  <si>
    <t>karabelnik</t>
  </si>
  <si>
    <t>moshe</t>
  </si>
  <si>
    <t>georgefloyd</t>
  </si>
  <si>
    <t>narrative</t>
  </si>
  <si>
    <t>multi</t>
  </si>
  <si>
    <t>narratives</t>
  </si>
  <si>
    <t>justice</t>
  </si>
  <si>
    <t>wi</t>
  </si>
  <si>
    <t>ways</t>
  </si>
  <si>
    <t>both</t>
  </si>
  <si>
    <t>goes</t>
  </si>
  <si>
    <t>spoiler</t>
  </si>
  <si>
    <t>trust</t>
  </si>
  <si>
    <t>accuracy</t>
  </si>
  <si>
    <t>perceived</t>
  </si>
  <si>
    <t>between</t>
  </si>
  <si>
    <t>re</t>
  </si>
  <si>
    <t>society</t>
  </si>
  <si>
    <t>experience</t>
  </si>
  <si>
    <t>candidate</t>
  </si>
  <si>
    <t>uw</t>
  </si>
  <si>
    <t>environment</t>
  </si>
  <si>
    <t>visual</t>
  </si>
  <si>
    <t>aejmc2021</t>
  </si>
  <si>
    <t>aejmc22</t>
  </si>
  <si>
    <t>aejmc21</t>
  </si>
  <si>
    <t>ff</t>
  </si>
  <si>
    <t>smle2022</t>
  </si>
  <si>
    <t>smpc2023</t>
  </si>
  <si>
    <t>hashtags</t>
  </si>
  <si>
    <t>top</t>
  </si>
  <si>
    <t>usesaitapr0</t>
  </si>
  <si>
    <t>hi</t>
  </si>
  <si>
    <t>a</t>
  </si>
  <si>
    <t>à</t>
  </si>
  <si>
    <t>â</t>
  </si>
  <si>
    <t>å</t>
  </si>
  <si>
    <t>ä</t>
  </si>
  <si>
    <t>ã</t>
  </si>
  <si>
    <t>ab</t>
  </si>
  <si>
    <t>aber</t>
  </si>
  <si>
    <t>able</t>
  </si>
  <si>
    <t>about</t>
  </si>
  <si>
    <t>across</t>
  </si>
  <si>
    <t>after</t>
  </si>
  <si>
    <t>ahora</t>
  </si>
  <si>
    <t>ain't</t>
  </si>
  <si>
    <t>al</t>
  </si>
  <si>
    <t>all</t>
  </si>
  <si>
    <t>almost</t>
  </si>
  <si>
    <t>als</t>
  </si>
  <si>
    <t>also</t>
  </si>
  <si>
    <t>am</t>
  </si>
  <si>
    <t>amp</t>
  </si>
  <si>
    <t>among</t>
  </si>
  <si>
    <t>an</t>
  </si>
  <si>
    <t>and</t>
  </si>
  <si>
    <t>años</t>
  </si>
  <si>
    <t>any</t>
  </si>
  <si>
    <t>aqui</t>
  </si>
  <si>
    <t>aquí</t>
  </si>
  <si>
    <t>are</t>
  </si>
  <si>
    <t>aren't</t>
  </si>
  <si>
    <t>as</t>
  </si>
  <si>
    <t>así</t>
  </si>
  <si>
    <t>at</t>
  </si>
  <si>
    <t>au</t>
  </si>
  <si>
    <t>auch</t>
  </si>
  <si>
    <t>auf</t>
  </si>
  <si>
    <t>aunque</t>
  </si>
  <si>
    <t>aus</t>
  </si>
  <si>
    <t>avec</t>
  </si>
  <si>
    <t>b</t>
  </si>
  <si>
    <t>be</t>
  </si>
  <si>
    <t>because</t>
  </si>
  <si>
    <t>been</t>
  </si>
  <si>
    <t>bei</t>
  </si>
  <si>
    <t>beim</t>
  </si>
  <si>
    <t>bin</t>
  </si>
  <si>
    <t>bis</t>
  </si>
  <si>
    <t>but</t>
  </si>
  <si>
    <t>by</t>
  </si>
  <si>
    <t>c</t>
  </si>
  <si>
    <t>cada</t>
  </si>
  <si>
    <t>can</t>
  </si>
  <si>
    <t>can't</t>
  </si>
  <si>
    <t>cannot</t>
  </si>
  <si>
    <t>che</t>
  </si>
  <si>
    <t>com</t>
  </si>
  <si>
    <t>como</t>
  </si>
  <si>
    <t>con</t>
  </si>
  <si>
    <t>could</t>
  </si>
  <si>
    <t>could've</t>
  </si>
  <si>
    <t>couldn't</t>
  </si>
  <si>
    <t>cuando</t>
  </si>
  <si>
    <t>d</t>
  </si>
  <si>
    <t>ð</t>
  </si>
  <si>
    <t>da</t>
  </si>
  <si>
    <t>damit</t>
  </si>
  <si>
    <t>dann</t>
  </si>
  <si>
    <t>dans</t>
  </si>
  <si>
    <t>das</t>
  </si>
  <si>
    <t>dass</t>
  </si>
  <si>
    <t>de</t>
  </si>
  <si>
    <t>dein</t>
  </si>
  <si>
    <t>deine</t>
  </si>
  <si>
    <t>deinem</t>
  </si>
  <si>
    <t>deinen</t>
  </si>
  <si>
    <t>deiner</t>
  </si>
  <si>
    <t>deines</t>
  </si>
  <si>
    <t>del</t>
  </si>
  <si>
    <t>della</t>
  </si>
  <si>
    <t>dem</t>
  </si>
  <si>
    <t>den</t>
  </si>
  <si>
    <t>denen</t>
  </si>
  <si>
    <t>denn</t>
  </si>
  <si>
    <t>der</t>
  </si>
  <si>
    <t>deren</t>
  </si>
  <si>
    <t>des</t>
  </si>
  <si>
    <t>desde</t>
  </si>
  <si>
    <t>después</t>
  </si>
  <si>
    <t>dessen</t>
  </si>
  <si>
    <t>di</t>
  </si>
  <si>
    <t>dich</t>
  </si>
  <si>
    <t>did</t>
  </si>
  <si>
    <t>didn't</t>
  </si>
  <si>
    <t>diese</t>
  </si>
  <si>
    <t>diesem</t>
  </si>
  <si>
    <t>diesen</t>
  </si>
  <si>
    <t>dieses</t>
  </si>
  <si>
    <t>dijo</t>
  </si>
  <si>
    <t>dir</t>
  </si>
  <si>
    <t>do</t>
  </si>
  <si>
    <t>doch</t>
  </si>
  <si>
    <t>does</t>
  </si>
  <si>
    <t>doesn't</t>
  </si>
  <si>
    <t>don't</t>
  </si>
  <si>
    <t>donde</t>
  </si>
  <si>
    <t>dort</t>
  </si>
  <si>
    <t>dos</t>
  </si>
  <si>
    <t>du</t>
  </si>
  <si>
    <t>durante</t>
  </si>
  <si>
    <t>durch</t>
  </si>
  <si>
    <t>ðÿ</t>
  </si>
  <si>
    <t>ðÿš</t>
  </si>
  <si>
    <t>e</t>
  </si>
  <si>
    <t>é</t>
  </si>
  <si>
    <t>è</t>
  </si>
  <si>
    <t>een</t>
  </si>
  <si>
    <t>ein</t>
  </si>
  <si>
    <t>eine</t>
  </si>
  <si>
    <t>einem</t>
  </si>
  <si>
    <t>einen</t>
  </si>
  <si>
    <t>einer</t>
  </si>
  <si>
    <t>eines</t>
  </si>
  <si>
    <t>either</t>
  </si>
  <si>
    <t>el</t>
  </si>
  <si>
    <t>él</t>
  </si>
  <si>
    <t>ella</t>
  </si>
  <si>
    <t>elle</t>
  </si>
  <si>
    <t>else</t>
  </si>
  <si>
    <t>entre</t>
  </si>
  <si>
    <t>er</t>
  </si>
  <si>
    <t>era</t>
  </si>
  <si>
    <t>es</t>
  </si>
  <si>
    <t>esa</t>
  </si>
  <si>
    <t>ese</t>
  </si>
  <si>
    <t>eso</t>
  </si>
  <si>
    <t>est</t>
  </si>
  <si>
    <t>esta</t>
  </si>
  <si>
    <t>está</t>
  </si>
  <si>
    <t>este</t>
  </si>
  <si>
    <t>esto</t>
  </si>
  <si>
    <t>estos</t>
  </si>
  <si>
    <t>et</t>
  </si>
  <si>
    <t>etwa</t>
  </si>
  <si>
    <t>etwas</t>
  </si>
  <si>
    <t>euch</t>
  </si>
  <si>
    <t>euer</t>
  </si>
  <si>
    <t>euren</t>
  </si>
  <si>
    <t>eures</t>
  </si>
  <si>
    <t>even</t>
  </si>
  <si>
    <t>ever</t>
  </si>
  <si>
    <t>every</t>
  </si>
  <si>
    <t>f</t>
  </si>
  <si>
    <t>for</t>
  </si>
  <si>
    <t>för</t>
  </si>
  <si>
    <t>from</t>
  </si>
  <si>
    <t>fue</t>
  </si>
  <si>
    <t>für</t>
  </si>
  <si>
    <t>g</t>
  </si>
  <si>
    <t>get</t>
  </si>
  <si>
    <t>gleich</t>
  </si>
  <si>
    <t>got</t>
  </si>
  <si>
    <t>h</t>
  </si>
  <si>
    <t>ha</t>
  </si>
  <si>
    <t>haben</t>
  </si>
  <si>
    <t>había</t>
  </si>
  <si>
    <t>hace</t>
  </si>
  <si>
    <t>had</t>
  </si>
  <si>
    <t>han</t>
  </si>
  <si>
    <t>has</t>
  </si>
  <si>
    <t>hasn't</t>
  </si>
  <si>
    <t>hasta</t>
  </si>
  <si>
    <t>hat</t>
  </si>
  <si>
    <t>hatte</t>
  </si>
  <si>
    <t>hätte</t>
  </si>
  <si>
    <t>hatten</t>
  </si>
  <si>
    <t>hätten</t>
  </si>
  <si>
    <t>hättest</t>
  </si>
  <si>
    <t>have</t>
  </si>
  <si>
    <t>hay</t>
  </si>
  <si>
    <t>he</t>
  </si>
  <si>
    <t>he'd</t>
  </si>
  <si>
    <t>he'll</t>
  </si>
  <si>
    <t>he's</t>
  </si>
  <si>
    <t>her</t>
  </si>
  <si>
    <t>here</t>
  </si>
  <si>
    <t>hers</t>
  </si>
  <si>
    <t>het</t>
  </si>
  <si>
    <t>hier</t>
  </si>
  <si>
    <t>him</t>
  </si>
  <si>
    <t>his</t>
  </si>
  <si>
    <t>how</t>
  </si>
  <si>
    <t>how'd</t>
  </si>
  <si>
    <t>how'll</t>
  </si>
  <si>
    <t>how's</t>
  </si>
  <si>
    <t>however</t>
  </si>
  <si>
    <t>http</t>
  </si>
  <si>
    <t>https</t>
  </si>
  <si>
    <t>i</t>
  </si>
  <si>
    <t>ï</t>
  </si>
  <si>
    <t>i'd</t>
  </si>
  <si>
    <t>i'll</t>
  </si>
  <si>
    <t>i'm</t>
  </si>
  <si>
    <t>i've</t>
  </si>
  <si>
    <t>ich</t>
  </si>
  <si>
    <t>if</t>
  </si>
  <si>
    <t>ihm</t>
  </si>
  <si>
    <t>ihn</t>
  </si>
  <si>
    <t>ihnen</t>
  </si>
  <si>
    <t>ihr</t>
  </si>
  <si>
    <t>ihre</t>
  </si>
  <si>
    <t>ihrem</t>
  </si>
  <si>
    <t>ihren</t>
  </si>
  <si>
    <t>il</t>
  </si>
  <si>
    <t>im</t>
  </si>
  <si>
    <t>in</t>
  </si>
  <si>
    <t>ins</t>
  </si>
  <si>
    <t>into</t>
  </si>
  <si>
    <t>is</t>
  </si>
  <si>
    <t>isn't</t>
  </si>
  <si>
    <t>ist</t>
  </si>
  <si>
    <t>it</t>
  </si>
  <si>
    <t>it's</t>
  </si>
  <si>
    <t>its</t>
  </si>
  <si>
    <t>j</t>
  </si>
  <si>
    <t>je</t>
  </si>
  <si>
    <t>jetzt</t>
  </si>
  <si>
    <t>just</t>
  </si>
  <si>
    <t>k</t>
  </si>
  <si>
    <t>kann</t>
  </si>
  <si>
    <t>können</t>
  </si>
  <si>
    <t>konnte</t>
  </si>
  <si>
    <t>könnte</t>
  </si>
  <si>
    <t>konnten</t>
  </si>
  <si>
    <t>könnten</t>
  </si>
  <si>
    <t>konntest</t>
  </si>
  <si>
    <t>könntest</t>
  </si>
  <si>
    <t>konntet</t>
  </si>
  <si>
    <t>l</t>
  </si>
  <si>
    <t>la</t>
  </si>
  <si>
    <t>las</t>
  </si>
  <si>
    <t>le</t>
  </si>
  <si>
    <t>least</t>
  </si>
  <si>
    <t>les</t>
  </si>
  <si>
    <t>let</t>
  </si>
  <si>
    <t>like</t>
  </si>
  <si>
    <t>likely</t>
  </si>
  <si>
    <t>lo</t>
  </si>
  <si>
    <t>los</t>
  </si>
  <si>
    <t>m</t>
  </si>
  <si>
    <t>más</t>
  </si>
  <si>
    <t>may</t>
  </si>
  <si>
    <t>me</t>
  </si>
  <si>
    <t>mein</t>
  </si>
  <si>
    <t>meine</t>
  </si>
  <si>
    <t>meinem</t>
  </si>
  <si>
    <t>meines</t>
  </si>
  <si>
    <t>menos</t>
  </si>
  <si>
    <t>mi</t>
  </si>
  <si>
    <t>mich</t>
  </si>
  <si>
    <t>might</t>
  </si>
  <si>
    <t>might've</t>
  </si>
  <si>
    <t>mir</t>
  </si>
  <si>
    <t>mismo</t>
  </si>
  <si>
    <t>mit</t>
  </si>
  <si>
    <t>moi</t>
  </si>
  <si>
    <t>most</t>
  </si>
  <si>
    <t>muss</t>
  </si>
  <si>
    <t>musste</t>
  </si>
  <si>
    <t>müsste</t>
  </si>
  <si>
    <t>mussten</t>
  </si>
  <si>
    <t>müssten</t>
  </si>
  <si>
    <t>müsstest</t>
  </si>
  <si>
    <t>must</t>
  </si>
  <si>
    <t>must've</t>
  </si>
  <si>
    <t>mustn't</t>
  </si>
  <si>
    <t>muy</t>
  </si>
  <si>
    <t>my</t>
  </si>
  <si>
    <t>n</t>
  </si>
  <si>
    <t>ñ</t>
  </si>
  <si>
    <t>na</t>
  </si>
  <si>
    <t>nach</t>
  </si>
  <si>
    <t>ne</t>
  </si>
  <si>
    <t>neither</t>
  </si>
  <si>
    <t>new</t>
  </si>
  <si>
    <t>ni</t>
  </si>
  <si>
    <t>nicht</t>
  </si>
  <si>
    <t>no</t>
  </si>
  <si>
    <t>noch</t>
  </si>
  <si>
    <t>nor</t>
  </si>
  <si>
    <t>nos</t>
  </si>
  <si>
    <t>not</t>
  </si>
  <si>
    <t>nous</t>
  </si>
  <si>
    <t>now</t>
  </si>
  <si>
    <t>nun</t>
  </si>
  <si>
    <t>nur</t>
  </si>
  <si>
    <t>o</t>
  </si>
  <si>
    <t>ó</t>
  </si>
  <si>
    <t>ö</t>
  </si>
  <si>
    <t>ob</t>
  </si>
  <si>
    <t>och</t>
  </si>
  <si>
    <t>oder</t>
  </si>
  <si>
    <t>of</t>
  </si>
  <si>
    <t>off</t>
  </si>
  <si>
    <t>often</t>
  </si>
  <si>
    <t>om</t>
  </si>
  <si>
    <t>on</t>
  </si>
  <si>
    <t>only</t>
  </si>
  <si>
    <t>op</t>
  </si>
  <si>
    <t>or</t>
  </si>
  <si>
    <t>other</t>
  </si>
  <si>
    <t>otra</t>
  </si>
  <si>
    <t>otro</t>
  </si>
  <si>
    <t>otros</t>
  </si>
  <si>
    <t>ou</t>
  </si>
  <si>
    <t>our</t>
  </si>
  <si>
    <t>out</t>
  </si>
  <si>
    <t>own</t>
  </si>
  <si>
    <t>p</t>
  </si>
  <si>
    <t>på</t>
  </si>
  <si>
    <t>page</t>
  </si>
  <si>
    <t>pages</t>
  </si>
  <si>
    <t>país</t>
  </si>
  <si>
    <t>para</t>
  </si>
  <si>
    <t>parte</t>
  </si>
  <si>
    <t>pas</t>
  </si>
  <si>
    <t>per</t>
  </si>
  <si>
    <t>pero</t>
  </si>
  <si>
    <t>por</t>
  </si>
  <si>
    <t>porque</t>
  </si>
  <si>
    <t>post</t>
  </si>
  <si>
    <t>posts</t>
  </si>
  <si>
    <t>pour</t>
  </si>
  <si>
    <t>puede</t>
  </si>
  <si>
    <t>q</t>
  </si>
  <si>
    <t>que</t>
  </si>
  <si>
    <t>qué</t>
  </si>
  <si>
    <t>qui</t>
  </si>
  <si>
    <t>quoi</t>
  </si>
  <si>
    <t>r</t>
  </si>
  <si>
    <t>rather</t>
  </si>
  <si>
    <t>real</t>
  </si>
  <si>
    <t>rt</t>
  </si>
  <si>
    <t>s</t>
  </si>
  <si>
    <t>said</t>
  </si>
  <si>
    <t>say</t>
  </si>
  <si>
    <t>says</t>
  </si>
  <si>
    <t>schon</t>
  </si>
  <si>
    <t>se</t>
  </si>
  <si>
    <t>según</t>
  </si>
  <si>
    <t>sehr</t>
  </si>
  <si>
    <t>sein</t>
  </si>
  <si>
    <t>ser</t>
  </si>
  <si>
    <t>she</t>
  </si>
  <si>
    <t>she'd</t>
  </si>
  <si>
    <t>she'll</t>
  </si>
  <si>
    <t>she's</t>
  </si>
  <si>
    <t>should</t>
  </si>
  <si>
    <t>should've</t>
  </si>
  <si>
    <t>shouldn't</t>
  </si>
  <si>
    <t>si</t>
  </si>
  <si>
    <t>sí</t>
  </si>
  <si>
    <t>sich</t>
  </si>
  <si>
    <t>sido</t>
  </si>
  <si>
    <t>sie</t>
  </si>
  <si>
    <t>siempre</t>
  </si>
  <si>
    <t>sin</t>
  </si>
  <si>
    <t>since</t>
  </si>
  <si>
    <t>sind</t>
  </si>
  <si>
    <t>so</t>
  </si>
  <si>
    <t>sobre</t>
  </si>
  <si>
    <t>sogar</t>
  </si>
  <si>
    <t>soll</t>
  </si>
  <si>
    <t>sollst</t>
  </si>
  <si>
    <t>sollte</t>
  </si>
  <si>
    <t>sollten</t>
  </si>
  <si>
    <t>solltest</t>
  </si>
  <si>
    <t>solo</t>
  </si>
  <si>
    <t>sólo</t>
  </si>
  <si>
    <t>som</t>
  </si>
  <si>
    <t>some</t>
  </si>
  <si>
    <t>son</t>
  </si>
  <si>
    <t>sous</t>
  </si>
  <si>
    <t>soy</t>
  </si>
  <si>
    <t>ß</t>
  </si>
  <si>
    <t>su</t>
  </si>
  <si>
    <t>sur</t>
  </si>
  <si>
    <t>sus</t>
  </si>
  <si>
    <t>t</t>
  </si>
  <si>
    <t>también</t>
  </si>
  <si>
    <t>tan</t>
  </si>
  <si>
    <t>tanto</t>
  </si>
  <si>
    <t>te</t>
  </si>
  <si>
    <t>than</t>
  </si>
  <si>
    <t>that</t>
  </si>
  <si>
    <t>that'll</t>
  </si>
  <si>
    <t>that's</t>
  </si>
  <si>
    <t>the</t>
  </si>
  <si>
    <t>their</t>
  </si>
  <si>
    <t>them</t>
  </si>
  <si>
    <t>then</t>
  </si>
  <si>
    <t>there</t>
  </si>
  <si>
    <t>there's</t>
  </si>
  <si>
    <t>these</t>
  </si>
  <si>
    <t>they</t>
  </si>
  <si>
    <t>they'd</t>
  </si>
  <si>
    <t>they'll</t>
  </si>
  <si>
    <t>they're</t>
  </si>
  <si>
    <t>they've</t>
  </si>
  <si>
    <t>this</t>
  </si>
  <si>
    <t>though</t>
  </si>
  <si>
    <t>through</t>
  </si>
  <si>
    <t>tiempo</t>
  </si>
  <si>
    <t>tiene</t>
  </si>
  <si>
    <t>tja</t>
  </si>
  <si>
    <t>to</t>
  </si>
  <si>
    <t>todo</t>
  </si>
  <si>
    <t>todos</t>
  </si>
  <si>
    <t>toi</t>
  </si>
  <si>
    <t>too</t>
  </si>
  <si>
    <t>tres</t>
  </si>
  <si>
    <t>tu</t>
  </si>
  <si>
    <t>tun</t>
  </si>
  <si>
    <t>u</t>
  </si>
  <si>
    <t>ü</t>
  </si>
  <si>
    <t>über</t>
  </si>
  <si>
    <t>um</t>
  </si>
  <si>
    <t>una</t>
  </si>
  <si>
    <t>und</t>
  </si>
  <si>
    <t>une</t>
  </si>
  <si>
    <t>uno</t>
  </si>
  <si>
    <t>uns</t>
  </si>
  <si>
    <t>unser</t>
  </si>
  <si>
    <t>unsere</t>
  </si>
  <si>
    <t>unserem</t>
  </si>
  <si>
    <t>unseren</t>
  </si>
  <si>
    <t>unseres</t>
  </si>
  <si>
    <t>unter</t>
  </si>
  <si>
    <t>up</t>
  </si>
  <si>
    <t>us</t>
  </si>
  <si>
    <t>v</t>
  </si>
  <si>
    <t>va</t>
  </si>
  <si>
    <t>van</t>
  </si>
  <si>
    <t>vez</t>
  </si>
  <si>
    <t>vi</t>
  </si>
  <si>
    <t>via</t>
  </si>
  <si>
    <t>vía</t>
  </si>
  <si>
    <t>vom</t>
  </si>
  <si>
    <t>von</t>
  </si>
  <si>
    <t>voor</t>
  </si>
  <si>
    <t>vor</t>
  </si>
  <si>
    <t>vos</t>
  </si>
  <si>
    <t>vous</t>
  </si>
  <si>
    <t>w</t>
  </si>
  <si>
    <t>want</t>
  </si>
  <si>
    <t>wants</t>
  </si>
  <si>
    <t>wäre</t>
  </si>
  <si>
    <t>wären</t>
  </si>
  <si>
    <t>wärest</t>
  </si>
  <si>
    <t>was</t>
  </si>
  <si>
    <t>wasn't</t>
  </si>
  <si>
    <t>we</t>
  </si>
  <si>
    <t>we'd</t>
  </si>
  <si>
    <t>we'll</t>
  </si>
  <si>
    <t>we're</t>
  </si>
  <si>
    <t>wenn</t>
  </si>
  <si>
    <t>wer</t>
  </si>
  <si>
    <t>werden</t>
  </si>
  <si>
    <t>were</t>
  </si>
  <si>
    <t>weren't</t>
  </si>
  <si>
    <t>what</t>
  </si>
  <si>
    <t>what's</t>
  </si>
  <si>
    <t>when</t>
  </si>
  <si>
    <t>where</t>
  </si>
  <si>
    <t>where'd</t>
  </si>
  <si>
    <t>where'll</t>
  </si>
  <si>
    <t>where's</t>
  </si>
  <si>
    <t>which</t>
  </si>
  <si>
    <t>while</t>
  </si>
  <si>
    <t>who</t>
  </si>
  <si>
    <t>who'd</t>
  </si>
  <si>
    <t>who'll</t>
  </si>
  <si>
    <t>who's</t>
  </si>
  <si>
    <t>whom</t>
  </si>
  <si>
    <t>why</t>
  </si>
  <si>
    <t>why'd</t>
  </si>
  <si>
    <t>wie</t>
  </si>
  <si>
    <t>will</t>
  </si>
  <si>
    <t>wir</t>
  </si>
  <si>
    <t>wird</t>
  </si>
  <si>
    <t>wirst</t>
  </si>
  <si>
    <t>with</t>
  </si>
  <si>
    <t>wo</t>
  </si>
  <si>
    <t>won't</t>
  </si>
  <si>
    <t>would</t>
  </si>
  <si>
    <t>would've</t>
  </si>
  <si>
    <t>wouldn't</t>
  </si>
  <si>
    <t>wurde</t>
  </si>
  <si>
    <t>wurden</t>
  </si>
  <si>
    <t>würden</t>
  </si>
  <si>
    <t>wurdest</t>
  </si>
  <si>
    <t>würdest</t>
  </si>
  <si>
    <t>www</t>
  </si>
  <si>
    <t>x</t>
  </si>
  <si>
    <t>y</t>
  </si>
  <si>
    <t>ya</t>
  </si>
  <si>
    <t>yet</t>
  </si>
  <si>
    <t>yo</t>
  </si>
  <si>
    <t>you</t>
  </si>
  <si>
    <t>you'd</t>
  </si>
  <si>
    <t>you'll</t>
  </si>
  <si>
    <t>you're</t>
  </si>
  <si>
    <t>you've</t>
  </si>
  <si>
    <t>your</t>
  </si>
  <si>
    <t>z</t>
  </si>
  <si>
    <t>zu</t>
  </si>
  <si>
    <t>zum</t>
  </si>
  <si>
    <t>zur</t>
  </si>
  <si>
    <t>a+</t>
  </si>
  <si>
    <t>abound</t>
  </si>
  <si>
    <t>abounds</t>
  </si>
  <si>
    <t>abundance</t>
  </si>
  <si>
    <t>abundant</t>
  </si>
  <si>
    <t>accessable</t>
  </si>
  <si>
    <t>accessible</t>
  </si>
  <si>
    <t>acclaim</t>
  </si>
  <si>
    <t>acclaimed</t>
  </si>
  <si>
    <t>acclamation</t>
  </si>
  <si>
    <t>accolade</t>
  </si>
  <si>
    <t>accolades</t>
  </si>
  <si>
    <t>accommodative</t>
  </si>
  <si>
    <t>accomodative</t>
  </si>
  <si>
    <t>accomplish</t>
  </si>
  <si>
    <t>accomplished</t>
  </si>
  <si>
    <t>accomplishment</t>
  </si>
  <si>
    <t>accomplishments</t>
  </si>
  <si>
    <t>accurate</t>
  </si>
  <si>
    <t>accurately</t>
  </si>
  <si>
    <t>achievable</t>
  </si>
  <si>
    <t>achievement</t>
  </si>
  <si>
    <t>achievements</t>
  </si>
  <si>
    <t>achievible</t>
  </si>
  <si>
    <t>acumen</t>
  </si>
  <si>
    <t>adaptable</t>
  </si>
  <si>
    <t>adaptive</t>
  </si>
  <si>
    <t>adequate</t>
  </si>
  <si>
    <t>adjustable</t>
  </si>
  <si>
    <t>admirable</t>
  </si>
  <si>
    <t>admirably</t>
  </si>
  <si>
    <t>admiration</t>
  </si>
  <si>
    <t>admire</t>
  </si>
  <si>
    <t>admirer</t>
  </si>
  <si>
    <t>admiring</t>
  </si>
  <si>
    <t>admiringly</t>
  </si>
  <si>
    <t>adorable</t>
  </si>
  <si>
    <t>adore</t>
  </si>
  <si>
    <t>adored</t>
  </si>
  <si>
    <t>adorer</t>
  </si>
  <si>
    <t>adoring</t>
  </si>
  <si>
    <t>adoringly</t>
  </si>
  <si>
    <t>adroit</t>
  </si>
  <si>
    <t>adroitly</t>
  </si>
  <si>
    <t>adulate</t>
  </si>
  <si>
    <t>adulation</t>
  </si>
  <si>
    <t>adulatory</t>
  </si>
  <si>
    <t>advanced</t>
  </si>
  <si>
    <t>advantage</t>
  </si>
  <si>
    <t>advantageous</t>
  </si>
  <si>
    <t>advantageously</t>
  </si>
  <si>
    <t>advantages</t>
  </si>
  <si>
    <t>adventuresome</t>
  </si>
  <si>
    <t>adventurous</t>
  </si>
  <si>
    <t>advocate</t>
  </si>
  <si>
    <t>advocated</t>
  </si>
  <si>
    <t>advocates</t>
  </si>
  <si>
    <t>affability</t>
  </si>
  <si>
    <t>affable</t>
  </si>
  <si>
    <t>affably</t>
  </si>
  <si>
    <t>affectation</t>
  </si>
  <si>
    <t>affection</t>
  </si>
  <si>
    <t>affectionate</t>
  </si>
  <si>
    <t>affinity</t>
  </si>
  <si>
    <t>affirm</t>
  </si>
  <si>
    <t>affirmation</t>
  </si>
  <si>
    <t>affirmative</t>
  </si>
  <si>
    <t>affluence</t>
  </si>
  <si>
    <t>affluent</t>
  </si>
  <si>
    <t>afford</t>
  </si>
  <si>
    <t>affordable</t>
  </si>
  <si>
    <t>affordably</t>
  </si>
  <si>
    <t>afordable</t>
  </si>
  <si>
    <t>agile</t>
  </si>
  <si>
    <t>agilely</t>
  </si>
  <si>
    <t>agility</t>
  </si>
  <si>
    <t>agreeable</t>
  </si>
  <si>
    <t>agreeableness</t>
  </si>
  <si>
    <t>agreeably</t>
  </si>
  <si>
    <t>all-around</t>
  </si>
  <si>
    <t>alluring</t>
  </si>
  <si>
    <t>alluringly</t>
  </si>
  <si>
    <t>altruistic</t>
  </si>
  <si>
    <t>altruistically</t>
  </si>
  <si>
    <t>amaze</t>
  </si>
  <si>
    <t>amazed</t>
  </si>
  <si>
    <t>amazement</t>
  </si>
  <si>
    <t>amazes</t>
  </si>
  <si>
    <t>amazingly</t>
  </si>
  <si>
    <t>ambitious</t>
  </si>
  <si>
    <t>ambitiously</t>
  </si>
  <si>
    <t>ameliorate</t>
  </si>
  <si>
    <t>amenable</t>
  </si>
  <si>
    <t>amenity</t>
  </si>
  <si>
    <t>amiability</t>
  </si>
  <si>
    <t>amiabily</t>
  </si>
  <si>
    <t>amiable</t>
  </si>
  <si>
    <t>amicability</t>
  </si>
  <si>
    <t>amicable</t>
  </si>
  <si>
    <t>amicably</t>
  </si>
  <si>
    <t>amity</t>
  </si>
  <si>
    <t>ample</t>
  </si>
  <si>
    <t>amply</t>
  </si>
  <si>
    <t>amuse</t>
  </si>
  <si>
    <t>amusing</t>
  </si>
  <si>
    <t>amusingly</t>
  </si>
  <si>
    <t>angel</t>
  </si>
  <si>
    <t>angelic</t>
  </si>
  <si>
    <t>apotheosis</t>
  </si>
  <si>
    <t>appeal</t>
  </si>
  <si>
    <t>appealing</t>
  </si>
  <si>
    <t>applaud</t>
  </si>
  <si>
    <t>appreciable</t>
  </si>
  <si>
    <t>appreciate</t>
  </si>
  <si>
    <t>appreciated</t>
  </si>
  <si>
    <t>appreciates</t>
  </si>
  <si>
    <t>appreciative</t>
  </si>
  <si>
    <t>appreciatively</t>
  </si>
  <si>
    <t>appropriate</t>
  </si>
  <si>
    <t>approval</t>
  </si>
  <si>
    <t>approve</t>
  </si>
  <si>
    <t>ardent</t>
  </si>
  <si>
    <t>ardently</t>
  </si>
  <si>
    <t>ardor</t>
  </si>
  <si>
    <t>articulate</t>
  </si>
  <si>
    <t>aspiration</t>
  </si>
  <si>
    <t>aspirations</t>
  </si>
  <si>
    <t>aspire</t>
  </si>
  <si>
    <t>assurance</t>
  </si>
  <si>
    <t>assurances</t>
  </si>
  <si>
    <t>assure</t>
  </si>
  <si>
    <t>assuredly</t>
  </si>
  <si>
    <t>assuring</t>
  </si>
  <si>
    <t>astonish</t>
  </si>
  <si>
    <t>astonished</t>
  </si>
  <si>
    <t>astonishing</t>
  </si>
  <si>
    <t>astonishingly</t>
  </si>
  <si>
    <t>astonishment</t>
  </si>
  <si>
    <t>astound</t>
  </si>
  <si>
    <t>astounded</t>
  </si>
  <si>
    <t>astounding</t>
  </si>
  <si>
    <t>astoundingly</t>
  </si>
  <si>
    <t>astutely</t>
  </si>
  <si>
    <t>attentive</t>
  </si>
  <si>
    <t>attraction</t>
  </si>
  <si>
    <t>attractive</t>
  </si>
  <si>
    <t>attractively</t>
  </si>
  <si>
    <t>attune</t>
  </si>
  <si>
    <t>audible</t>
  </si>
  <si>
    <t>audibly</t>
  </si>
  <si>
    <t>auspicious</t>
  </si>
  <si>
    <t>authentic</t>
  </si>
  <si>
    <t>authoritative</t>
  </si>
  <si>
    <t>autonomous</t>
  </si>
  <si>
    <t>aver</t>
  </si>
  <si>
    <t>avid</t>
  </si>
  <si>
    <t>avidly</t>
  </si>
  <si>
    <t>awarded</t>
  </si>
  <si>
    <t>awe</t>
  </si>
  <si>
    <t>awed</t>
  </si>
  <si>
    <t>awesome</t>
  </si>
  <si>
    <t>awesomely</t>
  </si>
  <si>
    <t>awesomeness</t>
  </si>
  <si>
    <t>awestruck</t>
  </si>
  <si>
    <t>awsome</t>
  </si>
  <si>
    <t>backbone</t>
  </si>
  <si>
    <t>balanced</t>
  </si>
  <si>
    <t>bargain</t>
  </si>
  <si>
    <t>beauteous</t>
  </si>
  <si>
    <t>beautiful</t>
  </si>
  <si>
    <t>beautifullly</t>
  </si>
  <si>
    <t>beautifully</t>
  </si>
  <si>
    <t>beautify</t>
  </si>
  <si>
    <t>beauty</t>
  </si>
  <si>
    <t>beckon</t>
  </si>
  <si>
    <t>beckoned</t>
  </si>
  <si>
    <t>beckoning</t>
  </si>
  <si>
    <t>beckons</t>
  </si>
  <si>
    <t>believable</t>
  </si>
  <si>
    <t>believeable</t>
  </si>
  <si>
    <t>beloved</t>
  </si>
  <si>
    <t>benefactor</t>
  </si>
  <si>
    <t>beneficent</t>
  </si>
  <si>
    <t>beneficial</t>
  </si>
  <si>
    <t>beneficially</t>
  </si>
  <si>
    <t>beneficiary</t>
  </si>
  <si>
    <t>benefit</t>
  </si>
  <si>
    <t>benevolence</t>
  </si>
  <si>
    <t>benevolent</t>
  </si>
  <si>
    <t>benifits</t>
  </si>
  <si>
    <t>best-known</t>
  </si>
  <si>
    <t>best-performing</t>
  </si>
  <si>
    <t>best-selling</t>
  </si>
  <si>
    <t>better</t>
  </si>
  <si>
    <t>better-known</t>
  </si>
  <si>
    <t>better-than-expected</t>
  </si>
  <si>
    <t>beutifully</t>
  </si>
  <si>
    <t>blameless</t>
  </si>
  <si>
    <t>bless</t>
  </si>
  <si>
    <t>blessing</t>
  </si>
  <si>
    <t>bliss</t>
  </si>
  <si>
    <t>blissful</t>
  </si>
  <si>
    <t>blissfully</t>
  </si>
  <si>
    <t>blithe</t>
  </si>
  <si>
    <t>blockbuster</t>
  </si>
  <si>
    <t>bloom</t>
  </si>
  <si>
    <t>blossom</t>
  </si>
  <si>
    <t>bolster</t>
  </si>
  <si>
    <t>bonny</t>
  </si>
  <si>
    <t>bonus</t>
  </si>
  <si>
    <t>bonuses</t>
  </si>
  <si>
    <t>boom</t>
  </si>
  <si>
    <t>booming</t>
  </si>
  <si>
    <t>boost</t>
  </si>
  <si>
    <t>boundless</t>
  </si>
  <si>
    <t>bountiful</t>
  </si>
  <si>
    <t>brainiest</t>
  </si>
  <si>
    <t>brainy</t>
  </si>
  <si>
    <t>brand-new</t>
  </si>
  <si>
    <t>brave</t>
  </si>
  <si>
    <t>bravery</t>
  </si>
  <si>
    <t>bravo</t>
  </si>
  <si>
    <t>breakthrough</t>
  </si>
  <si>
    <t>breakthroughs</t>
  </si>
  <si>
    <t>breathlessness</t>
  </si>
  <si>
    <t>breathtaking</t>
  </si>
  <si>
    <t>breathtakingly</t>
  </si>
  <si>
    <t>breeze</t>
  </si>
  <si>
    <t>bright</t>
  </si>
  <si>
    <t>brighten</t>
  </si>
  <si>
    <t>brighter</t>
  </si>
  <si>
    <t>brightest</t>
  </si>
  <si>
    <t>brilliance</t>
  </si>
  <si>
    <t>brilliances</t>
  </si>
  <si>
    <t>brilliant</t>
  </si>
  <si>
    <t>brilliantly</t>
  </si>
  <si>
    <t>brisk</t>
  </si>
  <si>
    <t>brotherly</t>
  </si>
  <si>
    <t>bullish</t>
  </si>
  <si>
    <t>buoyant</t>
  </si>
  <si>
    <t>cajole</t>
  </si>
  <si>
    <t>calm</t>
  </si>
  <si>
    <t>calming</t>
  </si>
  <si>
    <t>calmness</t>
  </si>
  <si>
    <t>capability</t>
  </si>
  <si>
    <t>capable</t>
  </si>
  <si>
    <t>capably</t>
  </si>
  <si>
    <t>captivate</t>
  </si>
  <si>
    <t>captivating</t>
  </si>
  <si>
    <t>carefree</t>
  </si>
  <si>
    <t>cashback</t>
  </si>
  <si>
    <t>cashbacks</t>
  </si>
  <si>
    <t>catchy</t>
  </si>
  <si>
    <t>celebrated</t>
  </si>
  <si>
    <t>celebration</t>
  </si>
  <si>
    <t>celebratory</t>
  </si>
  <si>
    <t>champ</t>
  </si>
  <si>
    <t>champion</t>
  </si>
  <si>
    <t>charisma</t>
  </si>
  <si>
    <t>charismatic</t>
  </si>
  <si>
    <t>charitable</t>
  </si>
  <si>
    <t>charm</t>
  </si>
  <si>
    <t>charming</t>
  </si>
  <si>
    <t>charmingly</t>
  </si>
  <si>
    <t>chaste</t>
  </si>
  <si>
    <t>cheaper</t>
  </si>
  <si>
    <t>cheapest</t>
  </si>
  <si>
    <t>cheer</t>
  </si>
  <si>
    <t>cheerful</t>
  </si>
  <si>
    <t>cheery</t>
  </si>
  <si>
    <t>cherish</t>
  </si>
  <si>
    <t>cherished</t>
  </si>
  <si>
    <t>cherub</t>
  </si>
  <si>
    <t>chic</t>
  </si>
  <si>
    <t>chivalrous</t>
  </si>
  <si>
    <t>chivalry</t>
  </si>
  <si>
    <t>civility</t>
  </si>
  <si>
    <t>civilize</t>
  </si>
  <si>
    <t>clarity</t>
  </si>
  <si>
    <t>classic</t>
  </si>
  <si>
    <t>classy</t>
  </si>
  <si>
    <t>clean</t>
  </si>
  <si>
    <t>cleaner</t>
  </si>
  <si>
    <t>cleanest</t>
  </si>
  <si>
    <t>cleanliness</t>
  </si>
  <si>
    <t>cleanly</t>
  </si>
  <si>
    <t>clear</t>
  </si>
  <si>
    <t>clear-cut</t>
  </si>
  <si>
    <t>cleared</t>
  </si>
  <si>
    <t>clearer</t>
  </si>
  <si>
    <t>clearly</t>
  </si>
  <si>
    <t>clears</t>
  </si>
  <si>
    <t>clever</t>
  </si>
  <si>
    <t>cleverly</t>
  </si>
  <si>
    <t>cohere</t>
  </si>
  <si>
    <t>coherence</t>
  </si>
  <si>
    <t>coherent</t>
  </si>
  <si>
    <t>cohesive</t>
  </si>
  <si>
    <t>colorful</t>
  </si>
  <si>
    <t>comely</t>
  </si>
  <si>
    <t>comfort</t>
  </si>
  <si>
    <t>comfortable</t>
  </si>
  <si>
    <t>comfortably</t>
  </si>
  <si>
    <t>comforting</t>
  </si>
  <si>
    <t>comfy</t>
  </si>
  <si>
    <t>commend</t>
  </si>
  <si>
    <t>commendable</t>
  </si>
  <si>
    <t>commendably</t>
  </si>
  <si>
    <t>commodious</t>
  </si>
  <si>
    <t>compact</t>
  </si>
  <si>
    <t>compactly</t>
  </si>
  <si>
    <t>compassion</t>
  </si>
  <si>
    <t>compassionate</t>
  </si>
  <si>
    <t>compatible</t>
  </si>
  <si>
    <t>competitive</t>
  </si>
  <si>
    <t>complement</t>
  </si>
  <si>
    <t>complementary</t>
  </si>
  <si>
    <t>complemented</t>
  </si>
  <si>
    <t>complements</t>
  </si>
  <si>
    <t>compliant</t>
  </si>
  <si>
    <t>compliment</t>
  </si>
  <si>
    <t>complimentary</t>
  </si>
  <si>
    <t>comprehensive</t>
  </si>
  <si>
    <t>conciliate</t>
  </si>
  <si>
    <t>conciliatory</t>
  </si>
  <si>
    <t>concise</t>
  </si>
  <si>
    <t>confidence</t>
  </si>
  <si>
    <t>confident</t>
  </si>
  <si>
    <t>congenial</t>
  </si>
  <si>
    <t>congratulate</t>
  </si>
  <si>
    <t>congratulation</t>
  </si>
  <si>
    <t>congratulatory</t>
  </si>
  <si>
    <t>conscientious</t>
  </si>
  <si>
    <t>considerate</t>
  </si>
  <si>
    <t>consistent</t>
  </si>
  <si>
    <t>consistently</t>
  </si>
  <si>
    <t>constructive</t>
  </si>
  <si>
    <t>consummate</t>
  </si>
  <si>
    <t>contentment</t>
  </si>
  <si>
    <t>continuity</t>
  </si>
  <si>
    <t>contrasty</t>
  </si>
  <si>
    <t>contribution</t>
  </si>
  <si>
    <t>convenience</t>
  </si>
  <si>
    <t>conveniently</t>
  </si>
  <si>
    <t>convience</t>
  </si>
  <si>
    <t>convienient</t>
  </si>
  <si>
    <t>convient</t>
  </si>
  <si>
    <t>convincing</t>
  </si>
  <si>
    <t>convincingly</t>
  </si>
  <si>
    <t>cool</t>
  </si>
  <si>
    <t>coolest</t>
  </si>
  <si>
    <t>cooperative</t>
  </si>
  <si>
    <t>cooperatively</t>
  </si>
  <si>
    <t>cornerstone</t>
  </si>
  <si>
    <t>correct</t>
  </si>
  <si>
    <t>correctly</t>
  </si>
  <si>
    <t>cost-effective</t>
  </si>
  <si>
    <t>cost-saving</t>
  </si>
  <si>
    <t>counter-attack</t>
  </si>
  <si>
    <t>counter-attacks</t>
  </si>
  <si>
    <t>courage</t>
  </si>
  <si>
    <t>courageous</t>
  </si>
  <si>
    <t>courageously</t>
  </si>
  <si>
    <t>courageousness</t>
  </si>
  <si>
    <t>courteous</t>
  </si>
  <si>
    <t>courtly</t>
  </si>
  <si>
    <t>covenant</t>
  </si>
  <si>
    <t>cozy</t>
  </si>
  <si>
    <t>creative</t>
  </si>
  <si>
    <t>credence</t>
  </si>
  <si>
    <t>credible</t>
  </si>
  <si>
    <t>crisp</t>
  </si>
  <si>
    <t>crisper</t>
  </si>
  <si>
    <t>cure</t>
  </si>
  <si>
    <t>cure-all</t>
  </si>
  <si>
    <t>cushy</t>
  </si>
  <si>
    <t>cute</t>
  </si>
  <si>
    <t>cuteness</t>
  </si>
  <si>
    <t>danke</t>
  </si>
  <si>
    <t>danken</t>
  </si>
  <si>
    <t>daring</t>
  </si>
  <si>
    <t>daringly</t>
  </si>
  <si>
    <t>darling</t>
  </si>
  <si>
    <t>dashing</t>
  </si>
  <si>
    <t>dauntless</t>
  </si>
  <si>
    <t>dawn</t>
  </si>
  <si>
    <t>dazzle</t>
  </si>
  <si>
    <t>dazzled</t>
  </si>
  <si>
    <t>dazzling</t>
  </si>
  <si>
    <t>dead-cheap</t>
  </si>
  <si>
    <t>dead-on</t>
  </si>
  <si>
    <t>decency</t>
  </si>
  <si>
    <t>decent</t>
  </si>
  <si>
    <t>decisive</t>
  </si>
  <si>
    <t>decisiveness</t>
  </si>
  <si>
    <t>dedicated</t>
  </si>
  <si>
    <t>defeat</t>
  </si>
  <si>
    <t>defeated</t>
  </si>
  <si>
    <t>defeating</t>
  </si>
  <si>
    <t>defeats</t>
  </si>
  <si>
    <t>defender</t>
  </si>
  <si>
    <t>deference</t>
  </si>
  <si>
    <t>deft</t>
  </si>
  <si>
    <t>deginified</t>
  </si>
  <si>
    <t>delectable</t>
  </si>
  <si>
    <t>delicacy</t>
  </si>
  <si>
    <t>delicate</t>
  </si>
  <si>
    <t>delicious</t>
  </si>
  <si>
    <t>delight</t>
  </si>
  <si>
    <t>delighted</t>
  </si>
  <si>
    <t>delightful</t>
  </si>
  <si>
    <t>delightfully</t>
  </si>
  <si>
    <t>delightfulness</t>
  </si>
  <si>
    <t>dependable</t>
  </si>
  <si>
    <t>dependably</t>
  </si>
  <si>
    <t>deservedly</t>
  </si>
  <si>
    <t>deserving</t>
  </si>
  <si>
    <t>desirable</t>
  </si>
  <si>
    <t>desiring</t>
  </si>
  <si>
    <t>desirous</t>
  </si>
  <si>
    <t>destiny</t>
  </si>
  <si>
    <t>detachable</t>
  </si>
  <si>
    <t>devout</t>
  </si>
  <si>
    <t>dexterous</t>
  </si>
  <si>
    <t>dexterously</t>
  </si>
  <si>
    <t>dextrous</t>
  </si>
  <si>
    <t>dignified</t>
  </si>
  <si>
    <t>dignify</t>
  </si>
  <si>
    <t>dignity</t>
  </si>
  <si>
    <t>diligence</t>
  </si>
  <si>
    <t>diligent</t>
  </si>
  <si>
    <t>diligently</t>
  </si>
  <si>
    <t>diplomatic</t>
  </si>
  <si>
    <t>dirt-cheap</t>
  </si>
  <si>
    <t>distinction</t>
  </si>
  <si>
    <t>distinctive</t>
  </si>
  <si>
    <t>distinguished</t>
  </si>
  <si>
    <t>diversified</t>
  </si>
  <si>
    <t>divine</t>
  </si>
  <si>
    <t>divinely</t>
  </si>
  <si>
    <t>dominate</t>
  </si>
  <si>
    <t>dominated</t>
  </si>
  <si>
    <t>dominates</t>
  </si>
  <si>
    <t>dote</t>
  </si>
  <si>
    <t>dotingly</t>
  </si>
  <si>
    <t>doubtless</t>
  </si>
  <si>
    <t>dreamland</t>
  </si>
  <si>
    <t>dumbfounded</t>
  </si>
  <si>
    <t>dumbfounding</t>
  </si>
  <si>
    <t>dummy-proof</t>
  </si>
  <si>
    <t>durable</t>
  </si>
  <si>
    <t>dynamic</t>
  </si>
  <si>
    <t>eager</t>
  </si>
  <si>
    <t>eagerly</t>
  </si>
  <si>
    <t>eagerness</t>
  </si>
  <si>
    <t>earnest</t>
  </si>
  <si>
    <t>earnestly</t>
  </si>
  <si>
    <t>earnestness</t>
  </si>
  <si>
    <t>ease</t>
  </si>
  <si>
    <t>eased</t>
  </si>
  <si>
    <t>eases</t>
  </si>
  <si>
    <t>easier</t>
  </si>
  <si>
    <t>easiest</t>
  </si>
  <si>
    <t>easiness</t>
  </si>
  <si>
    <t>easing</t>
  </si>
  <si>
    <t>easy</t>
  </si>
  <si>
    <t>easy-to-use</t>
  </si>
  <si>
    <t>easygoing</t>
  </si>
  <si>
    <t>ebullience</t>
  </si>
  <si>
    <t>ebullient</t>
  </si>
  <si>
    <t>ebulliently</t>
  </si>
  <si>
    <t>ecenomical</t>
  </si>
  <si>
    <t>economical</t>
  </si>
  <si>
    <t>ecstasies</t>
  </si>
  <si>
    <t>ecstasy</t>
  </si>
  <si>
    <t>ecstatic</t>
  </si>
  <si>
    <t>ecstatically</t>
  </si>
  <si>
    <t>edify</t>
  </si>
  <si>
    <t>educated</t>
  </si>
  <si>
    <t>effective</t>
  </si>
  <si>
    <t>effectively</t>
  </si>
  <si>
    <t>effectiveness</t>
  </si>
  <si>
    <t>effectual</t>
  </si>
  <si>
    <t>efficacious</t>
  </si>
  <si>
    <t>efficient</t>
  </si>
  <si>
    <t>efficiently</t>
  </si>
  <si>
    <t>effortless</t>
  </si>
  <si>
    <t>effortlessly</t>
  </si>
  <si>
    <t>effusion</t>
  </si>
  <si>
    <t>effusive</t>
  </si>
  <si>
    <t>effusively</t>
  </si>
  <si>
    <t>effusiveness</t>
  </si>
  <si>
    <t>elan</t>
  </si>
  <si>
    <t>elate</t>
  </si>
  <si>
    <t>elated</t>
  </si>
  <si>
    <t>elatedly</t>
  </si>
  <si>
    <t>elation</t>
  </si>
  <si>
    <t>electrify</t>
  </si>
  <si>
    <t>elegance</t>
  </si>
  <si>
    <t>elegant</t>
  </si>
  <si>
    <t>elegantly</t>
  </si>
  <si>
    <t>elevate</t>
  </si>
  <si>
    <t>elite</t>
  </si>
  <si>
    <t>eloquence</t>
  </si>
  <si>
    <t>eloquent</t>
  </si>
  <si>
    <t>eloquently</t>
  </si>
  <si>
    <t>embolden</t>
  </si>
  <si>
    <t>eminence</t>
  </si>
  <si>
    <t>eminent</t>
  </si>
  <si>
    <t>empathize</t>
  </si>
  <si>
    <t>empower</t>
  </si>
  <si>
    <t>empowerment</t>
  </si>
  <si>
    <t>enchant</t>
  </si>
  <si>
    <t>enchanted</t>
  </si>
  <si>
    <t>enchanting</t>
  </si>
  <si>
    <t>enchantingly</t>
  </si>
  <si>
    <t>encourage</t>
  </si>
  <si>
    <t>encouragement</t>
  </si>
  <si>
    <t>encouraging</t>
  </si>
  <si>
    <t>encouragingly</t>
  </si>
  <si>
    <t>endear</t>
  </si>
  <si>
    <t>endearing</t>
  </si>
  <si>
    <t>endorse</t>
  </si>
  <si>
    <t>endorsed</t>
  </si>
  <si>
    <t>endorsement</t>
  </si>
  <si>
    <t>endorses</t>
  </si>
  <si>
    <t>endorsing</t>
  </si>
  <si>
    <t>energetic</t>
  </si>
  <si>
    <t>energize</t>
  </si>
  <si>
    <t>energy-efficient</t>
  </si>
  <si>
    <t>energy-saving</t>
  </si>
  <si>
    <t>engaging</t>
  </si>
  <si>
    <t>engrossing</t>
  </si>
  <si>
    <t>enhance</t>
  </si>
  <si>
    <t>enhanced</t>
  </si>
  <si>
    <t>enhancement</t>
  </si>
  <si>
    <t>enhances</t>
  </si>
  <si>
    <t>enjoy</t>
  </si>
  <si>
    <t>enjoyable</t>
  </si>
  <si>
    <t>enjoyably</t>
  </si>
  <si>
    <t>enjoyed</t>
  </si>
  <si>
    <t>enjoying</t>
  </si>
  <si>
    <t>enjoyment</t>
  </si>
  <si>
    <t>enjoys</t>
  </si>
  <si>
    <t>enlighten</t>
  </si>
  <si>
    <t>enlightenment</t>
  </si>
  <si>
    <t>enliven</t>
  </si>
  <si>
    <t>ennoble</t>
  </si>
  <si>
    <t>enough</t>
  </si>
  <si>
    <t>enrapt</t>
  </si>
  <si>
    <t>enrapture</t>
  </si>
  <si>
    <t>enraptured</t>
  </si>
  <si>
    <t>enrich</t>
  </si>
  <si>
    <t>enrichment</t>
  </si>
  <si>
    <t>enterprising</t>
  </si>
  <si>
    <t>entertain</t>
  </si>
  <si>
    <t>entertaining</t>
  </si>
  <si>
    <t>entertains</t>
  </si>
  <si>
    <t>enthral</t>
  </si>
  <si>
    <t>enthrall</t>
  </si>
  <si>
    <t>enthralled</t>
  </si>
  <si>
    <t>enthuse</t>
  </si>
  <si>
    <t>enthusiasm</t>
  </si>
  <si>
    <t>enthusiast</t>
  </si>
  <si>
    <t>enthusiastic</t>
  </si>
  <si>
    <t>enthusiastically</t>
  </si>
  <si>
    <t>entice</t>
  </si>
  <si>
    <t>enticed</t>
  </si>
  <si>
    <t>enticing</t>
  </si>
  <si>
    <t>enticingly</t>
  </si>
  <si>
    <t>entranced</t>
  </si>
  <si>
    <t>entrancing</t>
  </si>
  <si>
    <t>entrust</t>
  </si>
  <si>
    <t>enviable</t>
  </si>
  <si>
    <t>enviably</t>
  </si>
  <si>
    <t>envious</t>
  </si>
  <si>
    <t>enviously</t>
  </si>
  <si>
    <t>enviousness</t>
  </si>
  <si>
    <t>envy</t>
  </si>
  <si>
    <t>equitable</t>
  </si>
  <si>
    <t>ergonomical</t>
  </si>
  <si>
    <t>err-free</t>
  </si>
  <si>
    <t>erudite</t>
  </si>
  <si>
    <t>ethical</t>
  </si>
  <si>
    <t>eulogize</t>
  </si>
  <si>
    <t>euphoria</t>
  </si>
  <si>
    <t>euphoric</t>
  </si>
  <si>
    <t>euphorically</t>
  </si>
  <si>
    <t>evaluative</t>
  </si>
  <si>
    <t>evenly</t>
  </si>
  <si>
    <t>eventful</t>
  </si>
  <si>
    <t>everlasting</t>
  </si>
  <si>
    <t>evocative</t>
  </si>
  <si>
    <t>exalt</t>
  </si>
  <si>
    <t>exaltation</t>
  </si>
  <si>
    <t>exalted</t>
  </si>
  <si>
    <t>exaltedly</t>
  </si>
  <si>
    <t>exalting</t>
  </si>
  <si>
    <t>exaltingly</t>
  </si>
  <si>
    <t>examplar</t>
  </si>
  <si>
    <t>examplary</t>
  </si>
  <si>
    <t>excallent</t>
  </si>
  <si>
    <t>exceed</t>
  </si>
  <si>
    <t>exceeded</t>
  </si>
  <si>
    <t>exceeding</t>
  </si>
  <si>
    <t>exceedingly</t>
  </si>
  <si>
    <t>exceeds</t>
  </si>
  <si>
    <t>excel</t>
  </si>
  <si>
    <t>exceled</t>
  </si>
  <si>
    <t>excelent</t>
  </si>
  <si>
    <t>excellant</t>
  </si>
  <si>
    <t>excelled</t>
  </si>
  <si>
    <t>excellency</t>
  </si>
  <si>
    <t>excellent</t>
  </si>
  <si>
    <t>excellently</t>
  </si>
  <si>
    <t>excels</t>
  </si>
  <si>
    <t>exceptional</t>
  </si>
  <si>
    <t>exceptionally</t>
  </si>
  <si>
    <t>excite</t>
  </si>
  <si>
    <t>excitedly</t>
  </si>
  <si>
    <t>excitedness</t>
  </si>
  <si>
    <t>excitement</t>
  </si>
  <si>
    <t>excites</t>
  </si>
  <si>
    <t>exciting</t>
  </si>
  <si>
    <t>excitingly</t>
  </si>
  <si>
    <t>exellent</t>
  </si>
  <si>
    <t>exemplar</t>
  </si>
  <si>
    <t>exemplary</t>
  </si>
  <si>
    <t>exhilarate</t>
  </si>
  <si>
    <t>exhilarating</t>
  </si>
  <si>
    <t>exhilaratingly</t>
  </si>
  <si>
    <t>exhilaration</t>
  </si>
  <si>
    <t>exonerate</t>
  </si>
  <si>
    <t>expansive</t>
  </si>
  <si>
    <t>expeditiously</t>
  </si>
  <si>
    <t>expertly</t>
  </si>
  <si>
    <t>exquisite</t>
  </si>
  <si>
    <t>exquisitely</t>
  </si>
  <si>
    <t>extol</t>
  </si>
  <si>
    <t>extoll</t>
  </si>
  <si>
    <t>extraordinarily</t>
  </si>
  <si>
    <t>extraordinary</t>
  </si>
  <si>
    <t>exuberance</t>
  </si>
  <si>
    <t>exuberant</t>
  </si>
  <si>
    <t>exuberantly</t>
  </si>
  <si>
    <t>exult</t>
  </si>
  <si>
    <t>exultant</t>
  </si>
  <si>
    <t>exultation</t>
  </si>
  <si>
    <t>exultingly</t>
  </si>
  <si>
    <t>eye-catch</t>
  </si>
  <si>
    <t>eye-catching</t>
  </si>
  <si>
    <t>eyecatch</t>
  </si>
  <si>
    <t>eyecatching</t>
  </si>
  <si>
    <t>fabulous</t>
  </si>
  <si>
    <t>fabulously</t>
  </si>
  <si>
    <t>facilitate</t>
  </si>
  <si>
    <t>fair</t>
  </si>
  <si>
    <t>fairly</t>
  </si>
  <si>
    <t>fairness</t>
  </si>
  <si>
    <t>faith</t>
  </si>
  <si>
    <t>faithful</t>
  </si>
  <si>
    <t>faithfully</t>
  </si>
  <si>
    <t>faithfulness</t>
  </si>
  <si>
    <t>fame</t>
  </si>
  <si>
    <t>famed</t>
  </si>
  <si>
    <t>famous</t>
  </si>
  <si>
    <t>famously</t>
  </si>
  <si>
    <t>fancier</t>
  </si>
  <si>
    <t>fancinating</t>
  </si>
  <si>
    <t>fancy</t>
  </si>
  <si>
    <t>fanfare</t>
  </si>
  <si>
    <t>fans</t>
  </si>
  <si>
    <t>fantastic</t>
  </si>
  <si>
    <t>fantastically</t>
  </si>
  <si>
    <t>fascinate</t>
  </si>
  <si>
    <t>fascinating</t>
  </si>
  <si>
    <t>fascinatingly</t>
  </si>
  <si>
    <t>fascination</t>
  </si>
  <si>
    <t>fashionable</t>
  </si>
  <si>
    <t>fashionably</t>
  </si>
  <si>
    <t>fast</t>
  </si>
  <si>
    <t>fast-growing</t>
  </si>
  <si>
    <t>fast-paced</t>
  </si>
  <si>
    <t>faster</t>
  </si>
  <si>
    <t>fastest</t>
  </si>
  <si>
    <t>fastest-growing</t>
  </si>
  <si>
    <t>faultless</t>
  </si>
  <si>
    <t>fav</t>
  </si>
  <si>
    <t>fave</t>
  </si>
  <si>
    <t>favor</t>
  </si>
  <si>
    <t>favorable</t>
  </si>
  <si>
    <t>favored</t>
  </si>
  <si>
    <t>favorite</t>
  </si>
  <si>
    <t>favorited</t>
  </si>
  <si>
    <t>favour</t>
  </si>
  <si>
    <t>fearless</t>
  </si>
  <si>
    <t>fearlessly</t>
  </si>
  <si>
    <t>feasible</t>
  </si>
  <si>
    <t>feasibly</t>
  </si>
  <si>
    <t>feat</t>
  </si>
  <si>
    <t>feature-rich</t>
  </si>
  <si>
    <t>fecilitous</t>
  </si>
  <si>
    <t>feisty</t>
  </si>
  <si>
    <t>felicitate</t>
  </si>
  <si>
    <t>felicitous</t>
  </si>
  <si>
    <t>felicity</t>
  </si>
  <si>
    <t>fertile</t>
  </si>
  <si>
    <t>fervent</t>
  </si>
  <si>
    <t>fervently</t>
  </si>
  <si>
    <t>fervid</t>
  </si>
  <si>
    <t>fervidly</t>
  </si>
  <si>
    <t>fervor</t>
  </si>
  <si>
    <t>festive</t>
  </si>
  <si>
    <t>fidelity</t>
  </si>
  <si>
    <t>fiery</t>
  </si>
  <si>
    <t>fine</t>
  </si>
  <si>
    <t>fine-looking</t>
  </si>
  <si>
    <t>finely</t>
  </si>
  <si>
    <t>finer</t>
  </si>
  <si>
    <t>finest</t>
  </si>
  <si>
    <t>firmer</t>
  </si>
  <si>
    <t>first-class</t>
  </si>
  <si>
    <t>first-in-class</t>
  </si>
  <si>
    <t>first-rate</t>
  </si>
  <si>
    <t>flashy</t>
  </si>
  <si>
    <t>flatter</t>
  </si>
  <si>
    <t>flattering</t>
  </si>
  <si>
    <t>flatteringly</t>
  </si>
  <si>
    <t>flawless</t>
  </si>
  <si>
    <t>flawlessly</t>
  </si>
  <si>
    <t>flexibility</t>
  </si>
  <si>
    <t>flexible</t>
  </si>
  <si>
    <t>flourish</t>
  </si>
  <si>
    <t>flourishing</t>
  </si>
  <si>
    <t>fluent</t>
  </si>
  <si>
    <t>flutter</t>
  </si>
  <si>
    <t>fond</t>
  </si>
  <si>
    <t>fondly</t>
  </si>
  <si>
    <t>fondness</t>
  </si>
  <si>
    <t>foolproof</t>
  </si>
  <si>
    <t>foremost</t>
  </si>
  <si>
    <t>foresight</t>
  </si>
  <si>
    <t>formidable</t>
  </si>
  <si>
    <t>fortitude</t>
  </si>
  <si>
    <t>fortuitous</t>
  </si>
  <si>
    <t>fortuitously</t>
  </si>
  <si>
    <t>fortunate</t>
  </si>
  <si>
    <t>fortunately</t>
  </si>
  <si>
    <t>fortune</t>
  </si>
  <si>
    <t>fragrant</t>
  </si>
  <si>
    <t>freed</t>
  </si>
  <si>
    <t>freedom</t>
  </si>
  <si>
    <t>freedoms</t>
  </si>
  <si>
    <t>fresh</t>
  </si>
  <si>
    <t>fresher</t>
  </si>
  <si>
    <t>freshest</t>
  </si>
  <si>
    <t>friendliness</t>
  </si>
  <si>
    <t>friendly</t>
  </si>
  <si>
    <t>frolic</t>
  </si>
  <si>
    <t>frugal</t>
  </si>
  <si>
    <t>fruitful</t>
  </si>
  <si>
    <t>ftw</t>
  </si>
  <si>
    <t>fulfillment</t>
  </si>
  <si>
    <t>fun</t>
  </si>
  <si>
    <t>futurestic</t>
  </si>
  <si>
    <t>futuristic</t>
  </si>
  <si>
    <t>gaiety</t>
  </si>
  <si>
    <t>gaily</t>
  </si>
  <si>
    <t>gain</t>
  </si>
  <si>
    <t>gained</t>
  </si>
  <si>
    <t>gainful</t>
  </si>
  <si>
    <t>gainfully</t>
  </si>
  <si>
    <t>gaining</t>
  </si>
  <si>
    <t>gains</t>
  </si>
  <si>
    <t>gallant</t>
  </si>
  <si>
    <t>gallantly</t>
  </si>
  <si>
    <t>galore</t>
  </si>
  <si>
    <t>geekier</t>
  </si>
  <si>
    <t>geeky</t>
  </si>
  <si>
    <t>gem</t>
  </si>
  <si>
    <t>gems</t>
  </si>
  <si>
    <t>generosity</t>
  </si>
  <si>
    <t>generous</t>
  </si>
  <si>
    <t>generously</t>
  </si>
  <si>
    <t>genial</t>
  </si>
  <si>
    <t>genius</t>
  </si>
  <si>
    <t>gentle</t>
  </si>
  <si>
    <t>gentlest</t>
  </si>
  <si>
    <t>genuine</t>
  </si>
  <si>
    <t>gifted</t>
  </si>
  <si>
    <t>glad</t>
  </si>
  <si>
    <t>gladden</t>
  </si>
  <si>
    <t>gladly</t>
  </si>
  <si>
    <t>gladness</t>
  </si>
  <si>
    <t>glamorous</t>
  </si>
  <si>
    <t>glee</t>
  </si>
  <si>
    <t>gleeful</t>
  </si>
  <si>
    <t>gleefully</t>
  </si>
  <si>
    <t>glimmer</t>
  </si>
  <si>
    <t>glimmering</t>
  </si>
  <si>
    <t>glisten</t>
  </si>
  <si>
    <t>glistening</t>
  </si>
  <si>
    <t>glitter</t>
  </si>
  <si>
    <t>glitz</t>
  </si>
  <si>
    <t>glorify</t>
  </si>
  <si>
    <t>glorious</t>
  </si>
  <si>
    <t>gloriously</t>
  </si>
  <si>
    <t>glory</t>
  </si>
  <si>
    <t>glow</t>
  </si>
  <si>
    <t>glowing</t>
  </si>
  <si>
    <t>glowingly</t>
  </si>
  <si>
    <t>god-given</t>
  </si>
  <si>
    <t>god-send</t>
  </si>
  <si>
    <t>godlike</t>
  </si>
  <si>
    <t>godsend</t>
  </si>
  <si>
    <t>gold</t>
  </si>
  <si>
    <t>golden</t>
  </si>
  <si>
    <t>goodly</t>
  </si>
  <si>
    <t>goodness</t>
  </si>
  <si>
    <t>goodwill</t>
  </si>
  <si>
    <t>goood</t>
  </si>
  <si>
    <t>gooood</t>
  </si>
  <si>
    <t>gorgeous</t>
  </si>
  <si>
    <t>gorgeously</t>
  </si>
  <si>
    <t>grace</t>
  </si>
  <si>
    <t>graceful</t>
  </si>
  <si>
    <t>gracefully</t>
  </si>
  <si>
    <t>gracious</t>
  </si>
  <si>
    <t>graciously</t>
  </si>
  <si>
    <t>graciousness</t>
  </si>
  <si>
    <t>grandeur</t>
  </si>
  <si>
    <t>grateful</t>
  </si>
  <si>
    <t>gratefully</t>
  </si>
  <si>
    <t>gratified</t>
  </si>
  <si>
    <t>gratifies</t>
  </si>
  <si>
    <t>gratify</t>
  </si>
  <si>
    <t>gratifying</t>
  </si>
  <si>
    <t>gratifyingly</t>
  </si>
  <si>
    <t>greatest</t>
  </si>
  <si>
    <t>greatness</t>
  </si>
  <si>
    <t>grin</t>
  </si>
  <si>
    <t>groundbreaking</t>
  </si>
  <si>
    <t>guarantee</t>
  </si>
  <si>
    <t>guidance</t>
  </si>
  <si>
    <t>guiltless</t>
  </si>
  <si>
    <t>gumption</t>
  </si>
  <si>
    <t>gush</t>
  </si>
  <si>
    <t>gusto</t>
  </si>
  <si>
    <t>gutsy</t>
  </si>
  <si>
    <t>hail</t>
  </si>
  <si>
    <t>halcyon</t>
  </si>
  <si>
    <t>hale</t>
  </si>
  <si>
    <t>hallmark</t>
  </si>
  <si>
    <t>hallmarks</t>
  </si>
  <si>
    <t>hallowed</t>
  </si>
  <si>
    <t>handier</t>
  </si>
  <si>
    <t>handily</t>
  </si>
  <si>
    <t>hands-down</t>
  </si>
  <si>
    <t>handsome</t>
  </si>
  <si>
    <t>handsomely</t>
  </si>
  <si>
    <t>handy</t>
  </si>
  <si>
    <t>happier</t>
  </si>
  <si>
    <t>happily</t>
  </si>
  <si>
    <t>happiness</t>
  </si>
  <si>
    <t>hard-working</t>
  </si>
  <si>
    <t>hardier</t>
  </si>
  <si>
    <t>hardy</t>
  </si>
  <si>
    <t>harmless</t>
  </si>
  <si>
    <t>harmonious</t>
  </si>
  <si>
    <t>harmoniously</t>
  </si>
  <si>
    <t>harmonize</t>
  </si>
  <si>
    <t>harmony</t>
  </si>
  <si>
    <t>headway</t>
  </si>
  <si>
    <t>heal</t>
  </si>
  <si>
    <t>healthful</t>
  </si>
  <si>
    <t>healthy</t>
  </si>
  <si>
    <t>hearten</t>
  </si>
  <si>
    <t>heartening</t>
  </si>
  <si>
    <t>heartfelt</t>
  </si>
  <si>
    <t>heartily</t>
  </si>
  <si>
    <t>heartwarming</t>
  </si>
  <si>
    <t>heaven</t>
  </si>
  <si>
    <t>heavenly</t>
  </si>
  <si>
    <t>helped</t>
  </si>
  <si>
    <t>helpful</t>
  </si>
  <si>
    <t>helping</t>
  </si>
  <si>
    <t>hero</t>
  </si>
  <si>
    <t>heroic</t>
  </si>
  <si>
    <t>heroically</t>
  </si>
  <si>
    <t>heroine</t>
  </si>
  <si>
    <t>heroize</t>
  </si>
  <si>
    <t>heros</t>
  </si>
  <si>
    <t>high-quality</t>
  </si>
  <si>
    <t>high-spirited</t>
  </si>
  <si>
    <t>hilarious</t>
  </si>
  <si>
    <t>holy</t>
  </si>
  <si>
    <t>homage</t>
  </si>
  <si>
    <t>honest</t>
  </si>
  <si>
    <t>honesty</t>
  </si>
  <si>
    <t>honorable</t>
  </si>
  <si>
    <t>honoring</t>
  </si>
  <si>
    <t>hooray</t>
  </si>
  <si>
    <t>hopeful</t>
  </si>
  <si>
    <t>hospitable</t>
  </si>
  <si>
    <t>hotcake</t>
  </si>
  <si>
    <t>hotcakes</t>
  </si>
  <si>
    <t>hottest</t>
  </si>
  <si>
    <t>hug</t>
  </si>
  <si>
    <t>humane</t>
  </si>
  <si>
    <t>humble</t>
  </si>
  <si>
    <t>humility</t>
  </si>
  <si>
    <t>humor</t>
  </si>
  <si>
    <t>humorous</t>
  </si>
  <si>
    <t>humorously</t>
  </si>
  <si>
    <t>humour</t>
  </si>
  <si>
    <t>humourous</t>
  </si>
  <si>
    <t>ideal</t>
  </si>
  <si>
    <t>idealize</t>
  </si>
  <si>
    <t>ideally</t>
  </si>
  <si>
    <t>idol</t>
  </si>
  <si>
    <t>idolize</t>
  </si>
  <si>
    <t>idolized</t>
  </si>
  <si>
    <t>idyllic</t>
  </si>
  <si>
    <t>illuminate</t>
  </si>
  <si>
    <t>illuminati</t>
  </si>
  <si>
    <t>illuminating</t>
  </si>
  <si>
    <t>illumine</t>
  </si>
  <si>
    <t>illustrious</t>
  </si>
  <si>
    <t>ilu</t>
  </si>
  <si>
    <t>imaculate</t>
  </si>
  <si>
    <t>imaginative</t>
  </si>
  <si>
    <t>immaculate</t>
  </si>
  <si>
    <t>immaculately</t>
  </si>
  <si>
    <t>immense</t>
  </si>
  <si>
    <t>impartial</t>
  </si>
  <si>
    <t>impartiality</t>
  </si>
  <si>
    <t>impartially</t>
  </si>
  <si>
    <t>impassioned</t>
  </si>
  <si>
    <t>impeccable</t>
  </si>
  <si>
    <t>impeccably</t>
  </si>
  <si>
    <t>important</t>
  </si>
  <si>
    <t>impress</t>
  </si>
  <si>
    <t>impressed</t>
  </si>
  <si>
    <t>impresses</t>
  </si>
  <si>
    <t>impressive</t>
  </si>
  <si>
    <t>impressively</t>
  </si>
  <si>
    <t>impressiveness</t>
  </si>
  <si>
    <t>improve</t>
  </si>
  <si>
    <t>improved</t>
  </si>
  <si>
    <t>improvement</t>
  </si>
  <si>
    <t>improvements</t>
  </si>
  <si>
    <t>improves</t>
  </si>
  <si>
    <t>improving</t>
  </si>
  <si>
    <t>incredibly</t>
  </si>
  <si>
    <t>indebted</t>
  </si>
  <si>
    <t>individualized</t>
  </si>
  <si>
    <t>indulgence</t>
  </si>
  <si>
    <t>indulgent</t>
  </si>
  <si>
    <t>industrious</t>
  </si>
  <si>
    <t>inestimable</t>
  </si>
  <si>
    <t>inestimably</t>
  </si>
  <si>
    <t>inexpensive</t>
  </si>
  <si>
    <t>infallibility</t>
  </si>
  <si>
    <t>infallible</t>
  </si>
  <si>
    <t>infallibly</t>
  </si>
  <si>
    <t>influential</t>
  </si>
  <si>
    <t>ingenious</t>
  </si>
  <si>
    <t>ingeniously</t>
  </si>
  <si>
    <t>ingenuity</t>
  </si>
  <si>
    <t>ingenuous</t>
  </si>
  <si>
    <t>ingenuously</t>
  </si>
  <si>
    <t>innocuous</t>
  </si>
  <si>
    <t>innovation</t>
  </si>
  <si>
    <t>innovative</t>
  </si>
  <si>
    <t>inpressed</t>
  </si>
  <si>
    <t>insightful</t>
  </si>
  <si>
    <t>insightfully</t>
  </si>
  <si>
    <t>inspiration</t>
  </si>
  <si>
    <t>inspirational</t>
  </si>
  <si>
    <t>inspire</t>
  </si>
  <si>
    <t>inspiring</t>
  </si>
  <si>
    <t>instantly</t>
  </si>
  <si>
    <t>instructive</t>
  </si>
  <si>
    <t>instrumental</t>
  </si>
  <si>
    <t>integral</t>
  </si>
  <si>
    <t>intelligence</t>
  </si>
  <si>
    <t>intelligent</t>
  </si>
  <si>
    <t>intelligible</t>
  </si>
  <si>
    <t>interesting</t>
  </si>
  <si>
    <t>interests</t>
  </si>
  <si>
    <t>intimacy</t>
  </si>
  <si>
    <t>intimate</t>
  </si>
  <si>
    <t>intricate</t>
  </si>
  <si>
    <t>intrigue</t>
  </si>
  <si>
    <t>intriguing</t>
  </si>
  <si>
    <t>intriguingly</t>
  </si>
  <si>
    <t>intuitive</t>
  </si>
  <si>
    <t>invaluable</t>
  </si>
  <si>
    <t>invaluablely</t>
  </si>
  <si>
    <t>inventive</t>
  </si>
  <si>
    <t>invigorate</t>
  </si>
  <si>
    <t>invigorating</t>
  </si>
  <si>
    <t>invincibility</t>
  </si>
  <si>
    <t>invincible</t>
  </si>
  <si>
    <t>inviolable</t>
  </si>
  <si>
    <t>inviolate</t>
  </si>
  <si>
    <t>invulnerable</t>
  </si>
  <si>
    <t>irreplaceable</t>
  </si>
  <si>
    <t>irreproachable</t>
  </si>
  <si>
    <t>irresistible</t>
  </si>
  <si>
    <t>irresistibly</t>
  </si>
  <si>
    <t>issue-free</t>
  </si>
  <si>
    <t>jaw-droping</t>
  </si>
  <si>
    <t>jaw-dropping</t>
  </si>
  <si>
    <t>jollify</t>
  </si>
  <si>
    <t>jolly</t>
  </si>
  <si>
    <t>jovial</t>
  </si>
  <si>
    <t>joy</t>
  </si>
  <si>
    <t>joyful</t>
  </si>
  <si>
    <t>joyfully</t>
  </si>
  <si>
    <t>joyous</t>
  </si>
  <si>
    <t>joyously</t>
  </si>
  <si>
    <t>jubilant</t>
  </si>
  <si>
    <t>jubilantly</t>
  </si>
  <si>
    <t>jubilate</t>
  </si>
  <si>
    <t>jubilation</t>
  </si>
  <si>
    <t>jubiliant</t>
  </si>
  <si>
    <t>judicious</t>
  </si>
  <si>
    <t>justly</t>
  </si>
  <si>
    <t>keen</t>
  </si>
  <si>
    <t>keenly</t>
  </si>
  <si>
    <t>keenness</t>
  </si>
  <si>
    <t>kid-friendly</t>
  </si>
  <si>
    <t>kindliness</t>
  </si>
  <si>
    <t>kindly</t>
  </si>
  <si>
    <t>kindness</t>
  </si>
  <si>
    <t>knowledgeable</t>
  </si>
  <si>
    <t>kudos</t>
  </si>
  <si>
    <t>large-capacity</t>
  </si>
  <si>
    <t>laud</t>
  </si>
  <si>
    <t>laudable</t>
  </si>
  <si>
    <t>laudably</t>
  </si>
  <si>
    <t>lavish</t>
  </si>
  <si>
    <t>lavishly</t>
  </si>
  <si>
    <t>law-abiding</t>
  </si>
  <si>
    <t>lawful</t>
  </si>
  <si>
    <t>lawfully</t>
  </si>
  <si>
    <t>lead</t>
  </si>
  <si>
    <t>leading</t>
  </si>
  <si>
    <t>leads</t>
  </si>
  <si>
    <t>lean</t>
  </si>
  <si>
    <t>led</t>
  </si>
  <si>
    <t>legendary</t>
  </si>
  <si>
    <t>levity</t>
  </si>
  <si>
    <t>liberate</t>
  </si>
  <si>
    <t>liberation</t>
  </si>
  <si>
    <t>liberty</t>
  </si>
  <si>
    <t>lifesaver</t>
  </si>
  <si>
    <t>light-hearted</t>
  </si>
  <si>
    <t>lighter</t>
  </si>
  <si>
    <t>likable</t>
  </si>
  <si>
    <t>liked</t>
  </si>
  <si>
    <t>likes</t>
  </si>
  <si>
    <t>liking</t>
  </si>
  <si>
    <t>lionhearted</t>
  </si>
  <si>
    <t>lively</t>
  </si>
  <si>
    <t>logical</t>
  </si>
  <si>
    <t>long-lasting</t>
  </si>
  <si>
    <t>lovable</t>
  </si>
  <si>
    <t>lovably</t>
  </si>
  <si>
    <t>love</t>
  </si>
  <si>
    <t>loved</t>
  </si>
  <si>
    <t>loveliness</t>
  </si>
  <si>
    <t>lovely</t>
  </si>
  <si>
    <t>lover</t>
  </si>
  <si>
    <t>loves</t>
  </si>
  <si>
    <t>loving</t>
  </si>
  <si>
    <t>low-cost</t>
  </si>
  <si>
    <t>low-price</t>
  </si>
  <si>
    <t>low-priced</t>
  </si>
  <si>
    <t>low-risk</t>
  </si>
  <si>
    <t>lower-priced</t>
  </si>
  <si>
    <t>loyal</t>
  </si>
  <si>
    <t>loyalty</t>
  </si>
  <si>
    <t>lucid</t>
  </si>
  <si>
    <t>lucidly</t>
  </si>
  <si>
    <t>luck</t>
  </si>
  <si>
    <t>luckier</t>
  </si>
  <si>
    <t>luckiest</t>
  </si>
  <si>
    <t>luckiness</t>
  </si>
  <si>
    <t>lucky</t>
  </si>
  <si>
    <t>lucrative</t>
  </si>
  <si>
    <t>luminous</t>
  </si>
  <si>
    <t>lush</t>
  </si>
  <si>
    <t>luster</t>
  </si>
  <si>
    <t>lustrous</t>
  </si>
  <si>
    <t>luxuriant</t>
  </si>
  <si>
    <t>luxuriate</t>
  </si>
  <si>
    <t>luxurious</t>
  </si>
  <si>
    <t>luxuriously</t>
  </si>
  <si>
    <t>luxury</t>
  </si>
  <si>
    <t>lyrical</t>
  </si>
  <si>
    <t>magic</t>
  </si>
  <si>
    <t>magical</t>
  </si>
  <si>
    <t>magnanimous</t>
  </si>
  <si>
    <t>magnanimously</t>
  </si>
  <si>
    <t>magnificence</t>
  </si>
  <si>
    <t>magnificent</t>
  </si>
  <si>
    <t>magnificently</t>
  </si>
  <si>
    <t>majestic</t>
  </si>
  <si>
    <t>majesty</t>
  </si>
  <si>
    <t>manageable</t>
  </si>
  <si>
    <t>maneuverable</t>
  </si>
  <si>
    <t>marvel</t>
  </si>
  <si>
    <t>marveled</t>
  </si>
  <si>
    <t>marvelled</t>
  </si>
  <si>
    <t>marvellous</t>
  </si>
  <si>
    <t>marvelous</t>
  </si>
  <si>
    <t>marvelously</t>
  </si>
  <si>
    <t>marvelousness</t>
  </si>
  <si>
    <t>marvels</t>
  </si>
  <si>
    <t>master</t>
  </si>
  <si>
    <t>masterful</t>
  </si>
  <si>
    <t>masterfully</t>
  </si>
  <si>
    <t>masterpiece</t>
  </si>
  <si>
    <t>masterpieces</t>
  </si>
  <si>
    <t>masters</t>
  </si>
  <si>
    <t>mastery</t>
  </si>
  <si>
    <t>matchless</t>
  </si>
  <si>
    <t>mature</t>
  </si>
  <si>
    <t>maturely</t>
  </si>
  <si>
    <t>maturity</t>
  </si>
  <si>
    <t>meaningful</t>
  </si>
  <si>
    <t>memorable</t>
  </si>
  <si>
    <t>merciful</t>
  </si>
  <si>
    <t>mercifully</t>
  </si>
  <si>
    <t>mercy</t>
  </si>
  <si>
    <t>merit</t>
  </si>
  <si>
    <t>meritorious</t>
  </si>
  <si>
    <t>merrily</t>
  </si>
  <si>
    <t>merriment</t>
  </si>
  <si>
    <t>merriness</t>
  </si>
  <si>
    <t>merry</t>
  </si>
  <si>
    <t>mesmerize</t>
  </si>
  <si>
    <t>mesmerized</t>
  </si>
  <si>
    <t>mesmerizes</t>
  </si>
  <si>
    <t>mesmerizing</t>
  </si>
  <si>
    <t>mesmerizingly</t>
  </si>
  <si>
    <t>meticulous</t>
  </si>
  <si>
    <t>meticulously</t>
  </si>
  <si>
    <t>mightily</t>
  </si>
  <si>
    <t>mighty</t>
  </si>
  <si>
    <t>mind-blowing</t>
  </si>
  <si>
    <t>miracle</t>
  </si>
  <si>
    <t>miracles</t>
  </si>
  <si>
    <t>miraculous</t>
  </si>
  <si>
    <t>miraculously</t>
  </si>
  <si>
    <t>miraculousness</t>
  </si>
  <si>
    <t>modern</t>
  </si>
  <si>
    <t>modest</t>
  </si>
  <si>
    <t>modesty</t>
  </si>
  <si>
    <t>momentous</t>
  </si>
  <si>
    <t>monumental</t>
  </si>
  <si>
    <t>monumentally</t>
  </si>
  <si>
    <t>morality</t>
  </si>
  <si>
    <t>motivated</t>
  </si>
  <si>
    <t>multi-purpose</t>
  </si>
  <si>
    <t>navigable</t>
  </si>
  <si>
    <t>neat</t>
  </si>
  <si>
    <t>neatest</t>
  </si>
  <si>
    <t>neatly</t>
  </si>
  <si>
    <t>nice</t>
  </si>
  <si>
    <t>nicely</t>
  </si>
  <si>
    <t>nicer</t>
  </si>
  <si>
    <t>nicest</t>
  </si>
  <si>
    <t>nifty</t>
  </si>
  <si>
    <t>nimble</t>
  </si>
  <si>
    <t>noble</t>
  </si>
  <si>
    <t>nobly</t>
  </si>
  <si>
    <t>noiseless</t>
  </si>
  <si>
    <t>non-violence</t>
  </si>
  <si>
    <t>non-violent</t>
  </si>
  <si>
    <t>notably</t>
  </si>
  <si>
    <t>noteworthy</t>
  </si>
  <si>
    <t>nourish</t>
  </si>
  <si>
    <t>nourishing</t>
  </si>
  <si>
    <t>nourishment</t>
  </si>
  <si>
    <t>novelty</t>
  </si>
  <si>
    <t>nurturing</t>
  </si>
  <si>
    <t>oasis</t>
  </si>
  <si>
    <t>obsession</t>
  </si>
  <si>
    <t>obsessions</t>
  </si>
  <si>
    <t>obtainable</t>
  </si>
  <si>
    <t>openly</t>
  </si>
  <si>
    <t>openness</t>
  </si>
  <si>
    <t>optimal</t>
  </si>
  <si>
    <t>optimism</t>
  </si>
  <si>
    <t>optimistic</t>
  </si>
  <si>
    <t>opulent</t>
  </si>
  <si>
    <t>orderly</t>
  </si>
  <si>
    <t>originality</t>
  </si>
  <si>
    <t>outdo</t>
  </si>
  <si>
    <t>outdone</t>
  </si>
  <si>
    <t>outperform</t>
  </si>
  <si>
    <t>outperformed</t>
  </si>
  <si>
    <t>outperforming</t>
  </si>
  <si>
    <t>outperforms</t>
  </si>
  <si>
    <t>outshine</t>
  </si>
  <si>
    <t>outshone</t>
  </si>
  <si>
    <t>outsmart</t>
  </si>
  <si>
    <t>outstandingly</t>
  </si>
  <si>
    <t>outstrip</t>
  </si>
  <si>
    <t>outwit</t>
  </si>
  <si>
    <t>ovation</t>
  </si>
  <si>
    <t>overjoyed</t>
  </si>
  <si>
    <t>overtake</t>
  </si>
  <si>
    <t>overtaken</t>
  </si>
  <si>
    <t>overtakes</t>
  </si>
  <si>
    <t>overtaking</t>
  </si>
  <si>
    <t>overtook</t>
  </si>
  <si>
    <t>overture</t>
  </si>
  <si>
    <t>pain-free</t>
  </si>
  <si>
    <t>painless</t>
  </si>
  <si>
    <t>painlessly</t>
  </si>
  <si>
    <t>palatial</t>
  </si>
  <si>
    <t>pamper</t>
  </si>
  <si>
    <t>pampered</t>
  </si>
  <si>
    <t>pamperedly</t>
  </si>
  <si>
    <t>pamperedness</t>
  </si>
  <si>
    <t>pampers</t>
  </si>
  <si>
    <t>panoramic</t>
  </si>
  <si>
    <t>paradise</t>
  </si>
  <si>
    <t>paramount</t>
  </si>
  <si>
    <t>pardon</t>
  </si>
  <si>
    <t>passion</t>
  </si>
  <si>
    <t>passionate</t>
  </si>
  <si>
    <t>passionately</t>
  </si>
  <si>
    <t>patience</t>
  </si>
  <si>
    <t>patient</t>
  </si>
  <si>
    <t>patiently</t>
  </si>
  <si>
    <t>patriot</t>
  </si>
  <si>
    <t>patriotic</t>
  </si>
  <si>
    <t>peace</t>
  </si>
  <si>
    <t>peaceable</t>
  </si>
  <si>
    <t>peaceful</t>
  </si>
  <si>
    <t>peacefully</t>
  </si>
  <si>
    <t>peacekeepers</t>
  </si>
  <si>
    <t>peach</t>
  </si>
  <si>
    <t>peerless</t>
  </si>
  <si>
    <t>pep</t>
  </si>
  <si>
    <t>pepped</t>
  </si>
  <si>
    <t>pepping</t>
  </si>
  <si>
    <t>peppy</t>
  </si>
  <si>
    <t>peps</t>
  </si>
  <si>
    <t>perfect</t>
  </si>
  <si>
    <t>perfection</t>
  </si>
  <si>
    <t>perfectly</t>
  </si>
  <si>
    <t>permissible</t>
  </si>
  <si>
    <t>perseverance</t>
  </si>
  <si>
    <t>persevere</t>
  </si>
  <si>
    <t>personages</t>
  </si>
  <si>
    <t>personalized</t>
  </si>
  <si>
    <t>phenomenal</t>
  </si>
  <si>
    <t>phenomenally</t>
  </si>
  <si>
    <t>picturesque</t>
  </si>
  <si>
    <t>piety</t>
  </si>
  <si>
    <t>pinnacle</t>
  </si>
  <si>
    <t>playful</t>
  </si>
  <si>
    <t>playfully</t>
  </si>
  <si>
    <t>pleasant</t>
  </si>
  <si>
    <t>pleasantly</t>
  </si>
  <si>
    <t>pleased</t>
  </si>
  <si>
    <t>pleases</t>
  </si>
  <si>
    <t>pleasing</t>
  </si>
  <si>
    <t>pleasingly</t>
  </si>
  <si>
    <t>pleasurable</t>
  </si>
  <si>
    <t>pleasurably</t>
  </si>
  <si>
    <t>pleasure</t>
  </si>
  <si>
    <t>plentiful</t>
  </si>
  <si>
    <t>pluses</t>
  </si>
  <si>
    <t>plush</t>
  </si>
  <si>
    <t>plusses</t>
  </si>
  <si>
    <t>poetic</t>
  </si>
  <si>
    <t>poeticize</t>
  </si>
  <si>
    <t>poignant</t>
  </si>
  <si>
    <t>poise</t>
  </si>
  <si>
    <t>poised</t>
  </si>
  <si>
    <t>polished</t>
  </si>
  <si>
    <t>polite</t>
  </si>
  <si>
    <t>politeness</t>
  </si>
  <si>
    <t>popular</t>
  </si>
  <si>
    <t>portable</t>
  </si>
  <si>
    <t>posh</t>
  </si>
  <si>
    <t>positive</t>
  </si>
  <si>
    <t>positively</t>
  </si>
  <si>
    <t>positives</t>
  </si>
  <si>
    <t>powerful</t>
  </si>
  <si>
    <t>powerfully</t>
  </si>
  <si>
    <t>praise</t>
  </si>
  <si>
    <t>praiseworthy</t>
  </si>
  <si>
    <t>praising</t>
  </si>
  <si>
    <t>pre-eminent</t>
  </si>
  <si>
    <t>precious</t>
  </si>
  <si>
    <t>precise</t>
  </si>
  <si>
    <t>precisely</t>
  </si>
  <si>
    <t>preeminent</t>
  </si>
  <si>
    <t>prefer</t>
  </si>
  <si>
    <t>preferable</t>
  </si>
  <si>
    <t>preferably</t>
  </si>
  <si>
    <t>prefered</t>
  </si>
  <si>
    <t>preferes</t>
  </si>
  <si>
    <t>preferring</t>
  </si>
  <si>
    <t>prefers</t>
  </si>
  <si>
    <t>premier</t>
  </si>
  <si>
    <t>prestige</t>
  </si>
  <si>
    <t>prestigious</t>
  </si>
  <si>
    <t>prettily</t>
  </si>
  <si>
    <t>pretty</t>
  </si>
  <si>
    <t>priceless</t>
  </si>
  <si>
    <t>pride</t>
  </si>
  <si>
    <t>principled</t>
  </si>
  <si>
    <t>privilege</t>
  </si>
  <si>
    <t>privileged</t>
  </si>
  <si>
    <t>proactive</t>
  </si>
  <si>
    <t>problem-free</t>
  </si>
  <si>
    <t>problem-solver</t>
  </si>
  <si>
    <t>prodigious</t>
  </si>
  <si>
    <t>prodigiously</t>
  </si>
  <si>
    <t>prodigy</t>
  </si>
  <si>
    <t>productively</t>
  </si>
  <si>
    <t>proficient</t>
  </si>
  <si>
    <t>proficiently</t>
  </si>
  <si>
    <t>profound</t>
  </si>
  <si>
    <t>profoundly</t>
  </si>
  <si>
    <t>profuse</t>
  </si>
  <si>
    <t>profusion</t>
  </si>
  <si>
    <t>progressive</t>
  </si>
  <si>
    <t>prolific</t>
  </si>
  <si>
    <t>prominence</t>
  </si>
  <si>
    <t>prominent</t>
  </si>
  <si>
    <t>promise</t>
  </si>
  <si>
    <t>promised</t>
  </si>
  <si>
    <t>promises</t>
  </si>
  <si>
    <t>promising</t>
  </si>
  <si>
    <t>promoter</t>
  </si>
  <si>
    <t>prompt</t>
  </si>
  <si>
    <t>promptly</t>
  </si>
  <si>
    <t>proper</t>
  </si>
  <si>
    <t>properly</t>
  </si>
  <si>
    <t>propitious</t>
  </si>
  <si>
    <t>propitiously</t>
  </si>
  <si>
    <t>pros</t>
  </si>
  <si>
    <t>prosper</t>
  </si>
  <si>
    <t>prosperity</t>
  </si>
  <si>
    <t>prosperous</t>
  </si>
  <si>
    <t>prospros</t>
  </si>
  <si>
    <t>protect</t>
  </si>
  <si>
    <t>protection</t>
  </si>
  <si>
    <t>protective</t>
  </si>
  <si>
    <t>proud</t>
  </si>
  <si>
    <t>proven</t>
  </si>
  <si>
    <t>proves</t>
  </si>
  <si>
    <t>providence</t>
  </si>
  <si>
    <t>proving</t>
  </si>
  <si>
    <t>prowess</t>
  </si>
  <si>
    <t>prudence</t>
  </si>
  <si>
    <t>prudent</t>
  </si>
  <si>
    <t>prudently</t>
  </si>
  <si>
    <t>punctual</t>
  </si>
  <si>
    <t>pure</t>
  </si>
  <si>
    <t>purify</t>
  </si>
  <si>
    <t>purposeful</t>
  </si>
  <si>
    <t>quaint</t>
  </si>
  <si>
    <t>qualified</t>
  </si>
  <si>
    <t>qualify</t>
  </si>
  <si>
    <t>quicker</t>
  </si>
  <si>
    <t>quiet</t>
  </si>
  <si>
    <t>quieter</t>
  </si>
  <si>
    <t>radiance</t>
  </si>
  <si>
    <t>radiant</t>
  </si>
  <si>
    <t>rapid</t>
  </si>
  <si>
    <t>rapport</t>
  </si>
  <si>
    <t>rapt</t>
  </si>
  <si>
    <t>rapture</t>
  </si>
  <si>
    <t>raptureous</t>
  </si>
  <si>
    <t>raptureously</t>
  </si>
  <si>
    <t>rapturous</t>
  </si>
  <si>
    <t>rapturously</t>
  </si>
  <si>
    <t>rational</t>
  </si>
  <si>
    <t>razor-sharp</t>
  </si>
  <si>
    <t>reachable</t>
  </si>
  <si>
    <t>readable</t>
  </si>
  <si>
    <t>readily</t>
  </si>
  <si>
    <t>ready</t>
  </si>
  <si>
    <t>reaffirm</t>
  </si>
  <si>
    <t>reaffirmation</t>
  </si>
  <si>
    <t>realistic</t>
  </si>
  <si>
    <t>realizable</t>
  </si>
  <si>
    <t>reasonable</t>
  </si>
  <si>
    <t>reasonably</t>
  </si>
  <si>
    <t>reasoned</t>
  </si>
  <si>
    <t>reassurance</t>
  </si>
  <si>
    <t>reassure</t>
  </si>
  <si>
    <t>receptive</t>
  </si>
  <si>
    <t>reclaim</t>
  </si>
  <si>
    <t>recomend</t>
  </si>
  <si>
    <t>recommend</t>
  </si>
  <si>
    <t>recommendation</t>
  </si>
  <si>
    <t>recommendations</t>
  </si>
  <si>
    <t>recommended</t>
  </si>
  <si>
    <t>reconcile</t>
  </si>
  <si>
    <t>reconciliation</t>
  </si>
  <si>
    <t>record-setting</t>
  </si>
  <si>
    <t>recover</t>
  </si>
  <si>
    <t>recovery</t>
  </si>
  <si>
    <t>rectification</t>
  </si>
  <si>
    <t>rectify</t>
  </si>
  <si>
    <t>rectifying</t>
  </si>
  <si>
    <t>redeem</t>
  </si>
  <si>
    <t>redeeming</t>
  </si>
  <si>
    <t>redemption</t>
  </si>
  <si>
    <t>refine</t>
  </si>
  <si>
    <t>refined</t>
  </si>
  <si>
    <t>refinement</t>
  </si>
  <si>
    <t>reform</t>
  </si>
  <si>
    <t>reformed</t>
  </si>
  <si>
    <t>reforming</t>
  </si>
  <si>
    <t>reforms</t>
  </si>
  <si>
    <t>refresh</t>
  </si>
  <si>
    <t>refreshed</t>
  </si>
  <si>
    <t>refreshing</t>
  </si>
  <si>
    <t>refund</t>
  </si>
  <si>
    <t>refunded</t>
  </si>
  <si>
    <t>regal</t>
  </si>
  <si>
    <t>regally</t>
  </si>
  <si>
    <t>regard</t>
  </si>
  <si>
    <t>rejoice</t>
  </si>
  <si>
    <t>rejoicing</t>
  </si>
  <si>
    <t>rejoicingly</t>
  </si>
  <si>
    <t>rejuvenate</t>
  </si>
  <si>
    <t>rejuvenated</t>
  </si>
  <si>
    <t>rejuvenating</t>
  </si>
  <si>
    <t>relaxed</t>
  </si>
  <si>
    <t>relent</t>
  </si>
  <si>
    <t>reliable</t>
  </si>
  <si>
    <t>reliably</t>
  </si>
  <si>
    <t>relief</t>
  </si>
  <si>
    <t>relish</t>
  </si>
  <si>
    <t>remarkable</t>
  </si>
  <si>
    <t>remarkably</t>
  </si>
  <si>
    <t>remedy</t>
  </si>
  <si>
    <t>remission</t>
  </si>
  <si>
    <t>remunerate</t>
  </si>
  <si>
    <t>renaissance</t>
  </si>
  <si>
    <t>renewed</t>
  </si>
  <si>
    <t>renown</t>
  </si>
  <si>
    <t>renowned</t>
  </si>
  <si>
    <t>replaceable</t>
  </si>
  <si>
    <t>reputable</t>
  </si>
  <si>
    <t>reputation</t>
  </si>
  <si>
    <t>resilient</t>
  </si>
  <si>
    <t>resolute</t>
  </si>
  <si>
    <t>resound</t>
  </si>
  <si>
    <t>resounding</t>
  </si>
  <si>
    <t>resourceful</t>
  </si>
  <si>
    <t>resourcefulness</t>
  </si>
  <si>
    <t>respect</t>
  </si>
  <si>
    <t>respectable</t>
  </si>
  <si>
    <t>respectful</t>
  </si>
  <si>
    <t>respectfully</t>
  </si>
  <si>
    <t>respite</t>
  </si>
  <si>
    <t>resplendent</t>
  </si>
  <si>
    <t>responsibly</t>
  </si>
  <si>
    <t>responsive</t>
  </si>
  <si>
    <t>restful</t>
  </si>
  <si>
    <t>restored</t>
  </si>
  <si>
    <t>restructure</t>
  </si>
  <si>
    <t>restructured</t>
  </si>
  <si>
    <t>restructuring</t>
  </si>
  <si>
    <t>retractable</t>
  </si>
  <si>
    <t>revel</t>
  </si>
  <si>
    <t>revelation</t>
  </si>
  <si>
    <t>revere</t>
  </si>
  <si>
    <t>reverence</t>
  </si>
  <si>
    <t>reverent</t>
  </si>
  <si>
    <t>reverently</t>
  </si>
  <si>
    <t>revitalize</t>
  </si>
  <si>
    <t>revival</t>
  </si>
  <si>
    <t>revive</t>
  </si>
  <si>
    <t>revives</t>
  </si>
  <si>
    <t>revolutionary</t>
  </si>
  <si>
    <t>revolutionize</t>
  </si>
  <si>
    <t>revolutionized</t>
  </si>
  <si>
    <t>revolutionizes</t>
  </si>
  <si>
    <t>reward</t>
  </si>
  <si>
    <t>rewarding</t>
  </si>
  <si>
    <t>rewardingly</t>
  </si>
  <si>
    <t>rich</t>
  </si>
  <si>
    <t>richer</t>
  </si>
  <si>
    <t>richly</t>
  </si>
  <si>
    <t>richness</t>
  </si>
  <si>
    <t>righten</t>
  </si>
  <si>
    <t>righteous</t>
  </si>
  <si>
    <t>righteously</t>
  </si>
  <si>
    <t>righteousness</t>
  </si>
  <si>
    <t>rightful</t>
  </si>
  <si>
    <t>rightfully</t>
  </si>
  <si>
    <t>rightly</t>
  </si>
  <si>
    <t>rightness</t>
  </si>
  <si>
    <t>risk-free</t>
  </si>
  <si>
    <t>robust</t>
  </si>
  <si>
    <t>rock-star</t>
  </si>
  <si>
    <t>rock-stars</t>
  </si>
  <si>
    <t>rockstar</t>
  </si>
  <si>
    <t>rockstars</t>
  </si>
  <si>
    <t>romantic</t>
  </si>
  <si>
    <t>romantically</t>
  </si>
  <si>
    <t>romanticize</t>
  </si>
  <si>
    <t>roomier</t>
  </si>
  <si>
    <t>roomy</t>
  </si>
  <si>
    <t>rosy</t>
  </si>
  <si>
    <t>safe</t>
  </si>
  <si>
    <t>safely</t>
  </si>
  <si>
    <t>sagacity</t>
  </si>
  <si>
    <t>sagely</t>
  </si>
  <si>
    <t>saint</t>
  </si>
  <si>
    <t>saintliness</t>
  </si>
  <si>
    <t>saintly</t>
  </si>
  <si>
    <t>salutary</t>
  </si>
  <si>
    <t>salute</t>
  </si>
  <si>
    <t>sane</t>
  </si>
  <si>
    <t>satisfactorily</t>
  </si>
  <si>
    <t>satisfactory</t>
  </si>
  <si>
    <t>satisfied</t>
  </si>
  <si>
    <t>satisfies</t>
  </si>
  <si>
    <t>satisfy</t>
  </si>
  <si>
    <t>satisfying</t>
  </si>
  <si>
    <t>satisified</t>
  </si>
  <si>
    <t>saver</t>
  </si>
  <si>
    <t>savings</t>
  </si>
  <si>
    <t>savior</t>
  </si>
  <si>
    <t>savvy</t>
  </si>
  <si>
    <t>scenic</t>
  </si>
  <si>
    <t>seamless</t>
  </si>
  <si>
    <t>seasoned</t>
  </si>
  <si>
    <t>secure</t>
  </si>
  <si>
    <t>securely</t>
  </si>
  <si>
    <t>selective</t>
  </si>
  <si>
    <t>self-determination</t>
  </si>
  <si>
    <t>self-respect</t>
  </si>
  <si>
    <t>self-satisfaction</t>
  </si>
  <si>
    <t>self-sufficiency</t>
  </si>
  <si>
    <t>self-sufficient</t>
  </si>
  <si>
    <t>sensation</t>
  </si>
  <si>
    <t>sensational</t>
  </si>
  <si>
    <t>sensationally</t>
  </si>
  <si>
    <t>sensations</t>
  </si>
  <si>
    <t>sensible</t>
  </si>
  <si>
    <t>sensibly</t>
  </si>
  <si>
    <t>sensitive</t>
  </si>
  <si>
    <t>serene</t>
  </si>
  <si>
    <t>serenity</t>
  </si>
  <si>
    <t>sexy</t>
  </si>
  <si>
    <t>sharp</t>
  </si>
  <si>
    <t>sharper</t>
  </si>
  <si>
    <t>sharpest</t>
  </si>
  <si>
    <t>shimmering</t>
  </si>
  <si>
    <t>shimmeringly</t>
  </si>
  <si>
    <t>shine</t>
  </si>
  <si>
    <t>shiny</t>
  </si>
  <si>
    <t>significant</t>
  </si>
  <si>
    <t>silent</t>
  </si>
  <si>
    <t>simpler</t>
  </si>
  <si>
    <t>simplest</t>
  </si>
  <si>
    <t>simplified</t>
  </si>
  <si>
    <t>simplifies</t>
  </si>
  <si>
    <t>simplify</t>
  </si>
  <si>
    <t>simplifying</t>
  </si>
  <si>
    <t>sincere</t>
  </si>
  <si>
    <t>sincerely</t>
  </si>
  <si>
    <t>sincerity</t>
  </si>
  <si>
    <t>skill</t>
  </si>
  <si>
    <t>skilled</t>
  </si>
  <si>
    <t>skillful</t>
  </si>
  <si>
    <t>skillfully</t>
  </si>
  <si>
    <t>slammin</t>
  </si>
  <si>
    <t>sleek</t>
  </si>
  <si>
    <t>slick</t>
  </si>
  <si>
    <t>smart</t>
  </si>
  <si>
    <t>smarter</t>
  </si>
  <si>
    <t>smartest</t>
  </si>
  <si>
    <t>smartly</t>
  </si>
  <si>
    <t>smile</t>
  </si>
  <si>
    <t>smiles</t>
  </si>
  <si>
    <t>smiling</t>
  </si>
  <si>
    <t>smilingly</t>
  </si>
  <si>
    <t>smitten</t>
  </si>
  <si>
    <t>smooth</t>
  </si>
  <si>
    <t>smoother</t>
  </si>
  <si>
    <t>smoothes</t>
  </si>
  <si>
    <t>smoothest</t>
  </si>
  <si>
    <t>smoothly</t>
  </si>
  <si>
    <t>snappy</t>
  </si>
  <si>
    <t>snazzy</t>
  </si>
  <si>
    <t>sociable</t>
  </si>
  <si>
    <t>soft</t>
  </si>
  <si>
    <t>softer</t>
  </si>
  <si>
    <t>solace</t>
  </si>
  <si>
    <t>solicitous</t>
  </si>
  <si>
    <t>solicitously</t>
  </si>
  <si>
    <t>solid</t>
  </si>
  <si>
    <t>solidarity</t>
  </si>
  <si>
    <t>soothe</t>
  </si>
  <si>
    <t>soothingly</t>
  </si>
  <si>
    <t>sophisticated</t>
  </si>
  <si>
    <t>soulful</t>
  </si>
  <si>
    <t>soundly</t>
  </si>
  <si>
    <t>soundness</t>
  </si>
  <si>
    <t>spacious</t>
  </si>
  <si>
    <t>sparkle</t>
  </si>
  <si>
    <t>sparkling</t>
  </si>
  <si>
    <t>spectacular</t>
  </si>
  <si>
    <t>spectacularly</t>
  </si>
  <si>
    <t>speedily</t>
  </si>
  <si>
    <t>speedy</t>
  </si>
  <si>
    <t>spellbind</t>
  </si>
  <si>
    <t>spellbinding</t>
  </si>
  <si>
    <t>spellbindingly</t>
  </si>
  <si>
    <t>spellbound</t>
  </si>
  <si>
    <t>spirited</t>
  </si>
  <si>
    <t>spiritual</t>
  </si>
  <si>
    <t>splendid</t>
  </si>
  <si>
    <t>splendidly</t>
  </si>
  <si>
    <t>splendor</t>
  </si>
  <si>
    <t>spontaneous</t>
  </si>
  <si>
    <t>sporty</t>
  </si>
  <si>
    <t>spotless</t>
  </si>
  <si>
    <t>sprightly</t>
  </si>
  <si>
    <t>stability</t>
  </si>
  <si>
    <t>stabilize</t>
  </si>
  <si>
    <t>stable</t>
  </si>
  <si>
    <t>stainless</t>
  </si>
  <si>
    <t>standout</t>
  </si>
  <si>
    <t>state-of-the-art</t>
  </si>
  <si>
    <t>stately</t>
  </si>
  <si>
    <t>statuesque</t>
  </si>
  <si>
    <t>staunch</t>
  </si>
  <si>
    <t>staunchly</t>
  </si>
  <si>
    <t>staunchness</t>
  </si>
  <si>
    <t>steadfast</t>
  </si>
  <si>
    <t>steadfastly</t>
  </si>
  <si>
    <t>steadfastness</t>
  </si>
  <si>
    <t>steadiest</t>
  </si>
  <si>
    <t>steadiness</t>
  </si>
  <si>
    <t>steady</t>
  </si>
  <si>
    <t>stellar</t>
  </si>
  <si>
    <t>stellarly</t>
  </si>
  <si>
    <t>stimulate</t>
  </si>
  <si>
    <t>stimulates</t>
  </si>
  <si>
    <t>stimulating</t>
  </si>
  <si>
    <t>stimulative</t>
  </si>
  <si>
    <t>stirringly</t>
  </si>
  <si>
    <t>straighten</t>
  </si>
  <si>
    <t>straightforward</t>
  </si>
  <si>
    <t>streamlined</t>
  </si>
  <si>
    <t>striking</t>
  </si>
  <si>
    <t>strikingly</t>
  </si>
  <si>
    <t>striving</t>
  </si>
  <si>
    <t>strong</t>
  </si>
  <si>
    <t>stronger</t>
  </si>
  <si>
    <t>strongest</t>
  </si>
  <si>
    <t>stunned</t>
  </si>
  <si>
    <t>stunning</t>
  </si>
  <si>
    <t>stunningly</t>
  </si>
  <si>
    <t>stupendous</t>
  </si>
  <si>
    <t>stupendously</t>
  </si>
  <si>
    <t>sturdier</t>
  </si>
  <si>
    <t>sturdy</t>
  </si>
  <si>
    <t>stylish</t>
  </si>
  <si>
    <t>stylishly</t>
  </si>
  <si>
    <t>stylized</t>
  </si>
  <si>
    <t>suave</t>
  </si>
  <si>
    <t>suavely</t>
  </si>
  <si>
    <t>sublime</t>
  </si>
  <si>
    <t>subsidize</t>
  </si>
  <si>
    <t>subsidized</t>
  </si>
  <si>
    <t>subsidizes</t>
  </si>
  <si>
    <t>subsidizing</t>
  </si>
  <si>
    <t>substantive</t>
  </si>
  <si>
    <t>succeed</t>
  </si>
  <si>
    <t>succeeded</t>
  </si>
  <si>
    <t>succeeding</t>
  </si>
  <si>
    <t>succeeds</t>
  </si>
  <si>
    <t>succes</t>
  </si>
  <si>
    <t>success</t>
  </si>
  <si>
    <t>successes</t>
  </si>
  <si>
    <t>successful</t>
  </si>
  <si>
    <t>successfully</t>
  </si>
  <si>
    <t>suffice</t>
  </si>
  <si>
    <t>sufficed</t>
  </si>
  <si>
    <t>suffices</t>
  </si>
  <si>
    <t>sufficient</t>
  </si>
  <si>
    <t>sufficiently</t>
  </si>
  <si>
    <t>suitable</t>
  </si>
  <si>
    <t>sumptuous</t>
  </si>
  <si>
    <t>sumptuously</t>
  </si>
  <si>
    <t>sumptuousness</t>
  </si>
  <si>
    <t>super</t>
  </si>
  <si>
    <t>superb</t>
  </si>
  <si>
    <t>superbly</t>
  </si>
  <si>
    <t>superior</t>
  </si>
  <si>
    <t>superiority</t>
  </si>
  <si>
    <t>supple</t>
  </si>
  <si>
    <t>supported</t>
  </si>
  <si>
    <t>supporter</t>
  </si>
  <si>
    <t>supporting</t>
  </si>
  <si>
    <t>supportive</t>
  </si>
  <si>
    <t>supports</t>
  </si>
  <si>
    <t>supremacy</t>
  </si>
  <si>
    <t>supreme</t>
  </si>
  <si>
    <t>supremely</t>
  </si>
  <si>
    <t>supurb</t>
  </si>
  <si>
    <t>supurbly</t>
  </si>
  <si>
    <t>surmount</t>
  </si>
  <si>
    <t>surpass</t>
  </si>
  <si>
    <t>surreal</t>
  </si>
  <si>
    <t>survival</t>
  </si>
  <si>
    <t>survivor</t>
  </si>
  <si>
    <t>sustainability</t>
  </si>
  <si>
    <t>sustainable</t>
  </si>
  <si>
    <t>swank</t>
  </si>
  <si>
    <t>swankier</t>
  </si>
  <si>
    <t>swankiest</t>
  </si>
  <si>
    <t>swanky</t>
  </si>
  <si>
    <t>sweeping</t>
  </si>
  <si>
    <t>sweet</t>
  </si>
  <si>
    <t>sweeten</t>
  </si>
  <si>
    <t>sweetheart</t>
  </si>
  <si>
    <t>sweetly</t>
  </si>
  <si>
    <t>sweetness</t>
  </si>
  <si>
    <t>swift</t>
  </si>
  <si>
    <t>swiftness</t>
  </si>
  <si>
    <t>talent</t>
  </si>
  <si>
    <t>talented</t>
  </si>
  <si>
    <t>talents</t>
  </si>
  <si>
    <t>tantalize</t>
  </si>
  <si>
    <t>tantalizing</t>
  </si>
  <si>
    <t>tantalizingly</t>
  </si>
  <si>
    <t>tempt</t>
  </si>
  <si>
    <t>tempting</t>
  </si>
  <si>
    <t>temptingly</t>
  </si>
  <si>
    <t>tenacious</t>
  </si>
  <si>
    <t>tenaciously</t>
  </si>
  <si>
    <t>tenacity</t>
  </si>
  <si>
    <t>tender</t>
  </si>
  <si>
    <t>tenderly</t>
  </si>
  <si>
    <t>terrific</t>
  </si>
  <si>
    <t>terrifically</t>
  </si>
  <si>
    <t>thankful</t>
  </si>
  <si>
    <t>thinner</t>
  </si>
  <si>
    <t>thoughtful</t>
  </si>
  <si>
    <t>thoughtfully</t>
  </si>
  <si>
    <t>thoughtfulness</t>
  </si>
  <si>
    <t>thrift</t>
  </si>
  <si>
    <t>thrifty</t>
  </si>
  <si>
    <t>thrill</t>
  </si>
  <si>
    <t>thrilled</t>
  </si>
  <si>
    <t>thrilling</t>
  </si>
  <si>
    <t>thrillingly</t>
  </si>
  <si>
    <t>thrills</t>
  </si>
  <si>
    <t>thrive</t>
  </si>
  <si>
    <t>thriving</t>
  </si>
  <si>
    <t>thumb-up</t>
  </si>
  <si>
    <t>thumbs-up</t>
  </si>
  <si>
    <t>tickle</t>
  </si>
  <si>
    <t>tidy</t>
  </si>
  <si>
    <t>time-honored</t>
  </si>
  <si>
    <t>timely</t>
  </si>
  <si>
    <t>tingle</t>
  </si>
  <si>
    <t>titillate</t>
  </si>
  <si>
    <t>titillating</t>
  </si>
  <si>
    <t>titillatingly</t>
  </si>
  <si>
    <t>togetherness</t>
  </si>
  <si>
    <t>tolerable</t>
  </si>
  <si>
    <t>toll-free</t>
  </si>
  <si>
    <t>top-notch</t>
  </si>
  <si>
    <t>top-quality</t>
  </si>
  <si>
    <t>topnotch</t>
  </si>
  <si>
    <t>tops</t>
  </si>
  <si>
    <t>tough</t>
  </si>
  <si>
    <t>tougher</t>
  </si>
  <si>
    <t>toughest</t>
  </si>
  <si>
    <t>traction</t>
  </si>
  <si>
    <t>tranquil</t>
  </si>
  <si>
    <t>tranquility</t>
  </si>
  <si>
    <t>transparent</t>
  </si>
  <si>
    <t>treasure</t>
  </si>
  <si>
    <t>tremendously</t>
  </si>
  <si>
    <t>trendy</t>
  </si>
  <si>
    <t>triumph</t>
  </si>
  <si>
    <t>triumphal</t>
  </si>
  <si>
    <t>triumphant</t>
  </si>
  <si>
    <t>triumphantly</t>
  </si>
  <si>
    <t>trivially</t>
  </si>
  <si>
    <t>trophy</t>
  </si>
  <si>
    <t>trouble-free</t>
  </si>
  <si>
    <t>trumpet</t>
  </si>
  <si>
    <t>trusted</t>
  </si>
  <si>
    <t>trusting</t>
  </si>
  <si>
    <t>trustingly</t>
  </si>
  <si>
    <t>trustworthiness</t>
  </si>
  <si>
    <t>trustworthy</t>
  </si>
  <si>
    <t>trusty</t>
  </si>
  <si>
    <t>truthful</t>
  </si>
  <si>
    <t>truthfully</t>
  </si>
  <si>
    <t>truthfulness</t>
  </si>
  <si>
    <t>twinkly</t>
  </si>
  <si>
    <t>ultra-crisp</t>
  </si>
  <si>
    <t>unabashed</t>
  </si>
  <si>
    <t>unabashedly</t>
  </si>
  <si>
    <t>unaffected</t>
  </si>
  <si>
    <t>unassailable</t>
  </si>
  <si>
    <t>unbeatable</t>
  </si>
  <si>
    <t>unbiased</t>
  </si>
  <si>
    <t>unbound</t>
  </si>
  <si>
    <t>uncomplicated</t>
  </si>
  <si>
    <t>unconditional</t>
  </si>
  <si>
    <t>undamaged</t>
  </si>
  <si>
    <t>undaunted</t>
  </si>
  <si>
    <t>understandable</t>
  </si>
  <si>
    <t>undisputable</t>
  </si>
  <si>
    <t>undisputably</t>
  </si>
  <si>
    <t>undisputed</t>
  </si>
  <si>
    <t>unencumbered</t>
  </si>
  <si>
    <t>unequivocal</t>
  </si>
  <si>
    <t>unequivocally</t>
  </si>
  <si>
    <t>unfazed</t>
  </si>
  <si>
    <t>unfettered</t>
  </si>
  <si>
    <t>unforgettable</t>
  </si>
  <si>
    <t>unity</t>
  </si>
  <si>
    <t>unlimited</t>
  </si>
  <si>
    <t>unmatched</t>
  </si>
  <si>
    <t>unparalleled</t>
  </si>
  <si>
    <t>unquestionable</t>
  </si>
  <si>
    <t>unquestionably</t>
  </si>
  <si>
    <t>unreal</t>
  </si>
  <si>
    <t>unrestricted</t>
  </si>
  <si>
    <t>unrivaled</t>
  </si>
  <si>
    <t>unselfish</t>
  </si>
  <si>
    <t>unwavering</t>
  </si>
  <si>
    <t>upbeat</t>
  </si>
  <si>
    <t>upgradable</t>
  </si>
  <si>
    <t>upgradeable</t>
  </si>
  <si>
    <t>upgraded</t>
  </si>
  <si>
    <t>upheld</t>
  </si>
  <si>
    <t>uphold</t>
  </si>
  <si>
    <t>uplift</t>
  </si>
  <si>
    <t>uplifting</t>
  </si>
  <si>
    <t>upliftingly</t>
  </si>
  <si>
    <t>upliftment</t>
  </si>
  <si>
    <t>upscale</t>
  </si>
  <si>
    <t>usable</t>
  </si>
  <si>
    <t>useable</t>
  </si>
  <si>
    <t>useful</t>
  </si>
  <si>
    <t>user-friendly</t>
  </si>
  <si>
    <t>user-replaceable</t>
  </si>
  <si>
    <t>valiant</t>
  </si>
  <si>
    <t>valiantly</t>
  </si>
  <si>
    <t>valor</t>
  </si>
  <si>
    <t>valuable</t>
  </si>
  <si>
    <t>variety</t>
  </si>
  <si>
    <t>venerate</t>
  </si>
  <si>
    <t>verifiable</t>
  </si>
  <si>
    <t>veritable</t>
  </si>
  <si>
    <t>versatile</t>
  </si>
  <si>
    <t>versatility</t>
  </si>
  <si>
    <t>vibrant</t>
  </si>
  <si>
    <t>vibrantly</t>
  </si>
  <si>
    <t>victorious</t>
  </si>
  <si>
    <t>victory</t>
  </si>
  <si>
    <t>viewable</t>
  </si>
  <si>
    <t>vigilance</t>
  </si>
  <si>
    <t>vigilant</t>
  </si>
  <si>
    <t>virtue</t>
  </si>
  <si>
    <t>virtuous</t>
  </si>
  <si>
    <t>virtuously</t>
  </si>
  <si>
    <t>visionary</t>
  </si>
  <si>
    <t>vivacious</t>
  </si>
  <si>
    <t>vivid</t>
  </si>
  <si>
    <t>vouch</t>
  </si>
  <si>
    <t>vouchsafe</t>
  </si>
  <si>
    <t>warm</t>
  </si>
  <si>
    <t>warmer</t>
  </si>
  <si>
    <t>warmhearted</t>
  </si>
  <si>
    <t>warmly</t>
  </si>
  <si>
    <t>warmth</t>
  </si>
  <si>
    <t>wealthy</t>
  </si>
  <si>
    <t>well</t>
  </si>
  <si>
    <t>well-backlit</t>
  </si>
  <si>
    <t>well-balanced</t>
  </si>
  <si>
    <t>well-behaved</t>
  </si>
  <si>
    <t>well-being</t>
  </si>
  <si>
    <t>well-bred</t>
  </si>
  <si>
    <t>well-connected</t>
  </si>
  <si>
    <t>well-educated</t>
  </si>
  <si>
    <t>well-established</t>
  </si>
  <si>
    <t>well-informed</t>
  </si>
  <si>
    <t>well-intentioned</t>
  </si>
  <si>
    <t>well-known</t>
  </si>
  <si>
    <t>well-made</t>
  </si>
  <si>
    <t>well-managed</t>
  </si>
  <si>
    <t>well-mannered</t>
  </si>
  <si>
    <t>well-positioned</t>
  </si>
  <si>
    <t>well-received</t>
  </si>
  <si>
    <t>well-regarded</t>
  </si>
  <si>
    <t>well-rounded</t>
  </si>
  <si>
    <t>well-run</t>
  </si>
  <si>
    <t>well-wishers</t>
  </si>
  <si>
    <t>wellbeing</t>
  </si>
  <si>
    <t>whoa</t>
  </si>
  <si>
    <t>wholeheartedly</t>
  </si>
  <si>
    <t>wholesome</t>
  </si>
  <si>
    <t>whooa</t>
  </si>
  <si>
    <t>whoooa</t>
  </si>
  <si>
    <t>wieldy</t>
  </si>
  <si>
    <t>willing</t>
  </si>
  <si>
    <t>willingly</t>
  </si>
  <si>
    <t>willingness</t>
  </si>
  <si>
    <t>win</t>
  </si>
  <si>
    <t>windfall</t>
  </si>
  <si>
    <t>winnable</t>
  </si>
  <si>
    <t>winner</t>
  </si>
  <si>
    <t>wins</t>
  </si>
  <si>
    <t>wise</t>
  </si>
  <si>
    <t>wisely</t>
  </si>
  <si>
    <t>witty</t>
  </si>
  <si>
    <t>wonder</t>
  </si>
  <si>
    <t>wonderful</t>
  </si>
  <si>
    <t>wonderfully</t>
  </si>
  <si>
    <t>wonderous</t>
  </si>
  <si>
    <t>wonderously</t>
  </si>
  <si>
    <t>wonders</t>
  </si>
  <si>
    <t>wondrous</t>
  </si>
  <si>
    <t>woo</t>
  </si>
  <si>
    <t>workable</t>
  </si>
  <si>
    <t>worked</t>
  </si>
  <si>
    <t>world-famous</t>
  </si>
  <si>
    <t>worth-while</t>
  </si>
  <si>
    <t>worthiness</t>
  </si>
  <si>
    <t>worthwhile</t>
  </si>
  <si>
    <t>worthy</t>
  </si>
  <si>
    <t>wow</t>
  </si>
  <si>
    <t>wowed</t>
  </si>
  <si>
    <t>wowing</t>
  </si>
  <si>
    <t>wows</t>
  </si>
  <si>
    <t>yay</t>
  </si>
  <si>
    <t>youthful</t>
  </si>
  <si>
    <t>zeal</t>
  </si>
  <si>
    <t>zenith</t>
  </si>
  <si>
    <t>zest</t>
  </si>
  <si>
    <t>zippy</t>
  </si>
  <si>
    <t>2-faced</t>
  </si>
  <si>
    <t>2-faces</t>
  </si>
  <si>
    <t>abnormal</t>
  </si>
  <si>
    <t>abolish</t>
  </si>
  <si>
    <t>abominable</t>
  </si>
  <si>
    <t>abominably</t>
  </si>
  <si>
    <t>abominate</t>
  </si>
  <si>
    <t>abomination</t>
  </si>
  <si>
    <t>abort</t>
  </si>
  <si>
    <t>aborted</t>
  </si>
  <si>
    <t>aborts</t>
  </si>
  <si>
    <t>abrade</t>
  </si>
  <si>
    <t>abrasive</t>
  </si>
  <si>
    <t>abrupt</t>
  </si>
  <si>
    <t>abruptly</t>
  </si>
  <si>
    <t>abscond</t>
  </si>
  <si>
    <t>absence</t>
  </si>
  <si>
    <t>absent-minded</t>
  </si>
  <si>
    <t>absentee</t>
  </si>
  <si>
    <t>absurd</t>
  </si>
  <si>
    <t>absurdity</t>
  </si>
  <si>
    <t>absurdly</t>
  </si>
  <si>
    <t>absurdness</t>
  </si>
  <si>
    <t>abuse</t>
  </si>
  <si>
    <t>abused</t>
  </si>
  <si>
    <t>abuses</t>
  </si>
  <si>
    <t>abusive</t>
  </si>
  <si>
    <t>abysmal</t>
  </si>
  <si>
    <t>abysmally</t>
  </si>
  <si>
    <t>abyss</t>
  </si>
  <si>
    <t>accidental</t>
  </si>
  <si>
    <t>accost</t>
  </si>
  <si>
    <t>accursed</t>
  </si>
  <si>
    <t>accusation</t>
  </si>
  <si>
    <t>accusations</t>
  </si>
  <si>
    <t>accuse</t>
  </si>
  <si>
    <t>accuses</t>
  </si>
  <si>
    <t>accusing</t>
  </si>
  <si>
    <t>accusingly</t>
  </si>
  <si>
    <t>acerbate</t>
  </si>
  <si>
    <t>acerbic</t>
  </si>
  <si>
    <t>acerbically</t>
  </si>
  <si>
    <t>ache</t>
  </si>
  <si>
    <t>ached</t>
  </si>
  <si>
    <t>aches</t>
  </si>
  <si>
    <t>achey</t>
  </si>
  <si>
    <t>aching</t>
  </si>
  <si>
    <t>acrid</t>
  </si>
  <si>
    <t>acridly</t>
  </si>
  <si>
    <t>acridness</t>
  </si>
  <si>
    <t>acrimonious</t>
  </si>
  <si>
    <t>acrimoniously</t>
  </si>
  <si>
    <t>acrimony</t>
  </si>
  <si>
    <t>adamant</t>
  </si>
  <si>
    <t>adamantly</t>
  </si>
  <si>
    <t>addict</t>
  </si>
  <si>
    <t>addicted</t>
  </si>
  <si>
    <t>addicting</t>
  </si>
  <si>
    <t>addicts</t>
  </si>
  <si>
    <t>admonish</t>
  </si>
  <si>
    <t>admonisher</t>
  </si>
  <si>
    <t>admonishingly</t>
  </si>
  <si>
    <t>admonishment</t>
  </si>
  <si>
    <t>admonition</t>
  </si>
  <si>
    <t>adulterate</t>
  </si>
  <si>
    <t>adulterated</t>
  </si>
  <si>
    <t>adulteration</t>
  </si>
  <si>
    <t>adulterier</t>
  </si>
  <si>
    <t>adversarial</t>
  </si>
  <si>
    <t>adversary</t>
  </si>
  <si>
    <t>adverse</t>
  </si>
  <si>
    <t>adversity</t>
  </si>
  <si>
    <t>afflict</t>
  </si>
  <si>
    <t>affliction</t>
  </si>
  <si>
    <t>afflictive</t>
  </si>
  <si>
    <t>affront</t>
  </si>
  <si>
    <t>afraid</t>
  </si>
  <si>
    <t>aggravate</t>
  </si>
  <si>
    <t>aggravating</t>
  </si>
  <si>
    <t>aggravation</t>
  </si>
  <si>
    <t>aggression</t>
  </si>
  <si>
    <t>aggressive</t>
  </si>
  <si>
    <t>aggressiveness</t>
  </si>
  <si>
    <t>aggressor</t>
  </si>
  <si>
    <t>aggrieve</t>
  </si>
  <si>
    <t>aggrieved</t>
  </si>
  <si>
    <t>aggrivation</t>
  </si>
  <si>
    <t>aghast</t>
  </si>
  <si>
    <t>agonies</t>
  </si>
  <si>
    <t>agonize</t>
  </si>
  <si>
    <t>agonizing</t>
  </si>
  <si>
    <t>agonizingly</t>
  </si>
  <si>
    <t>agony</t>
  </si>
  <si>
    <t>aground</t>
  </si>
  <si>
    <t>ail</t>
  </si>
  <si>
    <t>ailing</t>
  </si>
  <si>
    <t>ailment</t>
  </si>
  <si>
    <t>aimless</t>
  </si>
  <si>
    <t>alarm</t>
  </si>
  <si>
    <t>alarmed</t>
  </si>
  <si>
    <t>alarming</t>
  </si>
  <si>
    <t>alarmingly</t>
  </si>
  <si>
    <t>alienate</t>
  </si>
  <si>
    <t>alienated</t>
  </si>
  <si>
    <t>alienation</t>
  </si>
  <si>
    <t>allegation</t>
  </si>
  <si>
    <t>allegations</t>
  </si>
  <si>
    <t>allege</t>
  </si>
  <si>
    <t>allergic</t>
  </si>
  <si>
    <t>allergies</t>
  </si>
  <si>
    <t>allergy</t>
  </si>
  <si>
    <t>aloof</t>
  </si>
  <si>
    <t>altercation</t>
  </si>
  <si>
    <t>ambiguity</t>
  </si>
  <si>
    <t>ambiguous</t>
  </si>
  <si>
    <t>ambivalence</t>
  </si>
  <si>
    <t>ambivalent</t>
  </si>
  <si>
    <t>ambush</t>
  </si>
  <si>
    <t>amiss</t>
  </si>
  <si>
    <t>amputate</t>
  </si>
  <si>
    <t>anarchism</t>
  </si>
  <si>
    <t>anarchist</t>
  </si>
  <si>
    <t>anarchistic</t>
  </si>
  <si>
    <t>anarchy</t>
  </si>
  <si>
    <t>anemic</t>
  </si>
  <si>
    <t>anger</t>
  </si>
  <si>
    <t>angrily</t>
  </si>
  <si>
    <t>angriness</t>
  </si>
  <si>
    <t>angry</t>
  </si>
  <si>
    <t>anguish</t>
  </si>
  <si>
    <t>animosity</t>
  </si>
  <si>
    <t>annihilate</t>
  </si>
  <si>
    <t>annihilation</t>
  </si>
  <si>
    <t>annoy</t>
  </si>
  <si>
    <t>annoyance</t>
  </si>
  <si>
    <t>annoyances</t>
  </si>
  <si>
    <t>annoyed</t>
  </si>
  <si>
    <t>annoying</t>
  </si>
  <si>
    <t>annoyingly</t>
  </si>
  <si>
    <t>annoys</t>
  </si>
  <si>
    <t>anomalous</t>
  </si>
  <si>
    <t>anomaly</t>
  </si>
  <si>
    <t>antagonism</t>
  </si>
  <si>
    <t>antagonist</t>
  </si>
  <si>
    <t>antagonistic</t>
  </si>
  <si>
    <t>antagonize</t>
  </si>
  <si>
    <t>anti-</t>
  </si>
  <si>
    <t>anti-american</t>
  </si>
  <si>
    <t>anti-israeli</t>
  </si>
  <si>
    <t>anti-occupation</t>
  </si>
  <si>
    <t>anti-proliferation</t>
  </si>
  <si>
    <t>anti-semites</t>
  </si>
  <si>
    <t>anti-social</t>
  </si>
  <si>
    <t>anti-us</t>
  </si>
  <si>
    <t>anti-white</t>
  </si>
  <si>
    <t>antipathy</t>
  </si>
  <si>
    <t>antiquated</t>
  </si>
  <si>
    <t>antithetical</t>
  </si>
  <si>
    <t>anxieties</t>
  </si>
  <si>
    <t>anxiety</t>
  </si>
  <si>
    <t>anxious</t>
  </si>
  <si>
    <t>anxiously</t>
  </si>
  <si>
    <t>anxiousness</t>
  </si>
  <si>
    <t>apathetic</t>
  </si>
  <si>
    <t>apathetically</t>
  </si>
  <si>
    <t>apathy</t>
  </si>
  <si>
    <t>apocalypse</t>
  </si>
  <si>
    <t>apocalyptic</t>
  </si>
  <si>
    <t>apologist</t>
  </si>
  <si>
    <t>apologists</t>
  </si>
  <si>
    <t>appal</t>
  </si>
  <si>
    <t>appall</t>
  </si>
  <si>
    <t>appalled</t>
  </si>
  <si>
    <t>appalling</t>
  </si>
  <si>
    <t>appallingly</t>
  </si>
  <si>
    <t>apprehension</t>
  </si>
  <si>
    <t>apprehensions</t>
  </si>
  <si>
    <t>apprehensive</t>
  </si>
  <si>
    <t>apprehensively</t>
  </si>
  <si>
    <t>arbitrary</t>
  </si>
  <si>
    <t>arcane</t>
  </si>
  <si>
    <t>archaic</t>
  </si>
  <si>
    <t>arduous</t>
  </si>
  <si>
    <t>arduously</t>
  </si>
  <si>
    <t>argumentative</t>
  </si>
  <si>
    <t>arrogance</t>
  </si>
  <si>
    <t>arrogant</t>
  </si>
  <si>
    <t>arrogantly</t>
  </si>
  <si>
    <t>ashamed</t>
  </si>
  <si>
    <t>asinine</t>
  </si>
  <si>
    <t>asininely</t>
  </si>
  <si>
    <t>asinininity</t>
  </si>
  <si>
    <t>askance</t>
  </si>
  <si>
    <t>asperse</t>
  </si>
  <si>
    <t>aspersion</t>
  </si>
  <si>
    <t>aspersions</t>
  </si>
  <si>
    <t>assail</t>
  </si>
  <si>
    <t>assassin</t>
  </si>
  <si>
    <t>assassinate</t>
  </si>
  <si>
    <t>assault</t>
  </si>
  <si>
    <t>assult</t>
  </si>
  <si>
    <t>astray</t>
  </si>
  <si>
    <t>asunder</t>
  </si>
  <si>
    <t>atrocious</t>
  </si>
  <si>
    <t>atrocities</t>
  </si>
  <si>
    <t>atrocity</t>
  </si>
  <si>
    <t>atrophy</t>
  </si>
  <si>
    <t>attack</t>
  </si>
  <si>
    <t>attacks</t>
  </si>
  <si>
    <t>audacious</t>
  </si>
  <si>
    <t>audaciously</t>
  </si>
  <si>
    <t>audaciousness</t>
  </si>
  <si>
    <t>audacity</t>
  </si>
  <si>
    <t>audiciously</t>
  </si>
  <si>
    <t>austere</t>
  </si>
  <si>
    <t>authoritarian</t>
  </si>
  <si>
    <t>autocrat</t>
  </si>
  <si>
    <t>autocratic</t>
  </si>
  <si>
    <t>avalanche</t>
  </si>
  <si>
    <t>avarice</t>
  </si>
  <si>
    <t>avaricious</t>
  </si>
  <si>
    <t>avariciously</t>
  </si>
  <si>
    <t>avenge</t>
  </si>
  <si>
    <t>averse</t>
  </si>
  <si>
    <t>aversion</t>
  </si>
  <si>
    <t>aweful</t>
  </si>
  <si>
    <t>awful</t>
  </si>
  <si>
    <t>awfully</t>
  </si>
  <si>
    <t>awfulness</t>
  </si>
  <si>
    <t>awkward</t>
  </si>
  <si>
    <t>awkwardness</t>
  </si>
  <si>
    <t>ax</t>
  </si>
  <si>
    <t>babble</t>
  </si>
  <si>
    <t>back-logged</t>
  </si>
  <si>
    <t>back-wood</t>
  </si>
  <si>
    <t>back-woods</t>
  </si>
  <si>
    <t>backache</t>
  </si>
  <si>
    <t>backaches</t>
  </si>
  <si>
    <t>backaching</t>
  </si>
  <si>
    <t>backbite</t>
  </si>
  <si>
    <t>backbiting</t>
  </si>
  <si>
    <t>backward</t>
  </si>
  <si>
    <t>backwardness</t>
  </si>
  <si>
    <t>backwood</t>
  </si>
  <si>
    <t>backwoods</t>
  </si>
  <si>
    <t>bad</t>
  </si>
  <si>
    <t>badly</t>
  </si>
  <si>
    <t>baffle</t>
  </si>
  <si>
    <t>baffled</t>
  </si>
  <si>
    <t>bafflement</t>
  </si>
  <si>
    <t>baffling</t>
  </si>
  <si>
    <t>bait</t>
  </si>
  <si>
    <t>balk</t>
  </si>
  <si>
    <t>banal</t>
  </si>
  <si>
    <t>banalize</t>
  </si>
  <si>
    <t>bane</t>
  </si>
  <si>
    <t>banish</t>
  </si>
  <si>
    <t>banishment</t>
  </si>
  <si>
    <t>bankrupt</t>
  </si>
  <si>
    <t>barbarian</t>
  </si>
  <si>
    <t>barbaric</t>
  </si>
  <si>
    <t>barbarically</t>
  </si>
  <si>
    <t>barbarity</t>
  </si>
  <si>
    <t>barbarous</t>
  </si>
  <si>
    <t>barbarously</t>
  </si>
  <si>
    <t>barren</t>
  </si>
  <si>
    <t>baseless</t>
  </si>
  <si>
    <t>bash</t>
  </si>
  <si>
    <t>bashed</t>
  </si>
  <si>
    <t>bashful</t>
  </si>
  <si>
    <t>bashing</t>
  </si>
  <si>
    <t>bastard</t>
  </si>
  <si>
    <t>bastards</t>
  </si>
  <si>
    <t>battered</t>
  </si>
  <si>
    <t>battering</t>
  </si>
  <si>
    <t>batty</t>
  </si>
  <si>
    <t>bearish</t>
  </si>
  <si>
    <t>beastly</t>
  </si>
  <si>
    <t>bedlam</t>
  </si>
  <si>
    <t>bedlamite</t>
  </si>
  <si>
    <t>befoul</t>
  </si>
  <si>
    <t>beg</t>
  </si>
  <si>
    <t>beggar</t>
  </si>
  <si>
    <t>beggarly</t>
  </si>
  <si>
    <t>begging</t>
  </si>
  <si>
    <t>beguile</t>
  </si>
  <si>
    <t>belabor</t>
  </si>
  <si>
    <t>belated</t>
  </si>
  <si>
    <t>beleaguer</t>
  </si>
  <si>
    <t>belie</t>
  </si>
  <si>
    <t>belittle</t>
  </si>
  <si>
    <t>belittled</t>
  </si>
  <si>
    <t>belittling</t>
  </si>
  <si>
    <t>bellicose</t>
  </si>
  <si>
    <t>belligerence</t>
  </si>
  <si>
    <t>belligerent</t>
  </si>
  <si>
    <t>belligerently</t>
  </si>
  <si>
    <t>bemoan</t>
  </si>
  <si>
    <t>bemoaning</t>
  </si>
  <si>
    <t>bemused</t>
  </si>
  <si>
    <t>bent</t>
  </si>
  <si>
    <t>berate</t>
  </si>
  <si>
    <t>bereave</t>
  </si>
  <si>
    <t>bereavement</t>
  </si>
  <si>
    <t>bereft</t>
  </si>
  <si>
    <t>berserk</t>
  </si>
  <si>
    <t>beseech</t>
  </si>
  <si>
    <t>beset</t>
  </si>
  <si>
    <t>besiege</t>
  </si>
  <si>
    <t>besmirch</t>
  </si>
  <si>
    <t>bestial</t>
  </si>
  <si>
    <t>betray</t>
  </si>
  <si>
    <t>betrayal</t>
  </si>
  <si>
    <t>betrayals</t>
  </si>
  <si>
    <t>betrayer</t>
  </si>
  <si>
    <t>betraying</t>
  </si>
  <si>
    <t>betrays</t>
  </si>
  <si>
    <t>bewail</t>
  </si>
  <si>
    <t>beware</t>
  </si>
  <si>
    <t>bewilder</t>
  </si>
  <si>
    <t>bewildered</t>
  </si>
  <si>
    <t>bewildering</t>
  </si>
  <si>
    <t>bewilderingly</t>
  </si>
  <si>
    <t>bewilderment</t>
  </si>
  <si>
    <t>bewitch</t>
  </si>
  <si>
    <t>bias</t>
  </si>
  <si>
    <t>biased</t>
  </si>
  <si>
    <t>biases</t>
  </si>
  <si>
    <t>bicker</t>
  </si>
  <si>
    <t>bickering</t>
  </si>
  <si>
    <t>bid-rigging</t>
  </si>
  <si>
    <t>bigotries</t>
  </si>
  <si>
    <t>bigotry</t>
  </si>
  <si>
    <t>bitch</t>
  </si>
  <si>
    <t>bitchy</t>
  </si>
  <si>
    <t>biting</t>
  </si>
  <si>
    <t>bitingly</t>
  </si>
  <si>
    <t>bitter</t>
  </si>
  <si>
    <t>bitterly</t>
  </si>
  <si>
    <t>bitterness</t>
  </si>
  <si>
    <t>bizarre</t>
  </si>
  <si>
    <t>blab</t>
  </si>
  <si>
    <t>blabber</t>
  </si>
  <si>
    <t>blackmail</t>
  </si>
  <si>
    <t>blah</t>
  </si>
  <si>
    <t>blame</t>
  </si>
  <si>
    <t>blameworthy</t>
  </si>
  <si>
    <t>bland</t>
  </si>
  <si>
    <t>blandish</t>
  </si>
  <si>
    <t>blaspheme</t>
  </si>
  <si>
    <t>blasphemous</t>
  </si>
  <si>
    <t>blasphemy</t>
  </si>
  <si>
    <t>blasted</t>
  </si>
  <si>
    <t>blatant</t>
  </si>
  <si>
    <t>blatantly</t>
  </si>
  <si>
    <t>blather</t>
  </si>
  <si>
    <t>bleak</t>
  </si>
  <si>
    <t>bleakly</t>
  </si>
  <si>
    <t>bleakness</t>
  </si>
  <si>
    <t>bleed</t>
  </si>
  <si>
    <t>bleeding</t>
  </si>
  <si>
    <t>bleeds</t>
  </si>
  <si>
    <t>blemish</t>
  </si>
  <si>
    <t>blind</t>
  </si>
  <si>
    <t>blinding</t>
  </si>
  <si>
    <t>blindingly</t>
  </si>
  <si>
    <t>blindside</t>
  </si>
  <si>
    <t>blister</t>
  </si>
  <si>
    <t>blistering</t>
  </si>
  <si>
    <t>bloated</t>
  </si>
  <si>
    <t>blockage</t>
  </si>
  <si>
    <t>blockhead</t>
  </si>
  <si>
    <t>bloodshed</t>
  </si>
  <si>
    <t>bloodthirsty</t>
  </si>
  <si>
    <t>bloody</t>
  </si>
  <si>
    <t>blotchy</t>
  </si>
  <si>
    <t>blow</t>
  </si>
  <si>
    <t>blunder</t>
  </si>
  <si>
    <t>blundering</t>
  </si>
  <si>
    <t>blunders</t>
  </si>
  <si>
    <t>blunt</t>
  </si>
  <si>
    <t>blur</t>
  </si>
  <si>
    <t>bluring</t>
  </si>
  <si>
    <t>blurred</t>
  </si>
  <si>
    <t>blurring</t>
  </si>
  <si>
    <t>blurry</t>
  </si>
  <si>
    <t>blurs</t>
  </si>
  <si>
    <t>blurt</t>
  </si>
  <si>
    <t>boastful</t>
  </si>
  <si>
    <t>boggle</t>
  </si>
  <si>
    <t>bogus</t>
  </si>
  <si>
    <t>boil</t>
  </si>
  <si>
    <t>boiling</t>
  </si>
  <si>
    <t>boisterous</t>
  </si>
  <si>
    <t>bomb</t>
  </si>
  <si>
    <t>bombard</t>
  </si>
  <si>
    <t>bombardment</t>
  </si>
  <si>
    <t>bombastic</t>
  </si>
  <si>
    <t>bondage</t>
  </si>
  <si>
    <t>bonkers</t>
  </si>
  <si>
    <t>bore</t>
  </si>
  <si>
    <t>bored</t>
  </si>
  <si>
    <t>boredom</t>
  </si>
  <si>
    <t>bores</t>
  </si>
  <si>
    <t>boring</t>
  </si>
  <si>
    <t>botch</t>
  </si>
  <si>
    <t>bother</t>
  </si>
  <si>
    <t>bothered</t>
  </si>
  <si>
    <t>bothering</t>
  </si>
  <si>
    <t>bothers</t>
  </si>
  <si>
    <t>bothersome</t>
  </si>
  <si>
    <t>bowdlerize</t>
  </si>
  <si>
    <t>boycott</t>
  </si>
  <si>
    <t>braggart</t>
  </si>
  <si>
    <t>bragger</t>
  </si>
  <si>
    <t>brainless</t>
  </si>
  <si>
    <t>brainwash</t>
  </si>
  <si>
    <t>brash</t>
  </si>
  <si>
    <t>brashly</t>
  </si>
  <si>
    <t>brashness</t>
  </si>
  <si>
    <t>brat</t>
  </si>
  <si>
    <t>bravado</t>
  </si>
  <si>
    <t>brazen</t>
  </si>
  <si>
    <t>brazenly</t>
  </si>
  <si>
    <t>brazenness</t>
  </si>
  <si>
    <t>breach</t>
  </si>
  <si>
    <t>break</t>
  </si>
  <si>
    <t>break-up</t>
  </si>
  <si>
    <t>break-ups</t>
  </si>
  <si>
    <t>breakdown</t>
  </si>
  <si>
    <t>breaking</t>
  </si>
  <si>
    <t>breaks</t>
  </si>
  <si>
    <t>breakup</t>
  </si>
  <si>
    <t>breakups</t>
  </si>
  <si>
    <t>bribery</t>
  </si>
  <si>
    <t>brimstone</t>
  </si>
  <si>
    <t>bristle</t>
  </si>
  <si>
    <t>brittle</t>
  </si>
  <si>
    <t>broke</t>
  </si>
  <si>
    <t>broken</t>
  </si>
  <si>
    <t>broken-hearted</t>
  </si>
  <si>
    <t>brood</t>
  </si>
  <si>
    <t>browbeat</t>
  </si>
  <si>
    <t>bruise</t>
  </si>
  <si>
    <t>bruised</t>
  </si>
  <si>
    <t>bruises</t>
  </si>
  <si>
    <t>bruising</t>
  </si>
  <si>
    <t>brusque</t>
  </si>
  <si>
    <t>brutal</t>
  </si>
  <si>
    <t>brutalising</t>
  </si>
  <si>
    <t>brutalities</t>
  </si>
  <si>
    <t>brutalize</t>
  </si>
  <si>
    <t>brutalizing</t>
  </si>
  <si>
    <t>brutally</t>
  </si>
  <si>
    <t>brute</t>
  </si>
  <si>
    <t>brutish</t>
  </si>
  <si>
    <t>bs</t>
  </si>
  <si>
    <t>buckle</t>
  </si>
  <si>
    <t>bug</t>
  </si>
  <si>
    <t>bugging</t>
  </si>
  <si>
    <t>buggy</t>
  </si>
  <si>
    <t>bugs</t>
  </si>
  <si>
    <t>bulkier</t>
  </si>
  <si>
    <t>bulkiness</t>
  </si>
  <si>
    <t>bulky</t>
  </si>
  <si>
    <t>bulkyness</t>
  </si>
  <si>
    <t>bull****</t>
  </si>
  <si>
    <t>bull----</t>
  </si>
  <si>
    <t>bullies</t>
  </si>
  <si>
    <t>bullshit</t>
  </si>
  <si>
    <t>bullshyt</t>
  </si>
  <si>
    <t>bully</t>
  </si>
  <si>
    <t>bullying</t>
  </si>
  <si>
    <t>bullyingly</t>
  </si>
  <si>
    <t>bum</t>
  </si>
  <si>
    <t>bump</t>
  </si>
  <si>
    <t>bumped</t>
  </si>
  <si>
    <t>bumping</t>
  </si>
  <si>
    <t>bumpping</t>
  </si>
  <si>
    <t>bumps</t>
  </si>
  <si>
    <t>bumpy</t>
  </si>
  <si>
    <t>bungle</t>
  </si>
  <si>
    <t>bungler</t>
  </si>
  <si>
    <t>bungling</t>
  </si>
  <si>
    <t>bunk</t>
  </si>
  <si>
    <t>burden</t>
  </si>
  <si>
    <t>burdensome</t>
  </si>
  <si>
    <t>burdensomely</t>
  </si>
  <si>
    <t>burn</t>
  </si>
  <si>
    <t>burned</t>
  </si>
  <si>
    <t>burning</t>
  </si>
  <si>
    <t>burns</t>
  </si>
  <si>
    <t>bust</t>
  </si>
  <si>
    <t>busts</t>
  </si>
  <si>
    <t>busybody</t>
  </si>
  <si>
    <t>butcher</t>
  </si>
  <si>
    <t>butchery</t>
  </si>
  <si>
    <t>buzzing</t>
  </si>
  <si>
    <t>byzantine</t>
  </si>
  <si>
    <t>cackle</t>
  </si>
  <si>
    <t>calamities</t>
  </si>
  <si>
    <t>calamitous</t>
  </si>
  <si>
    <t>calamitously</t>
  </si>
  <si>
    <t>calamity</t>
  </si>
  <si>
    <t>callous</t>
  </si>
  <si>
    <t>calumniate</t>
  </si>
  <si>
    <t>calumniation</t>
  </si>
  <si>
    <t>calumnies</t>
  </si>
  <si>
    <t>calumnious</t>
  </si>
  <si>
    <t>calumniously</t>
  </si>
  <si>
    <t>calumny</t>
  </si>
  <si>
    <t>cancer</t>
  </si>
  <si>
    <t>cancerous</t>
  </si>
  <si>
    <t>cannibal</t>
  </si>
  <si>
    <t>cannibalize</t>
  </si>
  <si>
    <t>capitulate</t>
  </si>
  <si>
    <t>capricious</t>
  </si>
  <si>
    <t>capriciously</t>
  </si>
  <si>
    <t>capriciousness</t>
  </si>
  <si>
    <t>capsize</t>
  </si>
  <si>
    <t>careless</t>
  </si>
  <si>
    <t>carelessness</t>
  </si>
  <si>
    <t>caricature</t>
  </si>
  <si>
    <t>carnage</t>
  </si>
  <si>
    <t>carp</t>
  </si>
  <si>
    <t>cartoonish</t>
  </si>
  <si>
    <t>cash-strapped</t>
  </si>
  <si>
    <t>castigate</t>
  </si>
  <si>
    <t>castrated</t>
  </si>
  <si>
    <t>casualty</t>
  </si>
  <si>
    <t>cataclysm</t>
  </si>
  <si>
    <t>cataclysmal</t>
  </si>
  <si>
    <t>cataclysmic</t>
  </si>
  <si>
    <t>cataclysmically</t>
  </si>
  <si>
    <t>catastrophe</t>
  </si>
  <si>
    <t>catastrophes</t>
  </si>
  <si>
    <t>catastrophic</t>
  </si>
  <si>
    <t>catastrophically</t>
  </si>
  <si>
    <t>catastrophies</t>
  </si>
  <si>
    <t>caustic</t>
  </si>
  <si>
    <t>caustically</t>
  </si>
  <si>
    <t>cautionary</t>
  </si>
  <si>
    <t>cave</t>
  </si>
  <si>
    <t>censure</t>
  </si>
  <si>
    <t>chafe</t>
  </si>
  <si>
    <t>chaff</t>
  </si>
  <si>
    <t>chagrin</t>
  </si>
  <si>
    <t>challenging</t>
  </si>
  <si>
    <t>chaos</t>
  </si>
  <si>
    <t>chaotic</t>
  </si>
  <si>
    <t>chasten</t>
  </si>
  <si>
    <t>chastise</t>
  </si>
  <si>
    <t>chastisement</t>
  </si>
  <si>
    <t>chatter</t>
  </si>
  <si>
    <t>chatterbox</t>
  </si>
  <si>
    <t>cheap</t>
  </si>
  <si>
    <t>cheapen</t>
  </si>
  <si>
    <t>cheaply</t>
  </si>
  <si>
    <t>cheat</t>
  </si>
  <si>
    <t>cheated</t>
  </si>
  <si>
    <t>cheater</t>
  </si>
  <si>
    <t>cheating</t>
  </si>
  <si>
    <t>cheats</t>
  </si>
  <si>
    <t>checkered</t>
  </si>
  <si>
    <t>cheerless</t>
  </si>
  <si>
    <t>cheesy</t>
  </si>
  <si>
    <t>chide</t>
  </si>
  <si>
    <t>childish</t>
  </si>
  <si>
    <t>chill</t>
  </si>
  <si>
    <t>chilly</t>
  </si>
  <si>
    <t>chintzy</t>
  </si>
  <si>
    <t>choke</t>
  </si>
  <si>
    <t>choleric</t>
  </si>
  <si>
    <t>choppy</t>
  </si>
  <si>
    <t>chore</t>
  </si>
  <si>
    <t>chronic</t>
  </si>
  <si>
    <t>chunky</t>
  </si>
  <si>
    <t>clamor</t>
  </si>
  <si>
    <t>clamorous</t>
  </si>
  <si>
    <t>clash</t>
  </si>
  <si>
    <t>cliche</t>
  </si>
  <si>
    <t>cliched</t>
  </si>
  <si>
    <t>clique</t>
  </si>
  <si>
    <t>clog</t>
  </si>
  <si>
    <t>clogged</t>
  </si>
  <si>
    <t>clogs</t>
  </si>
  <si>
    <t>cloud</t>
  </si>
  <si>
    <t>clouding</t>
  </si>
  <si>
    <t>cloudy</t>
  </si>
  <si>
    <t>clueless</t>
  </si>
  <si>
    <t>clumsy</t>
  </si>
  <si>
    <t>clunky</t>
  </si>
  <si>
    <t>coarse</t>
  </si>
  <si>
    <t>cocky</t>
  </si>
  <si>
    <t>coerce</t>
  </si>
  <si>
    <t>coercion</t>
  </si>
  <si>
    <t>coercive</t>
  </si>
  <si>
    <t>cold</t>
  </si>
  <si>
    <t>coldly</t>
  </si>
  <si>
    <t>collapse</t>
  </si>
  <si>
    <t>collude</t>
  </si>
  <si>
    <t>collusion</t>
  </si>
  <si>
    <t>combative</t>
  </si>
  <si>
    <t>combust</t>
  </si>
  <si>
    <t>comical</t>
  </si>
  <si>
    <t>commiserate</t>
  </si>
  <si>
    <t>commonplace</t>
  </si>
  <si>
    <t>commotion</t>
  </si>
  <si>
    <t>commotions</t>
  </si>
  <si>
    <t>complacent</t>
  </si>
  <si>
    <t>complain</t>
  </si>
  <si>
    <t>complained</t>
  </si>
  <si>
    <t>complaining</t>
  </si>
  <si>
    <t>complains</t>
  </si>
  <si>
    <t>complaint</t>
  </si>
  <si>
    <t>complaints</t>
  </si>
  <si>
    <t>complex</t>
  </si>
  <si>
    <t>complicated</t>
  </si>
  <si>
    <t>complication</t>
  </si>
  <si>
    <t>complicit</t>
  </si>
  <si>
    <t>compulsion</t>
  </si>
  <si>
    <t>compulsive</t>
  </si>
  <si>
    <t>concede</t>
  </si>
  <si>
    <t>conceded</t>
  </si>
  <si>
    <t>conceit</t>
  </si>
  <si>
    <t>conceited</t>
  </si>
  <si>
    <t>concen</t>
  </si>
  <si>
    <t>concens</t>
  </si>
  <si>
    <t>concern</t>
  </si>
  <si>
    <t>concerned</t>
  </si>
  <si>
    <t>concerns</t>
  </si>
  <si>
    <t>concession</t>
  </si>
  <si>
    <t>concessions</t>
  </si>
  <si>
    <t>condemn</t>
  </si>
  <si>
    <t>condemnable</t>
  </si>
  <si>
    <t>condemnation</t>
  </si>
  <si>
    <t>condemned</t>
  </si>
  <si>
    <t>condemns</t>
  </si>
  <si>
    <t>condescend</t>
  </si>
  <si>
    <t>condescending</t>
  </si>
  <si>
    <t>condescendingly</t>
  </si>
  <si>
    <t>condescension</t>
  </si>
  <si>
    <t>confess</t>
  </si>
  <si>
    <t>confession</t>
  </si>
  <si>
    <t>confessions</t>
  </si>
  <si>
    <t>confined</t>
  </si>
  <si>
    <t>conflict</t>
  </si>
  <si>
    <t>conflicted</t>
  </si>
  <si>
    <t>conflicting</t>
  </si>
  <si>
    <t>confound</t>
  </si>
  <si>
    <t>confounded</t>
  </si>
  <si>
    <t>confounding</t>
  </si>
  <si>
    <t>confront</t>
  </si>
  <si>
    <t>confrontation</t>
  </si>
  <si>
    <t>confrontational</t>
  </si>
  <si>
    <t>confuse</t>
  </si>
  <si>
    <t>confused</t>
  </si>
  <si>
    <t>confuses</t>
  </si>
  <si>
    <t>confusing</t>
  </si>
  <si>
    <t>confusion</t>
  </si>
  <si>
    <t>confusions</t>
  </si>
  <si>
    <t>congested</t>
  </si>
  <si>
    <t>congestion</t>
  </si>
  <si>
    <t>cons</t>
  </si>
  <si>
    <t>conscons</t>
  </si>
  <si>
    <t>conservative</t>
  </si>
  <si>
    <t>conspicuous</t>
  </si>
  <si>
    <t>conspicuously</t>
  </si>
  <si>
    <t>conspiracies</t>
  </si>
  <si>
    <t>conspiracy</t>
  </si>
  <si>
    <t>conspirator</t>
  </si>
  <si>
    <t>conspiratorial</t>
  </si>
  <si>
    <t>conspire</t>
  </si>
  <si>
    <t>consternation</t>
  </si>
  <si>
    <t>contagious</t>
  </si>
  <si>
    <t>contaminate</t>
  </si>
  <si>
    <t>contaminated</t>
  </si>
  <si>
    <t>contaminates</t>
  </si>
  <si>
    <t>contaminating</t>
  </si>
  <si>
    <t>contamination</t>
  </si>
  <si>
    <t>contempt</t>
  </si>
  <si>
    <t>contemptible</t>
  </si>
  <si>
    <t>contemptuous</t>
  </si>
  <si>
    <t>contemptuously</t>
  </si>
  <si>
    <t>contend</t>
  </si>
  <si>
    <t>contention</t>
  </si>
  <si>
    <t>contentious</t>
  </si>
  <si>
    <t>contort</t>
  </si>
  <si>
    <t>contortions</t>
  </si>
  <si>
    <t>contradict</t>
  </si>
  <si>
    <t>contradiction</t>
  </si>
  <si>
    <t>contradictory</t>
  </si>
  <si>
    <t>contrariness</t>
  </si>
  <si>
    <t>contravene</t>
  </si>
  <si>
    <t>contrive</t>
  </si>
  <si>
    <t>contrived</t>
  </si>
  <si>
    <t>controversial</t>
  </si>
  <si>
    <t>controversy</t>
  </si>
  <si>
    <t>convoluted</t>
  </si>
  <si>
    <t>corrode</t>
  </si>
  <si>
    <t>corrosion</t>
  </si>
  <si>
    <t>corrosions</t>
  </si>
  <si>
    <t>corrosive</t>
  </si>
  <si>
    <t>corrupt</t>
  </si>
  <si>
    <t>corrupted</t>
  </si>
  <si>
    <t>corrupting</t>
  </si>
  <si>
    <t>corruption</t>
  </si>
  <si>
    <t>corrupts</t>
  </si>
  <si>
    <t>corruptted</t>
  </si>
  <si>
    <t>costlier</t>
  </si>
  <si>
    <t>costly</t>
  </si>
  <si>
    <t>counter-productive</t>
  </si>
  <si>
    <t>counterproductive</t>
  </si>
  <si>
    <t>coupists</t>
  </si>
  <si>
    <t>covetous</t>
  </si>
  <si>
    <t>coward</t>
  </si>
  <si>
    <t>cowardly</t>
  </si>
  <si>
    <t>crabby</t>
  </si>
  <si>
    <t>crack</t>
  </si>
  <si>
    <t>cracked</t>
  </si>
  <si>
    <t>cracks</t>
  </si>
  <si>
    <t>craftily</t>
  </si>
  <si>
    <t>craftly</t>
  </si>
  <si>
    <t>crafty</t>
  </si>
  <si>
    <t>cramp</t>
  </si>
  <si>
    <t>cramped</t>
  </si>
  <si>
    <t>cramping</t>
  </si>
  <si>
    <t>cranky</t>
  </si>
  <si>
    <t>crap</t>
  </si>
  <si>
    <t>crappy</t>
  </si>
  <si>
    <t>craps</t>
  </si>
  <si>
    <t>crash</t>
  </si>
  <si>
    <t>crashed</t>
  </si>
  <si>
    <t>crashes</t>
  </si>
  <si>
    <t>crashing</t>
  </si>
  <si>
    <t>crass</t>
  </si>
  <si>
    <t>craven</t>
  </si>
  <si>
    <t>cravenly</t>
  </si>
  <si>
    <t>craze</t>
  </si>
  <si>
    <t>crazily</t>
  </si>
  <si>
    <t>craziness</t>
  </si>
  <si>
    <t>crazy</t>
  </si>
  <si>
    <t>creak</t>
  </si>
  <si>
    <t>creaking</t>
  </si>
  <si>
    <t>creaks</t>
  </si>
  <si>
    <t>credulous</t>
  </si>
  <si>
    <t>creep</t>
  </si>
  <si>
    <t>creeping</t>
  </si>
  <si>
    <t>creeps</t>
  </si>
  <si>
    <t>creepy</t>
  </si>
  <si>
    <t>crept</t>
  </si>
  <si>
    <t>crime</t>
  </si>
  <si>
    <t>criminal</t>
  </si>
  <si>
    <t>cringe</t>
  </si>
  <si>
    <t>cringed</t>
  </si>
  <si>
    <t>cringes</t>
  </si>
  <si>
    <t>cripple</t>
  </si>
  <si>
    <t>crippled</t>
  </si>
  <si>
    <t>cripples</t>
  </si>
  <si>
    <t>crippling</t>
  </si>
  <si>
    <t>crisis</t>
  </si>
  <si>
    <t>critic</t>
  </si>
  <si>
    <t>critical</t>
  </si>
  <si>
    <t>criticism</t>
  </si>
  <si>
    <t>criticisms</t>
  </si>
  <si>
    <t>criticize</t>
  </si>
  <si>
    <t>criticized</t>
  </si>
  <si>
    <t>criticizing</t>
  </si>
  <si>
    <t>critics</t>
  </si>
  <si>
    <t>cronyism</t>
  </si>
  <si>
    <t>crook</t>
  </si>
  <si>
    <t>crooked</t>
  </si>
  <si>
    <t>crooks</t>
  </si>
  <si>
    <t>crowded</t>
  </si>
  <si>
    <t>crowdedness</t>
  </si>
  <si>
    <t>crude</t>
  </si>
  <si>
    <t>cruel</t>
  </si>
  <si>
    <t>crueler</t>
  </si>
  <si>
    <t>cruelest</t>
  </si>
  <si>
    <t>cruelly</t>
  </si>
  <si>
    <t>cruelness</t>
  </si>
  <si>
    <t>cruelties</t>
  </si>
  <si>
    <t>cruelty</t>
  </si>
  <si>
    <t>crumble</t>
  </si>
  <si>
    <t>crumbling</t>
  </si>
  <si>
    <t>crummy</t>
  </si>
  <si>
    <t>crumple</t>
  </si>
  <si>
    <t>crumpled</t>
  </si>
  <si>
    <t>crumples</t>
  </si>
  <si>
    <t>crush</t>
  </si>
  <si>
    <t>crushed</t>
  </si>
  <si>
    <t>crushing</t>
  </si>
  <si>
    <t>cry</t>
  </si>
  <si>
    <t>culpable</t>
  </si>
  <si>
    <t>culprit</t>
  </si>
  <si>
    <t>cumbersome</t>
  </si>
  <si>
    <t>cunt</t>
  </si>
  <si>
    <t>cunts</t>
  </si>
  <si>
    <t>cuplrit</t>
  </si>
  <si>
    <t>curse</t>
  </si>
  <si>
    <t>cursed</t>
  </si>
  <si>
    <t>curses</t>
  </si>
  <si>
    <t>curt</t>
  </si>
  <si>
    <t>cuss</t>
  </si>
  <si>
    <t>cussed</t>
  </si>
  <si>
    <t>cutthroat</t>
  </si>
  <si>
    <t>cynical</t>
  </si>
  <si>
    <t>cynicism</t>
  </si>
  <si>
    <t>d*mn</t>
  </si>
  <si>
    <t>damage</t>
  </si>
  <si>
    <t>damaged</t>
  </si>
  <si>
    <t>damages</t>
  </si>
  <si>
    <t>damaging</t>
  </si>
  <si>
    <t>damn</t>
  </si>
  <si>
    <t>damnable</t>
  </si>
  <si>
    <t>damnably</t>
  </si>
  <si>
    <t>damnation</t>
  </si>
  <si>
    <t>damned</t>
  </si>
  <si>
    <t>damning</t>
  </si>
  <si>
    <t>damper</t>
  </si>
  <si>
    <t>danger</t>
  </si>
  <si>
    <t>dangerous</t>
  </si>
  <si>
    <t>dangerousness</t>
  </si>
  <si>
    <t>dark</t>
  </si>
  <si>
    <t>darken</t>
  </si>
  <si>
    <t>darkened</t>
  </si>
  <si>
    <t>darker</t>
  </si>
  <si>
    <t>darkness</t>
  </si>
  <si>
    <t>dastard</t>
  </si>
  <si>
    <t>dastardly</t>
  </si>
  <si>
    <t>daunt</t>
  </si>
  <si>
    <t>daunting</t>
  </si>
  <si>
    <t>dauntingly</t>
  </si>
  <si>
    <t>dawdle</t>
  </si>
  <si>
    <t>daze</t>
  </si>
  <si>
    <t>dazed</t>
  </si>
  <si>
    <t>deadbeat</t>
  </si>
  <si>
    <t>deadlock</t>
  </si>
  <si>
    <t>deadly</t>
  </si>
  <si>
    <t>deadweight</t>
  </si>
  <si>
    <t>deaf</t>
  </si>
  <si>
    <t>dearth</t>
  </si>
  <si>
    <t>death</t>
  </si>
  <si>
    <t>debacle</t>
  </si>
  <si>
    <t>debase</t>
  </si>
  <si>
    <t>debasement</t>
  </si>
  <si>
    <t>debaser</t>
  </si>
  <si>
    <t>debatable</t>
  </si>
  <si>
    <t>debauch</t>
  </si>
  <si>
    <t>debaucher</t>
  </si>
  <si>
    <t>debauchery</t>
  </si>
  <si>
    <t>debilitate</t>
  </si>
  <si>
    <t>debilitating</t>
  </si>
  <si>
    <t>debility</t>
  </si>
  <si>
    <t>debt</t>
  </si>
  <si>
    <t>debts</t>
  </si>
  <si>
    <t>decadence</t>
  </si>
  <si>
    <t>decadent</t>
  </si>
  <si>
    <t>decay</t>
  </si>
  <si>
    <t>decayed</t>
  </si>
  <si>
    <t>deceit</t>
  </si>
  <si>
    <t>deceitful</t>
  </si>
  <si>
    <t>deceitfully</t>
  </si>
  <si>
    <t>deceitfulness</t>
  </si>
  <si>
    <t>deceive</t>
  </si>
  <si>
    <t>deceiver</t>
  </si>
  <si>
    <t>deceivers</t>
  </si>
  <si>
    <t>deceiving</t>
  </si>
  <si>
    <t>deception</t>
  </si>
  <si>
    <t>deceptive</t>
  </si>
  <si>
    <t>deceptively</t>
  </si>
  <si>
    <t>declaim</t>
  </si>
  <si>
    <t>decline</t>
  </si>
  <si>
    <t>declines</t>
  </si>
  <si>
    <t>declining</t>
  </si>
  <si>
    <t>decrement</t>
  </si>
  <si>
    <t>decrepit</t>
  </si>
  <si>
    <t>decrepitude</t>
  </si>
  <si>
    <t>decry</t>
  </si>
  <si>
    <t>defamation</t>
  </si>
  <si>
    <t>defamations</t>
  </si>
  <si>
    <t>defamatory</t>
  </si>
  <si>
    <t>defame</t>
  </si>
  <si>
    <t>defect</t>
  </si>
  <si>
    <t>defective</t>
  </si>
  <si>
    <t>defects</t>
  </si>
  <si>
    <t>defensive</t>
  </si>
  <si>
    <t>defiance</t>
  </si>
  <si>
    <t>defiant</t>
  </si>
  <si>
    <t>defiantly</t>
  </si>
  <si>
    <t>deficiencies</t>
  </si>
  <si>
    <t>deficiency</t>
  </si>
  <si>
    <t>deficient</t>
  </si>
  <si>
    <t>defile</t>
  </si>
  <si>
    <t>defiler</t>
  </si>
  <si>
    <t>deform</t>
  </si>
  <si>
    <t>deformed</t>
  </si>
  <si>
    <t>defrauding</t>
  </si>
  <si>
    <t>defunct</t>
  </si>
  <si>
    <t>defy</t>
  </si>
  <si>
    <t>degenerate</t>
  </si>
  <si>
    <t>degenerately</t>
  </si>
  <si>
    <t>degeneration</t>
  </si>
  <si>
    <t>degradation</t>
  </si>
  <si>
    <t>degrade</t>
  </si>
  <si>
    <t>degrading</t>
  </si>
  <si>
    <t>degradingly</t>
  </si>
  <si>
    <t>dehumanization</t>
  </si>
  <si>
    <t>dehumanize</t>
  </si>
  <si>
    <t>deign</t>
  </si>
  <si>
    <t>deject</t>
  </si>
  <si>
    <t>dejected</t>
  </si>
  <si>
    <t>dejectedly</t>
  </si>
  <si>
    <t>dejection</t>
  </si>
  <si>
    <t>delay</t>
  </si>
  <si>
    <t>delayed</t>
  </si>
  <si>
    <t>delaying</t>
  </si>
  <si>
    <t>delays</t>
  </si>
  <si>
    <t>delinquency</t>
  </si>
  <si>
    <t>delinquent</t>
  </si>
  <si>
    <t>delirious</t>
  </si>
  <si>
    <t>delirium</t>
  </si>
  <si>
    <t>delude</t>
  </si>
  <si>
    <t>deluded</t>
  </si>
  <si>
    <t>deluge</t>
  </si>
  <si>
    <t>delusion</t>
  </si>
  <si>
    <t>delusional</t>
  </si>
  <si>
    <t>delusions</t>
  </si>
  <si>
    <t>demean</t>
  </si>
  <si>
    <t>demeaning</t>
  </si>
  <si>
    <t>demise</t>
  </si>
  <si>
    <t>demolish</t>
  </si>
  <si>
    <t>demolisher</t>
  </si>
  <si>
    <t>demon</t>
  </si>
  <si>
    <t>demonic</t>
  </si>
  <si>
    <t>demonize</t>
  </si>
  <si>
    <t>demonized</t>
  </si>
  <si>
    <t>demonizes</t>
  </si>
  <si>
    <t>demonizing</t>
  </si>
  <si>
    <t>demoralize</t>
  </si>
  <si>
    <t>demoralizing</t>
  </si>
  <si>
    <t>demoralizingly</t>
  </si>
  <si>
    <t>denial</t>
  </si>
  <si>
    <t>denied</t>
  </si>
  <si>
    <t>denies</t>
  </si>
  <si>
    <t>denigrate</t>
  </si>
  <si>
    <t>denounce</t>
  </si>
  <si>
    <t>dense</t>
  </si>
  <si>
    <t>dent</t>
  </si>
  <si>
    <t>dented</t>
  </si>
  <si>
    <t>dents</t>
  </si>
  <si>
    <t>denunciate</t>
  </si>
  <si>
    <t>denunciation</t>
  </si>
  <si>
    <t>denunciations</t>
  </si>
  <si>
    <t>deny</t>
  </si>
  <si>
    <t>denying</t>
  </si>
  <si>
    <t>deplete</t>
  </si>
  <si>
    <t>deplorable</t>
  </si>
  <si>
    <t>deplorably</t>
  </si>
  <si>
    <t>deplore</t>
  </si>
  <si>
    <t>deploring</t>
  </si>
  <si>
    <t>deploringly</t>
  </si>
  <si>
    <t>deprave</t>
  </si>
  <si>
    <t>depraved</t>
  </si>
  <si>
    <t>depravedly</t>
  </si>
  <si>
    <t>deprecate</t>
  </si>
  <si>
    <t>depress</t>
  </si>
  <si>
    <t>depressed</t>
  </si>
  <si>
    <t>depressing</t>
  </si>
  <si>
    <t>depressingly</t>
  </si>
  <si>
    <t>depression</t>
  </si>
  <si>
    <t>depressions</t>
  </si>
  <si>
    <t>deprive</t>
  </si>
  <si>
    <t>deprived</t>
  </si>
  <si>
    <t>deride</t>
  </si>
  <si>
    <t>derision</t>
  </si>
  <si>
    <t>derisive</t>
  </si>
  <si>
    <t>derisively</t>
  </si>
  <si>
    <t>derisiveness</t>
  </si>
  <si>
    <t>derogatory</t>
  </si>
  <si>
    <t>desecrate</t>
  </si>
  <si>
    <t>desert</t>
  </si>
  <si>
    <t>desertion</t>
  </si>
  <si>
    <t>desiccate</t>
  </si>
  <si>
    <t>desiccated</t>
  </si>
  <si>
    <t>desititute</t>
  </si>
  <si>
    <t>desolate</t>
  </si>
  <si>
    <t>desolately</t>
  </si>
  <si>
    <t>desolation</t>
  </si>
  <si>
    <t>despair</t>
  </si>
  <si>
    <t>despairing</t>
  </si>
  <si>
    <t>despairingly</t>
  </si>
  <si>
    <t>desperate</t>
  </si>
  <si>
    <t>desperately</t>
  </si>
  <si>
    <t>desperation</t>
  </si>
  <si>
    <t>despicable</t>
  </si>
  <si>
    <t>despicably</t>
  </si>
  <si>
    <t>despise</t>
  </si>
  <si>
    <t>despised</t>
  </si>
  <si>
    <t>despoil</t>
  </si>
  <si>
    <t>despoiler</t>
  </si>
  <si>
    <t>despondence</t>
  </si>
  <si>
    <t>despondency</t>
  </si>
  <si>
    <t>despondent</t>
  </si>
  <si>
    <t>despondently</t>
  </si>
  <si>
    <t>despot</t>
  </si>
  <si>
    <t>despotic</t>
  </si>
  <si>
    <t>despotism</t>
  </si>
  <si>
    <t>destabilisation</t>
  </si>
  <si>
    <t>destains</t>
  </si>
  <si>
    <t>destitute</t>
  </si>
  <si>
    <t>destitution</t>
  </si>
  <si>
    <t>destroy</t>
  </si>
  <si>
    <t>destroyer</t>
  </si>
  <si>
    <t>destruction</t>
  </si>
  <si>
    <t>destructive</t>
  </si>
  <si>
    <t>desultory</t>
  </si>
  <si>
    <t>deter</t>
  </si>
  <si>
    <t>deteriorate</t>
  </si>
  <si>
    <t>deteriorating</t>
  </si>
  <si>
    <t>deterioration</t>
  </si>
  <si>
    <t>deterrent</t>
  </si>
  <si>
    <t>detest</t>
  </si>
  <si>
    <t>detestable</t>
  </si>
  <si>
    <t>detestably</t>
  </si>
  <si>
    <t>detested</t>
  </si>
  <si>
    <t>detesting</t>
  </si>
  <si>
    <t>detests</t>
  </si>
  <si>
    <t>detract</t>
  </si>
  <si>
    <t>detracted</t>
  </si>
  <si>
    <t>detracting</t>
  </si>
  <si>
    <t>detraction</t>
  </si>
  <si>
    <t>detracts</t>
  </si>
  <si>
    <t>detriment</t>
  </si>
  <si>
    <t>detrimental</t>
  </si>
  <si>
    <t>devastate</t>
  </si>
  <si>
    <t>devastated</t>
  </si>
  <si>
    <t>devastates</t>
  </si>
  <si>
    <t>devastating</t>
  </si>
  <si>
    <t>devastatingly</t>
  </si>
  <si>
    <t>devastation</t>
  </si>
  <si>
    <t>deviate</t>
  </si>
  <si>
    <t>deviation</t>
  </si>
  <si>
    <t>devil</t>
  </si>
  <si>
    <t>devilish</t>
  </si>
  <si>
    <t>devilishly</t>
  </si>
  <si>
    <t>devilment</t>
  </si>
  <si>
    <t>devilry</t>
  </si>
  <si>
    <t>devious</t>
  </si>
  <si>
    <t>deviously</t>
  </si>
  <si>
    <t>deviousness</t>
  </si>
  <si>
    <t>devoid</t>
  </si>
  <si>
    <t>diabolic</t>
  </si>
  <si>
    <t>diabolical</t>
  </si>
  <si>
    <t>diabolically</t>
  </si>
  <si>
    <t>diametrically</t>
  </si>
  <si>
    <t>diappointed</t>
  </si>
  <si>
    <t>diatribe</t>
  </si>
  <si>
    <t>diatribes</t>
  </si>
  <si>
    <t>dick</t>
  </si>
  <si>
    <t>dictator</t>
  </si>
  <si>
    <t>dictatorial</t>
  </si>
  <si>
    <t>die</t>
  </si>
  <si>
    <t>die-hard</t>
  </si>
  <si>
    <t>died</t>
  </si>
  <si>
    <t>dies</t>
  </si>
  <si>
    <t>difficult</t>
  </si>
  <si>
    <t>difficulties</t>
  </si>
  <si>
    <t>difficulty</t>
  </si>
  <si>
    <t>diffidence</t>
  </si>
  <si>
    <t>dilapidated</t>
  </si>
  <si>
    <t>dilemma</t>
  </si>
  <si>
    <t>dilly-dally</t>
  </si>
  <si>
    <t>dim</t>
  </si>
  <si>
    <t>dimmer</t>
  </si>
  <si>
    <t>din</t>
  </si>
  <si>
    <t>ding</t>
  </si>
  <si>
    <t>dings</t>
  </si>
  <si>
    <t>dinky</t>
  </si>
  <si>
    <t>dire</t>
  </si>
  <si>
    <t>direly</t>
  </si>
  <si>
    <t>direness</t>
  </si>
  <si>
    <t>dirt</t>
  </si>
  <si>
    <t>dirtbag</t>
  </si>
  <si>
    <t>dirtbags</t>
  </si>
  <si>
    <t>dirts</t>
  </si>
  <si>
    <t>dirty</t>
  </si>
  <si>
    <t>disable</t>
  </si>
  <si>
    <t>disabled</t>
  </si>
  <si>
    <t>disaccord</t>
  </si>
  <si>
    <t>disadvantage</t>
  </si>
  <si>
    <t>disadvantaged</t>
  </si>
  <si>
    <t>disadvantageous</t>
  </si>
  <si>
    <t>disadvantages</t>
  </si>
  <si>
    <t>disaffect</t>
  </si>
  <si>
    <t>disaffected</t>
  </si>
  <si>
    <t>disaffirm</t>
  </si>
  <si>
    <t>disagree</t>
  </si>
  <si>
    <t>disagreeable</t>
  </si>
  <si>
    <t>disagreeably</t>
  </si>
  <si>
    <t>disagreed</t>
  </si>
  <si>
    <t>disagreeing</t>
  </si>
  <si>
    <t>disagreement</t>
  </si>
  <si>
    <t>disagrees</t>
  </si>
  <si>
    <t>disallow</t>
  </si>
  <si>
    <t>disapointed</t>
  </si>
  <si>
    <t>disapointing</t>
  </si>
  <si>
    <t>disapointment</t>
  </si>
  <si>
    <t>disappoint</t>
  </si>
  <si>
    <t>disappointed</t>
  </si>
  <si>
    <t>disappointing</t>
  </si>
  <si>
    <t>disappointingly</t>
  </si>
  <si>
    <t>disappointment</t>
  </si>
  <si>
    <t>disappointments</t>
  </si>
  <si>
    <t>disappoints</t>
  </si>
  <si>
    <t>disapprobation</t>
  </si>
  <si>
    <t>disapproval</t>
  </si>
  <si>
    <t>disapprove</t>
  </si>
  <si>
    <t>disapproving</t>
  </si>
  <si>
    <t>disarm</t>
  </si>
  <si>
    <t>disarray</t>
  </si>
  <si>
    <t>disaster</t>
  </si>
  <si>
    <t>disasterous</t>
  </si>
  <si>
    <t>disastrous</t>
  </si>
  <si>
    <t>disastrously</t>
  </si>
  <si>
    <t>disavow</t>
  </si>
  <si>
    <t>disavowal</t>
  </si>
  <si>
    <t>disbelief</t>
  </si>
  <si>
    <t>disbelieve</t>
  </si>
  <si>
    <t>disbeliever</t>
  </si>
  <si>
    <t>disclaim</t>
  </si>
  <si>
    <t>discombobulate</t>
  </si>
  <si>
    <t>discomfit</t>
  </si>
  <si>
    <t>discomfititure</t>
  </si>
  <si>
    <t>discomfort</t>
  </si>
  <si>
    <t>discompose</t>
  </si>
  <si>
    <t>disconcert</t>
  </si>
  <si>
    <t>disconcerted</t>
  </si>
  <si>
    <t>disconcerting</t>
  </si>
  <si>
    <t>disconcertingly</t>
  </si>
  <si>
    <t>disconsolate</t>
  </si>
  <si>
    <t>disconsolately</t>
  </si>
  <si>
    <t>disconsolation</t>
  </si>
  <si>
    <t>discontent</t>
  </si>
  <si>
    <t>discontented</t>
  </si>
  <si>
    <t>discontentedly</t>
  </si>
  <si>
    <t>discontinued</t>
  </si>
  <si>
    <t>discontinuity</t>
  </si>
  <si>
    <t>discontinuous</t>
  </si>
  <si>
    <t>discord</t>
  </si>
  <si>
    <t>discordance</t>
  </si>
  <si>
    <t>discordant</t>
  </si>
  <si>
    <t>discountenance</t>
  </si>
  <si>
    <t>discourage</t>
  </si>
  <si>
    <t>discouragement</t>
  </si>
  <si>
    <t>discouraging</t>
  </si>
  <si>
    <t>discouragingly</t>
  </si>
  <si>
    <t>discourteous</t>
  </si>
  <si>
    <t>discourteously</t>
  </si>
  <si>
    <t>discoutinous</t>
  </si>
  <si>
    <t>discredit</t>
  </si>
  <si>
    <t>discrepant</t>
  </si>
  <si>
    <t>discriminate</t>
  </si>
  <si>
    <t>discriminatory</t>
  </si>
  <si>
    <t>disdain</t>
  </si>
  <si>
    <t>disdained</t>
  </si>
  <si>
    <t>disdainful</t>
  </si>
  <si>
    <t>disdainfully</t>
  </si>
  <si>
    <t>disfavor</t>
  </si>
  <si>
    <t>disgrace</t>
  </si>
  <si>
    <t>disgraced</t>
  </si>
  <si>
    <t>disgraceful</t>
  </si>
  <si>
    <t>disgracefully</t>
  </si>
  <si>
    <t>disgruntle</t>
  </si>
  <si>
    <t>disgruntled</t>
  </si>
  <si>
    <t>disgust</t>
  </si>
  <si>
    <t>disgusted</t>
  </si>
  <si>
    <t>disgustedly</t>
  </si>
  <si>
    <t>disgustful</t>
  </si>
  <si>
    <t>disgustfully</t>
  </si>
  <si>
    <t>disgusting</t>
  </si>
  <si>
    <t>disgustingly</t>
  </si>
  <si>
    <t>dishearten</t>
  </si>
  <si>
    <t>disheartening</t>
  </si>
  <si>
    <t>dishearteningly</t>
  </si>
  <si>
    <t>dishonest</t>
  </si>
  <si>
    <t>dishonestly</t>
  </si>
  <si>
    <t>dishonesty</t>
  </si>
  <si>
    <t>dishonor</t>
  </si>
  <si>
    <t>dishonorable</t>
  </si>
  <si>
    <t>dishonorablely</t>
  </si>
  <si>
    <t>disillusion</t>
  </si>
  <si>
    <t>disillusioned</t>
  </si>
  <si>
    <t>disillusionment</t>
  </si>
  <si>
    <t>disillusions</t>
  </si>
  <si>
    <t>disinclination</t>
  </si>
  <si>
    <t>disinclined</t>
  </si>
  <si>
    <t>disingenuous</t>
  </si>
  <si>
    <t>disingenuously</t>
  </si>
  <si>
    <t>disintegrate</t>
  </si>
  <si>
    <t>disintegrated</t>
  </si>
  <si>
    <t>disintegrates</t>
  </si>
  <si>
    <t>disintegration</t>
  </si>
  <si>
    <t>disinterest</t>
  </si>
  <si>
    <t>disinterested</t>
  </si>
  <si>
    <t>dislike</t>
  </si>
  <si>
    <t>disliked</t>
  </si>
  <si>
    <t>dislikes</t>
  </si>
  <si>
    <t>disliking</t>
  </si>
  <si>
    <t>dislocated</t>
  </si>
  <si>
    <t>disloyal</t>
  </si>
  <si>
    <t>disloyalty</t>
  </si>
  <si>
    <t>dismal</t>
  </si>
  <si>
    <t>dismally</t>
  </si>
  <si>
    <t>dismalness</t>
  </si>
  <si>
    <t>dismay</t>
  </si>
  <si>
    <t>dismayed</t>
  </si>
  <si>
    <t>dismaying</t>
  </si>
  <si>
    <t>dismayingly</t>
  </si>
  <si>
    <t>dismissive</t>
  </si>
  <si>
    <t>dismissively</t>
  </si>
  <si>
    <t>disobedience</t>
  </si>
  <si>
    <t>disobedient</t>
  </si>
  <si>
    <t>disobey</t>
  </si>
  <si>
    <t>disoobedient</t>
  </si>
  <si>
    <t>disorder</t>
  </si>
  <si>
    <t>disordered</t>
  </si>
  <si>
    <t>disorderly</t>
  </si>
  <si>
    <t>disorganized</t>
  </si>
  <si>
    <t>disorient</t>
  </si>
  <si>
    <t>disoriented</t>
  </si>
  <si>
    <t>disown</t>
  </si>
  <si>
    <t>disparage</t>
  </si>
  <si>
    <t>disparaging</t>
  </si>
  <si>
    <t>disparagingly</t>
  </si>
  <si>
    <t>dispensable</t>
  </si>
  <si>
    <t>dispirit</t>
  </si>
  <si>
    <t>dispirited</t>
  </si>
  <si>
    <t>dispiritedly</t>
  </si>
  <si>
    <t>dispiriting</t>
  </si>
  <si>
    <t>displace</t>
  </si>
  <si>
    <t>displaced</t>
  </si>
  <si>
    <t>displease</t>
  </si>
  <si>
    <t>displeased</t>
  </si>
  <si>
    <t>displeasing</t>
  </si>
  <si>
    <t>displeasure</t>
  </si>
  <si>
    <t>disproportionate</t>
  </si>
  <si>
    <t>disprove</t>
  </si>
  <si>
    <t>disputable</t>
  </si>
  <si>
    <t>disputed</t>
  </si>
  <si>
    <t>disquiet</t>
  </si>
  <si>
    <t>disquieting</t>
  </si>
  <si>
    <t>disquietingly</t>
  </si>
  <si>
    <t>disquietude</t>
  </si>
  <si>
    <t>disregard</t>
  </si>
  <si>
    <t>disregardful</t>
  </si>
  <si>
    <t>disreputable</t>
  </si>
  <si>
    <t>disrepute</t>
  </si>
  <si>
    <t>disrespect</t>
  </si>
  <si>
    <t>disrespectable</t>
  </si>
  <si>
    <t>disrespectablity</t>
  </si>
  <si>
    <t>disrespectful</t>
  </si>
  <si>
    <t>disrespectfully</t>
  </si>
  <si>
    <t>disrespectfulness</t>
  </si>
  <si>
    <t>disrespecting</t>
  </si>
  <si>
    <t>disrupt</t>
  </si>
  <si>
    <t>disruption</t>
  </si>
  <si>
    <t>disruptive</t>
  </si>
  <si>
    <t>diss</t>
  </si>
  <si>
    <t>dissapointed</t>
  </si>
  <si>
    <t>dissappointed</t>
  </si>
  <si>
    <t>dissappointing</t>
  </si>
  <si>
    <t>dissatisfaction</t>
  </si>
  <si>
    <t>dissatisfactory</t>
  </si>
  <si>
    <t>dissatisfied</t>
  </si>
  <si>
    <t>dissatisfies</t>
  </si>
  <si>
    <t>dissatisfy</t>
  </si>
  <si>
    <t>dissatisfying</t>
  </si>
  <si>
    <t>dissed</t>
  </si>
  <si>
    <t>dissemble</t>
  </si>
  <si>
    <t>dissembler</t>
  </si>
  <si>
    <t>dissension</t>
  </si>
  <si>
    <t>dissent</t>
  </si>
  <si>
    <t>dissenter</t>
  </si>
  <si>
    <t>dissention</t>
  </si>
  <si>
    <t>disservice</t>
  </si>
  <si>
    <t>disses</t>
  </si>
  <si>
    <t>dissidence</t>
  </si>
  <si>
    <t>dissident</t>
  </si>
  <si>
    <t>dissidents</t>
  </si>
  <si>
    <t>dissing</t>
  </si>
  <si>
    <t>dissocial</t>
  </si>
  <si>
    <t>dissolute</t>
  </si>
  <si>
    <t>dissolution</t>
  </si>
  <si>
    <t>dissonance</t>
  </si>
  <si>
    <t>dissonant</t>
  </si>
  <si>
    <t>dissonantly</t>
  </si>
  <si>
    <t>dissuade</t>
  </si>
  <si>
    <t>dissuasive</t>
  </si>
  <si>
    <t>distains</t>
  </si>
  <si>
    <t>distaste</t>
  </si>
  <si>
    <t>distasteful</t>
  </si>
  <si>
    <t>distastefully</t>
  </si>
  <si>
    <t>distort</t>
  </si>
  <si>
    <t>distorted</t>
  </si>
  <si>
    <t>distortion</t>
  </si>
  <si>
    <t>distorts</t>
  </si>
  <si>
    <t>distract</t>
  </si>
  <si>
    <t>distracting</t>
  </si>
  <si>
    <t>distraction</t>
  </si>
  <si>
    <t>distraught</t>
  </si>
  <si>
    <t>distraughtly</t>
  </si>
  <si>
    <t>distraughtness</t>
  </si>
  <si>
    <t>distress</t>
  </si>
  <si>
    <t>distressed</t>
  </si>
  <si>
    <t>distressing</t>
  </si>
  <si>
    <t>distressingly</t>
  </si>
  <si>
    <t>distrust</t>
  </si>
  <si>
    <t>distrustful</t>
  </si>
  <si>
    <t>distrusting</t>
  </si>
  <si>
    <t>disturb</t>
  </si>
  <si>
    <t>disturbance</t>
  </si>
  <si>
    <t>disturbed</t>
  </si>
  <si>
    <t>disturbing</t>
  </si>
  <si>
    <t>disturbingly</t>
  </si>
  <si>
    <t>disunity</t>
  </si>
  <si>
    <t>disvalue</t>
  </si>
  <si>
    <t>divergent</t>
  </si>
  <si>
    <t>divisive</t>
  </si>
  <si>
    <t>divisively</t>
  </si>
  <si>
    <t>divisiveness</t>
  </si>
  <si>
    <t>dizzing</t>
  </si>
  <si>
    <t>dizzingly</t>
  </si>
  <si>
    <t>dizzy</t>
  </si>
  <si>
    <t>doddering</t>
  </si>
  <si>
    <t>dodgey</t>
  </si>
  <si>
    <t>dogged</t>
  </si>
  <si>
    <t>doggedly</t>
  </si>
  <si>
    <t>dogmatic</t>
  </si>
  <si>
    <t>doldrums</t>
  </si>
  <si>
    <t>domineer</t>
  </si>
  <si>
    <t>domineering</t>
  </si>
  <si>
    <t>donside</t>
  </si>
  <si>
    <t>doom</t>
  </si>
  <si>
    <t>doomed</t>
  </si>
  <si>
    <t>doomsday</t>
  </si>
  <si>
    <t>dope</t>
  </si>
  <si>
    <t>doubt</t>
  </si>
  <si>
    <t>doubtful</t>
  </si>
  <si>
    <t>doubtfully</t>
  </si>
  <si>
    <t>doubts</t>
  </si>
  <si>
    <t>douchbag</t>
  </si>
  <si>
    <t>douchebag</t>
  </si>
  <si>
    <t>douchebags</t>
  </si>
  <si>
    <t>downbeat</t>
  </si>
  <si>
    <t>downcast</t>
  </si>
  <si>
    <t>downer</t>
  </si>
  <si>
    <t>downfall</t>
  </si>
  <si>
    <t>downfallen</t>
  </si>
  <si>
    <t>downgrade</t>
  </si>
  <si>
    <t>downhearted</t>
  </si>
  <si>
    <t>downheartedly</t>
  </si>
  <si>
    <t>downhill</t>
  </si>
  <si>
    <t>downside</t>
  </si>
  <si>
    <t>downsides</t>
  </si>
  <si>
    <t>downturn</t>
  </si>
  <si>
    <t>downturns</t>
  </si>
  <si>
    <t>drab</t>
  </si>
  <si>
    <t>draconian</t>
  </si>
  <si>
    <t>draconic</t>
  </si>
  <si>
    <t>drag</t>
  </si>
  <si>
    <t>dragged</t>
  </si>
  <si>
    <t>dragging</t>
  </si>
  <si>
    <t>dragoon</t>
  </si>
  <si>
    <t>drags</t>
  </si>
  <si>
    <t>drain</t>
  </si>
  <si>
    <t>drained</t>
  </si>
  <si>
    <t>draining</t>
  </si>
  <si>
    <t>drains</t>
  </si>
  <si>
    <t>drastic</t>
  </si>
  <si>
    <t>drastically</t>
  </si>
  <si>
    <t>drawback</t>
  </si>
  <si>
    <t>drawbacks</t>
  </si>
  <si>
    <t>dread</t>
  </si>
  <si>
    <t>dreadful</t>
  </si>
  <si>
    <t>dreadfully</t>
  </si>
  <si>
    <t>dreadfulness</t>
  </si>
  <si>
    <t>dreary</t>
  </si>
  <si>
    <t>dripped</t>
  </si>
  <si>
    <t>dripping</t>
  </si>
  <si>
    <t>drippy</t>
  </si>
  <si>
    <t>drips</t>
  </si>
  <si>
    <t>drones</t>
  </si>
  <si>
    <t>droop</t>
  </si>
  <si>
    <t>droops</t>
  </si>
  <si>
    <t>drop-out</t>
  </si>
  <si>
    <t>drop-outs</t>
  </si>
  <si>
    <t>dropout</t>
  </si>
  <si>
    <t>dropouts</t>
  </si>
  <si>
    <t>drought</t>
  </si>
  <si>
    <t>drowning</t>
  </si>
  <si>
    <t>drunk</t>
  </si>
  <si>
    <t>drunkard</t>
  </si>
  <si>
    <t>drunken</t>
  </si>
  <si>
    <t>dubious</t>
  </si>
  <si>
    <t>dubiously</t>
  </si>
  <si>
    <t>dubitable</t>
  </si>
  <si>
    <t>dud</t>
  </si>
  <si>
    <t>dull</t>
  </si>
  <si>
    <t>dullard</t>
  </si>
  <si>
    <t>dumb</t>
  </si>
  <si>
    <t>dumbfound</t>
  </si>
  <si>
    <t>dump</t>
  </si>
  <si>
    <t>dumped</t>
  </si>
  <si>
    <t>dumping</t>
  </si>
  <si>
    <t>dumps</t>
  </si>
  <si>
    <t>dunce</t>
  </si>
  <si>
    <t>dungeon</t>
  </si>
  <si>
    <t>dungeons</t>
  </si>
  <si>
    <t>dupe</t>
  </si>
  <si>
    <t>dust</t>
  </si>
  <si>
    <t>dusty</t>
  </si>
  <si>
    <t>dwindling</t>
  </si>
  <si>
    <t>dying</t>
  </si>
  <si>
    <t>earsplitting</t>
  </si>
  <si>
    <t>eccentric</t>
  </si>
  <si>
    <t>eccentricity</t>
  </si>
  <si>
    <t>effigy</t>
  </si>
  <si>
    <t>effrontery</t>
  </si>
  <si>
    <t>egocentric</t>
  </si>
  <si>
    <t>egomania</t>
  </si>
  <si>
    <t>egotism</t>
  </si>
  <si>
    <t>egotistical</t>
  </si>
  <si>
    <t>egotistically</t>
  </si>
  <si>
    <t>egregious</t>
  </si>
  <si>
    <t>egregiously</t>
  </si>
  <si>
    <t>election-rigger</t>
  </si>
  <si>
    <t>elimination</t>
  </si>
  <si>
    <t>emaciated</t>
  </si>
  <si>
    <t>emasculate</t>
  </si>
  <si>
    <t>embarrass</t>
  </si>
  <si>
    <t>embarrassing</t>
  </si>
  <si>
    <t>embarrassingly</t>
  </si>
  <si>
    <t>embarrassment</t>
  </si>
  <si>
    <t>embattled</t>
  </si>
  <si>
    <t>embroil</t>
  </si>
  <si>
    <t>embroiled</t>
  </si>
  <si>
    <t>embroilment</t>
  </si>
  <si>
    <t>emergency</t>
  </si>
  <si>
    <t>emphatic</t>
  </si>
  <si>
    <t>emphatically</t>
  </si>
  <si>
    <t>emptiness</t>
  </si>
  <si>
    <t>encroach</t>
  </si>
  <si>
    <t>encroachment</t>
  </si>
  <si>
    <t>endanger</t>
  </si>
  <si>
    <t>enemies</t>
  </si>
  <si>
    <t>enemy</t>
  </si>
  <si>
    <t>enervate</t>
  </si>
  <si>
    <t>enfeeble</t>
  </si>
  <si>
    <t>enflame</t>
  </si>
  <si>
    <t>engulf</t>
  </si>
  <si>
    <t>enjoin</t>
  </si>
  <si>
    <t>enmity</t>
  </si>
  <si>
    <t>enrage</t>
  </si>
  <si>
    <t>enraged</t>
  </si>
  <si>
    <t>enraging</t>
  </si>
  <si>
    <t>enslave</t>
  </si>
  <si>
    <t>entangle</t>
  </si>
  <si>
    <t>entanglement</t>
  </si>
  <si>
    <t>entrap</t>
  </si>
  <si>
    <t>entrapment</t>
  </si>
  <si>
    <t>epidemic</t>
  </si>
  <si>
    <t>equivocal</t>
  </si>
  <si>
    <t>erase</t>
  </si>
  <si>
    <t>erode</t>
  </si>
  <si>
    <t>erodes</t>
  </si>
  <si>
    <t>erosion</t>
  </si>
  <si>
    <t>err</t>
  </si>
  <si>
    <t>errant</t>
  </si>
  <si>
    <t>erratic</t>
  </si>
  <si>
    <t>erratically</t>
  </si>
  <si>
    <t>erroneous</t>
  </si>
  <si>
    <t>erroneously</t>
  </si>
  <si>
    <t>error</t>
  </si>
  <si>
    <t>errors</t>
  </si>
  <si>
    <t>eruptions</t>
  </si>
  <si>
    <t>escapade</t>
  </si>
  <si>
    <t>eschew</t>
  </si>
  <si>
    <t>estranged</t>
  </si>
  <si>
    <t>evade</t>
  </si>
  <si>
    <t>evasion</t>
  </si>
  <si>
    <t>evasive</t>
  </si>
  <si>
    <t>evil</t>
  </si>
  <si>
    <t>evildoer</t>
  </si>
  <si>
    <t>evils</t>
  </si>
  <si>
    <t>eviscerate</t>
  </si>
  <si>
    <t>exacerbate</t>
  </si>
  <si>
    <t>exagerate</t>
  </si>
  <si>
    <t>exagerated</t>
  </si>
  <si>
    <t>exagerates</t>
  </si>
  <si>
    <t>exaggerate</t>
  </si>
  <si>
    <t>exaggeration</t>
  </si>
  <si>
    <t>exasperate</t>
  </si>
  <si>
    <t>exasperated</t>
  </si>
  <si>
    <t>exasperating</t>
  </si>
  <si>
    <t>exasperatingly</t>
  </si>
  <si>
    <t>exasperation</t>
  </si>
  <si>
    <t>excessive</t>
  </si>
  <si>
    <t>excessively</t>
  </si>
  <si>
    <t>exclusion</t>
  </si>
  <si>
    <t>excoriate</t>
  </si>
  <si>
    <t>excruciating</t>
  </si>
  <si>
    <t>excruciatingly</t>
  </si>
  <si>
    <t>excuse</t>
  </si>
  <si>
    <t>excuses</t>
  </si>
  <si>
    <t>execrate</t>
  </si>
  <si>
    <t>exhaust</t>
  </si>
  <si>
    <t>exhausted</t>
  </si>
  <si>
    <t>exhaustion</t>
  </si>
  <si>
    <t>exhausts</t>
  </si>
  <si>
    <t>exhorbitant</t>
  </si>
  <si>
    <t>exhort</t>
  </si>
  <si>
    <t>exile</t>
  </si>
  <si>
    <t>exorbitant</t>
  </si>
  <si>
    <t>exorbitantance</t>
  </si>
  <si>
    <t>exorbitantly</t>
  </si>
  <si>
    <t>expel</t>
  </si>
  <si>
    <t>expensive</t>
  </si>
  <si>
    <t>expire</t>
  </si>
  <si>
    <t>expired</t>
  </si>
  <si>
    <t>explode</t>
  </si>
  <si>
    <t>exploit</t>
  </si>
  <si>
    <t>exploitation</t>
  </si>
  <si>
    <t>explosive</t>
  </si>
  <si>
    <t>expropriate</t>
  </si>
  <si>
    <t>expropriation</t>
  </si>
  <si>
    <t>expulse</t>
  </si>
  <si>
    <t>expunge</t>
  </si>
  <si>
    <t>exterminate</t>
  </si>
  <si>
    <t>extermination</t>
  </si>
  <si>
    <t>extinguish</t>
  </si>
  <si>
    <t>extort</t>
  </si>
  <si>
    <t>extortion</t>
  </si>
  <si>
    <t>extraneous</t>
  </si>
  <si>
    <t>extravagance</t>
  </si>
  <si>
    <t>extravagant</t>
  </si>
  <si>
    <t>extravagantly</t>
  </si>
  <si>
    <t>extremism</t>
  </si>
  <si>
    <t>extremist</t>
  </si>
  <si>
    <t>extremists</t>
  </si>
  <si>
    <t>eyesore</t>
  </si>
  <si>
    <t>f**k</t>
  </si>
  <si>
    <t>fabricate</t>
  </si>
  <si>
    <t>fabrication</t>
  </si>
  <si>
    <t>facetious</t>
  </si>
  <si>
    <t>facetiously</t>
  </si>
  <si>
    <t>fail</t>
  </si>
  <si>
    <t>failing</t>
  </si>
  <si>
    <t>fails</t>
  </si>
  <si>
    <t>failure</t>
  </si>
  <si>
    <t>failures</t>
  </si>
  <si>
    <t>faint</t>
  </si>
  <si>
    <t>fainthearted</t>
  </si>
  <si>
    <t>faithless</t>
  </si>
  <si>
    <t>fake</t>
  </si>
  <si>
    <t>fallacies</t>
  </si>
  <si>
    <t>fallacious</t>
  </si>
  <si>
    <t>fallaciously</t>
  </si>
  <si>
    <t>fallaciousness</t>
  </si>
  <si>
    <t>fallacy</t>
  </si>
  <si>
    <t>fallen</t>
  </si>
  <si>
    <t>falling</t>
  </si>
  <si>
    <t>fallout</t>
  </si>
  <si>
    <t>falls</t>
  </si>
  <si>
    <t>falsehood</t>
  </si>
  <si>
    <t>falsely</t>
  </si>
  <si>
    <t>falsify</t>
  </si>
  <si>
    <t>falter</t>
  </si>
  <si>
    <t>faltered</t>
  </si>
  <si>
    <t>famine</t>
  </si>
  <si>
    <t>famished</t>
  </si>
  <si>
    <t>fanatic</t>
  </si>
  <si>
    <t>fanatical</t>
  </si>
  <si>
    <t>fanatically</t>
  </si>
  <si>
    <t>fanaticism</t>
  </si>
  <si>
    <t>fanatics</t>
  </si>
  <si>
    <t>fanciful</t>
  </si>
  <si>
    <t>far-fetched</t>
  </si>
  <si>
    <t>farce</t>
  </si>
  <si>
    <t>farcical</t>
  </si>
  <si>
    <t>farcical-yet-provocative</t>
  </si>
  <si>
    <t>farcically</t>
  </si>
  <si>
    <t>farfetched</t>
  </si>
  <si>
    <t>fascism</t>
  </si>
  <si>
    <t>fascist</t>
  </si>
  <si>
    <t>fastidious</t>
  </si>
  <si>
    <t>fastidiously</t>
  </si>
  <si>
    <t>fastuous</t>
  </si>
  <si>
    <t>fat</t>
  </si>
  <si>
    <t>fat-cat</t>
  </si>
  <si>
    <t>fat-cats</t>
  </si>
  <si>
    <t>fatal</t>
  </si>
  <si>
    <t>fatalistic</t>
  </si>
  <si>
    <t>fatalistically</t>
  </si>
  <si>
    <t>fatally</t>
  </si>
  <si>
    <t>fatcat</t>
  </si>
  <si>
    <t>fatcats</t>
  </si>
  <si>
    <t>fateful</t>
  </si>
  <si>
    <t>fatefully</t>
  </si>
  <si>
    <t>fathomless</t>
  </si>
  <si>
    <t>fatigue</t>
  </si>
  <si>
    <t>fatigued</t>
  </si>
  <si>
    <t>fatique</t>
  </si>
  <si>
    <t>fatty</t>
  </si>
  <si>
    <t>fatuity</t>
  </si>
  <si>
    <t>fatuous</t>
  </si>
  <si>
    <t>fatuously</t>
  </si>
  <si>
    <t>fault</t>
  </si>
  <si>
    <t>faults</t>
  </si>
  <si>
    <t>faulty</t>
  </si>
  <si>
    <t>fawningly</t>
  </si>
  <si>
    <t>faze</t>
  </si>
  <si>
    <t>fear</t>
  </si>
  <si>
    <t>fearful</t>
  </si>
  <si>
    <t>fearfully</t>
  </si>
  <si>
    <t>fears</t>
  </si>
  <si>
    <t>fearsome</t>
  </si>
  <si>
    <t>feckless</t>
  </si>
  <si>
    <t>feeble</t>
  </si>
  <si>
    <t>feeblely</t>
  </si>
  <si>
    <t>feebleminded</t>
  </si>
  <si>
    <t>feign</t>
  </si>
  <si>
    <t>feint</t>
  </si>
  <si>
    <t>fell</t>
  </si>
  <si>
    <t>felon</t>
  </si>
  <si>
    <t>felonious</t>
  </si>
  <si>
    <t>ferociously</t>
  </si>
  <si>
    <t>ferocity</t>
  </si>
  <si>
    <t>fetid</t>
  </si>
  <si>
    <t>fever</t>
  </si>
  <si>
    <t>feverish</t>
  </si>
  <si>
    <t>fevers</t>
  </si>
  <si>
    <t>fiasco</t>
  </si>
  <si>
    <t>fib</t>
  </si>
  <si>
    <t>fibber</t>
  </si>
  <si>
    <t>fickle</t>
  </si>
  <si>
    <t>fiction</t>
  </si>
  <si>
    <t>fictional</t>
  </si>
  <si>
    <t>fictitious</t>
  </si>
  <si>
    <t>fidget</t>
  </si>
  <si>
    <t>fidgety</t>
  </si>
  <si>
    <t>fiend</t>
  </si>
  <si>
    <t>fiendish</t>
  </si>
  <si>
    <t>fierce</t>
  </si>
  <si>
    <t>figurehead</t>
  </si>
  <si>
    <t>filth</t>
  </si>
  <si>
    <t>filthy</t>
  </si>
  <si>
    <t>finagle</t>
  </si>
  <si>
    <t>finicky</t>
  </si>
  <si>
    <t>fissures</t>
  </si>
  <si>
    <t>fist</t>
  </si>
  <si>
    <t>flabbergast</t>
  </si>
  <si>
    <t>flabbergasted</t>
  </si>
  <si>
    <t>flagging</t>
  </si>
  <si>
    <t>flagrant</t>
  </si>
  <si>
    <t>flagrantly</t>
  </si>
  <si>
    <t>flair</t>
  </si>
  <si>
    <t>flairs</t>
  </si>
  <si>
    <t>flak</t>
  </si>
  <si>
    <t>flake</t>
  </si>
  <si>
    <t>flakey</t>
  </si>
  <si>
    <t>flakieness</t>
  </si>
  <si>
    <t>flaking</t>
  </si>
  <si>
    <t>flaky</t>
  </si>
  <si>
    <t>flare</t>
  </si>
  <si>
    <t>flares</t>
  </si>
  <si>
    <t>flareup</t>
  </si>
  <si>
    <t>flareups</t>
  </si>
  <si>
    <t>flat-out</t>
  </si>
  <si>
    <t>flaunt</t>
  </si>
  <si>
    <t>flaw</t>
  </si>
  <si>
    <t>flawed</t>
  </si>
  <si>
    <t>flaws</t>
  </si>
  <si>
    <t>flee</t>
  </si>
  <si>
    <t>fleed</t>
  </si>
  <si>
    <t>fleeing</t>
  </si>
  <si>
    <t>fleer</t>
  </si>
  <si>
    <t>flees</t>
  </si>
  <si>
    <t>fleeting</t>
  </si>
  <si>
    <t>flicering</t>
  </si>
  <si>
    <t>flicker</t>
  </si>
  <si>
    <t>flickering</t>
  </si>
  <si>
    <t>flickers</t>
  </si>
  <si>
    <t>flighty</t>
  </si>
  <si>
    <t>flimflam</t>
  </si>
  <si>
    <t>flimsy</t>
  </si>
  <si>
    <t>flirt</t>
  </si>
  <si>
    <t>flirty</t>
  </si>
  <si>
    <t>floored</t>
  </si>
  <si>
    <t>flounder</t>
  </si>
  <si>
    <t>floundering</t>
  </si>
  <si>
    <t>flout</t>
  </si>
  <si>
    <t>fluster</t>
  </si>
  <si>
    <t>foe</t>
  </si>
  <si>
    <t>fool</t>
  </si>
  <si>
    <t>fooled</t>
  </si>
  <si>
    <t>foolhardy</t>
  </si>
  <si>
    <t>foolish</t>
  </si>
  <si>
    <t>foolishly</t>
  </si>
  <si>
    <t>foolishness</t>
  </si>
  <si>
    <t>forbid</t>
  </si>
  <si>
    <t>forbidden</t>
  </si>
  <si>
    <t>forbidding</t>
  </si>
  <si>
    <t>forceful</t>
  </si>
  <si>
    <t>foreboding</t>
  </si>
  <si>
    <t>forebodingly</t>
  </si>
  <si>
    <t>forfeit</t>
  </si>
  <si>
    <t>forged</t>
  </si>
  <si>
    <t>forgetful</t>
  </si>
  <si>
    <t>forgetfully</t>
  </si>
  <si>
    <t>forgetfulness</t>
  </si>
  <si>
    <t>forlorn</t>
  </si>
  <si>
    <t>forlornly</t>
  </si>
  <si>
    <t>forsake</t>
  </si>
  <si>
    <t>forsaken</t>
  </si>
  <si>
    <t>forswear</t>
  </si>
  <si>
    <t>foul</t>
  </si>
  <si>
    <t>foully</t>
  </si>
  <si>
    <t>foulness</t>
  </si>
  <si>
    <t>fractious</t>
  </si>
  <si>
    <t>fractiously</t>
  </si>
  <si>
    <t>fracture</t>
  </si>
  <si>
    <t>fragile</t>
  </si>
  <si>
    <t>fragmented</t>
  </si>
  <si>
    <t>frail</t>
  </si>
  <si>
    <t>frantic</t>
  </si>
  <si>
    <t>frantically</t>
  </si>
  <si>
    <t>franticly</t>
  </si>
  <si>
    <t>fraud</t>
  </si>
  <si>
    <t>fraudulent</t>
  </si>
  <si>
    <t>fraught</t>
  </si>
  <si>
    <t>frazzle</t>
  </si>
  <si>
    <t>frazzled</t>
  </si>
  <si>
    <t>freak</t>
  </si>
  <si>
    <t>freaking</t>
  </si>
  <si>
    <t>freakish</t>
  </si>
  <si>
    <t>freakishly</t>
  </si>
  <si>
    <t>freaks</t>
  </si>
  <si>
    <t>freeze</t>
  </si>
  <si>
    <t>freezes</t>
  </si>
  <si>
    <t>freezing</t>
  </si>
  <si>
    <t>frenetic</t>
  </si>
  <si>
    <t>frenetically</t>
  </si>
  <si>
    <t>frenzied</t>
  </si>
  <si>
    <t>frenzy</t>
  </si>
  <si>
    <t>fret</t>
  </si>
  <si>
    <t>fretful</t>
  </si>
  <si>
    <t>frets</t>
  </si>
  <si>
    <t>friction</t>
  </si>
  <si>
    <t>frictions</t>
  </si>
  <si>
    <t>fried</t>
  </si>
  <si>
    <t>friggin</t>
  </si>
  <si>
    <t>frigging</t>
  </si>
  <si>
    <t>fright</t>
  </si>
  <si>
    <t>frighten</t>
  </si>
  <si>
    <t>frightening</t>
  </si>
  <si>
    <t>frighteningly</t>
  </si>
  <si>
    <t>frightful</t>
  </si>
  <si>
    <t>frightfully</t>
  </si>
  <si>
    <t>frigid</t>
  </si>
  <si>
    <t>frost</t>
  </si>
  <si>
    <t>frown</t>
  </si>
  <si>
    <t>froze</t>
  </si>
  <si>
    <t>frozen</t>
  </si>
  <si>
    <t>fruitless</t>
  </si>
  <si>
    <t>fruitlessly</t>
  </si>
  <si>
    <t>frustrate</t>
  </si>
  <si>
    <t>frustrated</t>
  </si>
  <si>
    <t>frustrates</t>
  </si>
  <si>
    <t>frustrating</t>
  </si>
  <si>
    <t>frustratingly</t>
  </si>
  <si>
    <t>frustration</t>
  </si>
  <si>
    <t>frustrations</t>
  </si>
  <si>
    <t>fuck</t>
  </si>
  <si>
    <t>fucking</t>
  </si>
  <si>
    <t>fudge</t>
  </si>
  <si>
    <t>fugitive</t>
  </si>
  <si>
    <t>full-blown</t>
  </si>
  <si>
    <t>fulminate</t>
  </si>
  <si>
    <t>fumble</t>
  </si>
  <si>
    <t>fume</t>
  </si>
  <si>
    <t>fumes</t>
  </si>
  <si>
    <t>fundamentalism</t>
  </si>
  <si>
    <t>funky</t>
  </si>
  <si>
    <t>funnily</t>
  </si>
  <si>
    <t>funny</t>
  </si>
  <si>
    <t>furious</t>
  </si>
  <si>
    <t>furiously</t>
  </si>
  <si>
    <t>furor</t>
  </si>
  <si>
    <t>fury</t>
  </si>
  <si>
    <t>fuss</t>
  </si>
  <si>
    <t>fussy</t>
  </si>
  <si>
    <t>fustigate</t>
  </si>
  <si>
    <t>fusty</t>
  </si>
  <si>
    <t>futile</t>
  </si>
  <si>
    <t>futilely</t>
  </si>
  <si>
    <t>futility</t>
  </si>
  <si>
    <t>fuzzy</t>
  </si>
  <si>
    <t>gabble</t>
  </si>
  <si>
    <t>gaff</t>
  </si>
  <si>
    <t>gaffe</t>
  </si>
  <si>
    <t>gainsay</t>
  </si>
  <si>
    <t>gainsayer</t>
  </si>
  <si>
    <t>gall</t>
  </si>
  <si>
    <t>galling</t>
  </si>
  <si>
    <t>gallingly</t>
  </si>
  <si>
    <t>galls</t>
  </si>
  <si>
    <t>gangster</t>
  </si>
  <si>
    <t>gape</t>
  </si>
  <si>
    <t>garbage</t>
  </si>
  <si>
    <t>garish</t>
  </si>
  <si>
    <t>gasp</t>
  </si>
  <si>
    <t>gauche</t>
  </si>
  <si>
    <t>gaudy</t>
  </si>
  <si>
    <t>gawk</t>
  </si>
  <si>
    <t>gawky</t>
  </si>
  <si>
    <t>geezer</t>
  </si>
  <si>
    <t>genocide</t>
  </si>
  <si>
    <t>get-rich</t>
  </si>
  <si>
    <t>ghastly</t>
  </si>
  <si>
    <t>ghetto</t>
  </si>
  <si>
    <t>ghosting</t>
  </si>
  <si>
    <t>gibber</t>
  </si>
  <si>
    <t>gibberish</t>
  </si>
  <si>
    <t>gibe</t>
  </si>
  <si>
    <t>giddy</t>
  </si>
  <si>
    <t>gimmick</t>
  </si>
  <si>
    <t>gimmicked</t>
  </si>
  <si>
    <t>gimmicking</t>
  </si>
  <si>
    <t>gimmicks</t>
  </si>
  <si>
    <t>gimmicky</t>
  </si>
  <si>
    <t>glare</t>
  </si>
  <si>
    <t>glaringly</t>
  </si>
  <si>
    <t>glib</t>
  </si>
  <si>
    <t>glibly</t>
  </si>
  <si>
    <t>glitch</t>
  </si>
  <si>
    <t>glitches</t>
  </si>
  <si>
    <t>gloatingly</t>
  </si>
  <si>
    <t>gloom</t>
  </si>
  <si>
    <t>gloomy</t>
  </si>
  <si>
    <t>glower</t>
  </si>
  <si>
    <t>glum</t>
  </si>
  <si>
    <t>glut</t>
  </si>
  <si>
    <t>gnawing</t>
  </si>
  <si>
    <t>goad</t>
  </si>
  <si>
    <t>goading</t>
  </si>
  <si>
    <t>god-awful</t>
  </si>
  <si>
    <t>goof</t>
  </si>
  <si>
    <t>goofy</t>
  </si>
  <si>
    <t>goon</t>
  </si>
  <si>
    <t>gossip</t>
  </si>
  <si>
    <t>graceless</t>
  </si>
  <si>
    <t>gracelessly</t>
  </si>
  <si>
    <t>graft</t>
  </si>
  <si>
    <t>grainy</t>
  </si>
  <si>
    <t>grapple</t>
  </si>
  <si>
    <t>grate</t>
  </si>
  <si>
    <t>grating</t>
  </si>
  <si>
    <t>gravely</t>
  </si>
  <si>
    <t>greasy</t>
  </si>
  <si>
    <t>greed</t>
  </si>
  <si>
    <t>greedy</t>
  </si>
  <si>
    <t>grief</t>
  </si>
  <si>
    <t>grievance</t>
  </si>
  <si>
    <t>grievances</t>
  </si>
  <si>
    <t>grieve</t>
  </si>
  <si>
    <t>grieving</t>
  </si>
  <si>
    <t>grievous</t>
  </si>
  <si>
    <t>grievously</t>
  </si>
  <si>
    <t>grim</t>
  </si>
  <si>
    <t>grimace</t>
  </si>
  <si>
    <t>grind</t>
  </si>
  <si>
    <t>gripe</t>
  </si>
  <si>
    <t>gripes</t>
  </si>
  <si>
    <t>grisly</t>
  </si>
  <si>
    <t>gritty</t>
  </si>
  <si>
    <t>gross</t>
  </si>
  <si>
    <t>grossly</t>
  </si>
  <si>
    <t>grotesque</t>
  </si>
  <si>
    <t>grouch</t>
  </si>
  <si>
    <t>grouchy</t>
  </si>
  <si>
    <t>groundless</t>
  </si>
  <si>
    <t>grouse</t>
  </si>
  <si>
    <t>growl</t>
  </si>
  <si>
    <t>grudge</t>
  </si>
  <si>
    <t>grudges</t>
  </si>
  <si>
    <t>grudging</t>
  </si>
  <si>
    <t>grudgingly</t>
  </si>
  <si>
    <t>gruesome</t>
  </si>
  <si>
    <t>gruesomely</t>
  </si>
  <si>
    <t>gruff</t>
  </si>
  <si>
    <t>grumble</t>
  </si>
  <si>
    <t>grumpier</t>
  </si>
  <si>
    <t>grumpiest</t>
  </si>
  <si>
    <t>grumpily</t>
  </si>
  <si>
    <t>grumpish</t>
  </si>
  <si>
    <t>grumpy</t>
  </si>
  <si>
    <t>guile</t>
  </si>
  <si>
    <t>guilt</t>
  </si>
  <si>
    <t>guiltily</t>
  </si>
  <si>
    <t>guilty</t>
  </si>
  <si>
    <t>gullible</t>
  </si>
  <si>
    <t>gutless</t>
  </si>
  <si>
    <t>gutter</t>
  </si>
  <si>
    <t>hack</t>
  </si>
  <si>
    <t>hacks</t>
  </si>
  <si>
    <t>haggard</t>
  </si>
  <si>
    <t>haggle</t>
  </si>
  <si>
    <t>hairloss</t>
  </si>
  <si>
    <t>halfhearted</t>
  </si>
  <si>
    <t>halfheartedly</t>
  </si>
  <si>
    <t>hallucinate</t>
  </si>
  <si>
    <t>hallucination</t>
  </si>
  <si>
    <t>hamper</t>
  </si>
  <si>
    <t>hampered</t>
  </si>
  <si>
    <t>handicapped</t>
  </si>
  <si>
    <t>hang</t>
  </si>
  <si>
    <t>hangs</t>
  </si>
  <si>
    <t>haphazard</t>
  </si>
  <si>
    <t>hapless</t>
  </si>
  <si>
    <t>harangue</t>
  </si>
  <si>
    <t>harass</t>
  </si>
  <si>
    <t>harassed</t>
  </si>
  <si>
    <t>harasses</t>
  </si>
  <si>
    <t>harassment</t>
  </si>
  <si>
    <t>harboring</t>
  </si>
  <si>
    <t>harbors</t>
  </si>
  <si>
    <t>hard</t>
  </si>
  <si>
    <t>hard-hit</t>
  </si>
  <si>
    <t>hard-line</t>
  </si>
  <si>
    <t>hard-liner</t>
  </si>
  <si>
    <t>hardball</t>
  </si>
  <si>
    <t>harden</t>
  </si>
  <si>
    <t>hardened</t>
  </si>
  <si>
    <t>hardheaded</t>
  </si>
  <si>
    <t>hardhearted</t>
  </si>
  <si>
    <t>hardliner</t>
  </si>
  <si>
    <t>hardliners</t>
  </si>
  <si>
    <t>hardship</t>
  </si>
  <si>
    <t>hardships</t>
  </si>
  <si>
    <t>harm</t>
  </si>
  <si>
    <t>harmed</t>
  </si>
  <si>
    <t>harmful</t>
  </si>
  <si>
    <t>harms</t>
  </si>
  <si>
    <t>harpy</t>
  </si>
  <si>
    <t>harridan</t>
  </si>
  <si>
    <t>harried</t>
  </si>
  <si>
    <t>harrow</t>
  </si>
  <si>
    <t>harsh</t>
  </si>
  <si>
    <t>harshly</t>
  </si>
  <si>
    <t>hasseling</t>
  </si>
  <si>
    <t>hassle</t>
  </si>
  <si>
    <t>hassled</t>
  </si>
  <si>
    <t>hassles</t>
  </si>
  <si>
    <t>haste</t>
  </si>
  <si>
    <t>hastily</t>
  </si>
  <si>
    <t>hasty</t>
  </si>
  <si>
    <t>hate</t>
  </si>
  <si>
    <t>hated</t>
  </si>
  <si>
    <t>hateful</t>
  </si>
  <si>
    <t>hatefully</t>
  </si>
  <si>
    <t>hatefulness</t>
  </si>
  <si>
    <t>hater</t>
  </si>
  <si>
    <t>haters</t>
  </si>
  <si>
    <t>hates</t>
  </si>
  <si>
    <t>hating</t>
  </si>
  <si>
    <t>hatred</t>
  </si>
  <si>
    <t>haughtily</t>
  </si>
  <si>
    <t>haughty</t>
  </si>
  <si>
    <t>haunt</t>
  </si>
  <si>
    <t>haunting</t>
  </si>
  <si>
    <t>havoc</t>
  </si>
  <si>
    <t>hawkish</t>
  </si>
  <si>
    <t>haywire</t>
  </si>
  <si>
    <t>hazard</t>
  </si>
  <si>
    <t>hazardous</t>
  </si>
  <si>
    <t>haze</t>
  </si>
  <si>
    <t>hazy</t>
  </si>
  <si>
    <t>head-aches</t>
  </si>
  <si>
    <t>headache</t>
  </si>
  <si>
    <t>headaches</t>
  </si>
  <si>
    <t>heartbreaker</t>
  </si>
  <si>
    <t>heartbreaking</t>
  </si>
  <si>
    <t>heartbreakingly</t>
  </si>
  <si>
    <t>heartless</t>
  </si>
  <si>
    <t>heathen</t>
  </si>
  <si>
    <t>heavy-handed</t>
  </si>
  <si>
    <t>heavyhearted</t>
  </si>
  <si>
    <t>heck</t>
  </si>
  <si>
    <t>heckle</t>
  </si>
  <si>
    <t>heckled</t>
  </si>
  <si>
    <t>heckles</t>
  </si>
  <si>
    <t>hectic</t>
  </si>
  <si>
    <t>hedge</t>
  </si>
  <si>
    <t>hedonistic</t>
  </si>
  <si>
    <t>heedless</t>
  </si>
  <si>
    <t>hefty</t>
  </si>
  <si>
    <t>hegemonism</t>
  </si>
  <si>
    <t>hegemonistic</t>
  </si>
  <si>
    <t>hegemony</t>
  </si>
  <si>
    <t>heinous</t>
  </si>
  <si>
    <t>hell</t>
  </si>
  <si>
    <t>hell-bent</t>
  </si>
  <si>
    <t>hellion</t>
  </si>
  <si>
    <t>hells</t>
  </si>
  <si>
    <t>helpless</t>
  </si>
  <si>
    <t>helplessly</t>
  </si>
  <si>
    <t>helplessness</t>
  </si>
  <si>
    <t>heresy</t>
  </si>
  <si>
    <t>heretic</t>
  </si>
  <si>
    <t>heretical</t>
  </si>
  <si>
    <t>hesitant</t>
  </si>
  <si>
    <t>hestitant</t>
  </si>
  <si>
    <t>hideous</t>
  </si>
  <si>
    <t>hideously</t>
  </si>
  <si>
    <t>hideousness</t>
  </si>
  <si>
    <t>high-priced</t>
  </si>
  <si>
    <t>hiliarious</t>
  </si>
  <si>
    <t>hinder</t>
  </si>
  <si>
    <t>hindrance</t>
  </si>
  <si>
    <t>hiss</t>
  </si>
  <si>
    <t>hissed</t>
  </si>
  <si>
    <t>hissing</t>
  </si>
  <si>
    <t>ho-hum</t>
  </si>
  <si>
    <t>hoard</t>
  </si>
  <si>
    <t>hoax</t>
  </si>
  <si>
    <t>hobble</t>
  </si>
  <si>
    <t>hogs</t>
  </si>
  <si>
    <t>hollow</t>
  </si>
  <si>
    <t>hoodium</t>
  </si>
  <si>
    <t>hoodwink</t>
  </si>
  <si>
    <t>hooligan</t>
  </si>
  <si>
    <t>hopeless</t>
  </si>
  <si>
    <t>hopelessly</t>
  </si>
  <si>
    <t>hopelessness</t>
  </si>
  <si>
    <t>horde</t>
  </si>
  <si>
    <t>horrendous</t>
  </si>
  <si>
    <t>horrendously</t>
  </si>
  <si>
    <t>horrible</t>
  </si>
  <si>
    <t>horrid</t>
  </si>
  <si>
    <t>horrific</t>
  </si>
  <si>
    <t>horrified</t>
  </si>
  <si>
    <t>horrifies</t>
  </si>
  <si>
    <t>horrify</t>
  </si>
  <si>
    <t>horrifying</t>
  </si>
  <si>
    <t>horrifys</t>
  </si>
  <si>
    <t>hostage</t>
  </si>
  <si>
    <t>hostile</t>
  </si>
  <si>
    <t>hostilities</t>
  </si>
  <si>
    <t>hostility</t>
  </si>
  <si>
    <t>hotbeds</t>
  </si>
  <si>
    <t>hothead</t>
  </si>
  <si>
    <t>hotheaded</t>
  </si>
  <si>
    <t>hothouse</t>
  </si>
  <si>
    <t>hubris</t>
  </si>
  <si>
    <t>huckster</t>
  </si>
  <si>
    <t>hum</t>
  </si>
  <si>
    <t>humid</t>
  </si>
  <si>
    <t>humiliate</t>
  </si>
  <si>
    <t>humiliating</t>
  </si>
  <si>
    <t>humiliation</t>
  </si>
  <si>
    <t>humming</t>
  </si>
  <si>
    <t>hung</t>
  </si>
  <si>
    <t>hurt</t>
  </si>
  <si>
    <t>hurted</t>
  </si>
  <si>
    <t>hurtful</t>
  </si>
  <si>
    <t>hurting</t>
  </si>
  <si>
    <t>hurts</t>
  </si>
  <si>
    <t>hustler</t>
  </si>
  <si>
    <t>hype</t>
  </si>
  <si>
    <t>hypocricy</t>
  </si>
  <si>
    <t>hypocrisy</t>
  </si>
  <si>
    <t>hypocrite</t>
  </si>
  <si>
    <t>hypocrites</t>
  </si>
  <si>
    <t>hypocritical</t>
  </si>
  <si>
    <t>hypocritically</t>
  </si>
  <si>
    <t>hysteria</t>
  </si>
  <si>
    <t>hysteric</t>
  </si>
  <si>
    <t>hysterical</t>
  </si>
  <si>
    <t>hysterically</t>
  </si>
  <si>
    <t>hysterics</t>
  </si>
  <si>
    <t>idiocies</t>
  </si>
  <si>
    <t>idiocy</t>
  </si>
  <si>
    <t>idiot</t>
  </si>
  <si>
    <t>idiotic</t>
  </si>
  <si>
    <t>idiotically</t>
  </si>
  <si>
    <t>idiots</t>
  </si>
  <si>
    <t>idle</t>
  </si>
  <si>
    <t>ignoble</t>
  </si>
  <si>
    <t>ignominious</t>
  </si>
  <si>
    <t>ignominiously</t>
  </si>
  <si>
    <t>ignominy</t>
  </si>
  <si>
    <t>ignorance</t>
  </si>
  <si>
    <t>ignorant</t>
  </si>
  <si>
    <t>ignore</t>
  </si>
  <si>
    <t>ill-advised</t>
  </si>
  <si>
    <t>ill-conceived</t>
  </si>
  <si>
    <t>ill-defined</t>
  </si>
  <si>
    <t>ill-designed</t>
  </si>
  <si>
    <t>ill-fated</t>
  </si>
  <si>
    <t>ill-favored</t>
  </si>
  <si>
    <t>ill-formed</t>
  </si>
  <si>
    <t>ill-mannered</t>
  </si>
  <si>
    <t>ill-natured</t>
  </si>
  <si>
    <t>ill-sorted</t>
  </si>
  <si>
    <t>ill-tempered</t>
  </si>
  <si>
    <t>ill-treated</t>
  </si>
  <si>
    <t>ill-treatment</t>
  </si>
  <si>
    <t>ill-usage</t>
  </si>
  <si>
    <t>ill-used</t>
  </si>
  <si>
    <t>illegal</t>
  </si>
  <si>
    <t>illegally</t>
  </si>
  <si>
    <t>illegitimate</t>
  </si>
  <si>
    <t>illicit</t>
  </si>
  <si>
    <t>illiterate</t>
  </si>
  <si>
    <t>illness</t>
  </si>
  <si>
    <t>illogic</t>
  </si>
  <si>
    <t>illogical</t>
  </si>
  <si>
    <t>illogically</t>
  </si>
  <si>
    <t>illusion</t>
  </si>
  <si>
    <t>illusions</t>
  </si>
  <si>
    <t>illusory</t>
  </si>
  <si>
    <t>imaginary</t>
  </si>
  <si>
    <t>imbalance</t>
  </si>
  <si>
    <t>imbecile</t>
  </si>
  <si>
    <t>imbroglio</t>
  </si>
  <si>
    <t>immaterial</t>
  </si>
  <si>
    <t>immature</t>
  </si>
  <si>
    <t>imminence</t>
  </si>
  <si>
    <t>imminently</t>
  </si>
  <si>
    <t>immobilized</t>
  </si>
  <si>
    <t>immoderate</t>
  </si>
  <si>
    <t>immoderately</t>
  </si>
  <si>
    <t>immodest</t>
  </si>
  <si>
    <t>immoral</t>
  </si>
  <si>
    <t>immorality</t>
  </si>
  <si>
    <t>immorally</t>
  </si>
  <si>
    <t>immovable</t>
  </si>
  <si>
    <t>impair</t>
  </si>
  <si>
    <t>impaired</t>
  </si>
  <si>
    <t>impasse</t>
  </si>
  <si>
    <t>impatience</t>
  </si>
  <si>
    <t>impatient</t>
  </si>
  <si>
    <t>impatiently</t>
  </si>
  <si>
    <t>impeach</t>
  </si>
  <si>
    <t>impedance</t>
  </si>
  <si>
    <t>impede</t>
  </si>
  <si>
    <t>impediment</t>
  </si>
  <si>
    <t>impending</t>
  </si>
  <si>
    <t>impenitent</t>
  </si>
  <si>
    <t>imperfect</t>
  </si>
  <si>
    <t>imperfection</t>
  </si>
  <si>
    <t>imperfections</t>
  </si>
  <si>
    <t>imperfectly</t>
  </si>
  <si>
    <t>imperialist</t>
  </si>
  <si>
    <t>imperil</t>
  </si>
  <si>
    <t>imperious</t>
  </si>
  <si>
    <t>imperiously</t>
  </si>
  <si>
    <t>impermissible</t>
  </si>
  <si>
    <t>impersonal</t>
  </si>
  <si>
    <t>impertinent</t>
  </si>
  <si>
    <t>impetuous</t>
  </si>
  <si>
    <t>impetuously</t>
  </si>
  <si>
    <t>impiety</t>
  </si>
  <si>
    <t>impinge</t>
  </si>
  <si>
    <t>impious</t>
  </si>
  <si>
    <t>implacable</t>
  </si>
  <si>
    <t>implausible</t>
  </si>
  <si>
    <t>implausibly</t>
  </si>
  <si>
    <t>implicate</t>
  </si>
  <si>
    <t>implication</t>
  </si>
  <si>
    <t>implode</t>
  </si>
  <si>
    <t>impolite</t>
  </si>
  <si>
    <t>impolitely</t>
  </si>
  <si>
    <t>impolitic</t>
  </si>
  <si>
    <t>importunate</t>
  </si>
  <si>
    <t>importune</t>
  </si>
  <si>
    <t>impose</t>
  </si>
  <si>
    <t>imposers</t>
  </si>
  <si>
    <t>imposing</t>
  </si>
  <si>
    <t>imposition</t>
  </si>
  <si>
    <t>impossible</t>
  </si>
  <si>
    <t>impossiblity</t>
  </si>
  <si>
    <t>impossibly</t>
  </si>
  <si>
    <t>impotent</t>
  </si>
  <si>
    <t>impoverish</t>
  </si>
  <si>
    <t>impoverished</t>
  </si>
  <si>
    <t>impractical</t>
  </si>
  <si>
    <t>imprecate</t>
  </si>
  <si>
    <t>imprecise</t>
  </si>
  <si>
    <t>imprecisely</t>
  </si>
  <si>
    <t>imprecision</t>
  </si>
  <si>
    <t>imprison</t>
  </si>
  <si>
    <t>imprisonment</t>
  </si>
  <si>
    <t>improbability</t>
  </si>
  <si>
    <t>improbable</t>
  </si>
  <si>
    <t>improbably</t>
  </si>
  <si>
    <t>improper</t>
  </si>
  <si>
    <t>improperly</t>
  </si>
  <si>
    <t>impropriety</t>
  </si>
  <si>
    <t>imprudence</t>
  </si>
  <si>
    <t>imprudent</t>
  </si>
  <si>
    <t>impudence</t>
  </si>
  <si>
    <t>impudent</t>
  </si>
  <si>
    <t>impudently</t>
  </si>
  <si>
    <t>impugn</t>
  </si>
  <si>
    <t>impulsive</t>
  </si>
  <si>
    <t>impulsively</t>
  </si>
  <si>
    <t>impunity</t>
  </si>
  <si>
    <t>impure</t>
  </si>
  <si>
    <t>impurity</t>
  </si>
  <si>
    <t>inability</t>
  </si>
  <si>
    <t>inaccuracies</t>
  </si>
  <si>
    <t>inaccuracy</t>
  </si>
  <si>
    <t>inaccurate</t>
  </si>
  <si>
    <t>inaccurately</t>
  </si>
  <si>
    <t>inaction</t>
  </si>
  <si>
    <t>inactive</t>
  </si>
  <si>
    <t>inadequacy</t>
  </si>
  <si>
    <t>inadequate</t>
  </si>
  <si>
    <t>inadequately</t>
  </si>
  <si>
    <t>inadverent</t>
  </si>
  <si>
    <t>inadverently</t>
  </si>
  <si>
    <t>inadvisable</t>
  </si>
  <si>
    <t>inadvisably</t>
  </si>
  <si>
    <t>inane</t>
  </si>
  <si>
    <t>inanely</t>
  </si>
  <si>
    <t>inappropriate</t>
  </si>
  <si>
    <t>inappropriately</t>
  </si>
  <si>
    <t>inapt</t>
  </si>
  <si>
    <t>inaptitude</t>
  </si>
  <si>
    <t>inarticulate</t>
  </si>
  <si>
    <t>inattentive</t>
  </si>
  <si>
    <t>inaudible</t>
  </si>
  <si>
    <t>incapable</t>
  </si>
  <si>
    <t>incapably</t>
  </si>
  <si>
    <t>incautious</t>
  </si>
  <si>
    <t>incendiary</t>
  </si>
  <si>
    <t>incense</t>
  </si>
  <si>
    <t>incessant</t>
  </si>
  <si>
    <t>incessantly</t>
  </si>
  <si>
    <t>incite</t>
  </si>
  <si>
    <t>incitement</t>
  </si>
  <si>
    <t>incivility</t>
  </si>
  <si>
    <t>inclement</t>
  </si>
  <si>
    <t>incognizant</t>
  </si>
  <si>
    <t>incoherence</t>
  </si>
  <si>
    <t>incoherent</t>
  </si>
  <si>
    <t>incoherently</t>
  </si>
  <si>
    <t>incommensurate</t>
  </si>
  <si>
    <t>incomparable</t>
  </si>
  <si>
    <t>incomparably</t>
  </si>
  <si>
    <t>incompatability</t>
  </si>
  <si>
    <t>incompatibility</t>
  </si>
  <si>
    <t>incompatible</t>
  </si>
  <si>
    <t>incompetence</t>
  </si>
  <si>
    <t>incompetent</t>
  </si>
  <si>
    <t>incompetently</t>
  </si>
  <si>
    <t>incomplete</t>
  </si>
  <si>
    <t>incompliant</t>
  </si>
  <si>
    <t>incomprehensible</t>
  </si>
  <si>
    <t>incomprehension</t>
  </si>
  <si>
    <t>inconceivable</t>
  </si>
  <si>
    <t>inconceivably</t>
  </si>
  <si>
    <t>incongruous</t>
  </si>
  <si>
    <t>incongruously</t>
  </si>
  <si>
    <t>inconsequent</t>
  </si>
  <si>
    <t>inconsequential</t>
  </si>
  <si>
    <t>inconsequentially</t>
  </si>
  <si>
    <t>inconsequently</t>
  </si>
  <si>
    <t>inconsiderate</t>
  </si>
  <si>
    <t>inconsiderately</t>
  </si>
  <si>
    <t>inconsistence</t>
  </si>
  <si>
    <t>inconsistencies</t>
  </si>
  <si>
    <t>inconsistency</t>
  </si>
  <si>
    <t>inconsistent</t>
  </si>
  <si>
    <t>inconsolable</t>
  </si>
  <si>
    <t>inconsolably</t>
  </si>
  <si>
    <t>inconstant</t>
  </si>
  <si>
    <t>inconvenience</t>
  </si>
  <si>
    <t>inconveniently</t>
  </si>
  <si>
    <t>incorrect</t>
  </si>
  <si>
    <t>incorrectly</t>
  </si>
  <si>
    <t>incorrigible</t>
  </si>
  <si>
    <t>incorrigibly</t>
  </si>
  <si>
    <t>incredulous</t>
  </si>
  <si>
    <t>incredulously</t>
  </si>
  <si>
    <t>inculcate</t>
  </si>
  <si>
    <t>indecency</t>
  </si>
  <si>
    <t>indecent</t>
  </si>
  <si>
    <t>indecently</t>
  </si>
  <si>
    <t>indecision</t>
  </si>
  <si>
    <t>indecisive</t>
  </si>
  <si>
    <t>indecisively</t>
  </si>
  <si>
    <t>indecorum</t>
  </si>
  <si>
    <t>indefensible</t>
  </si>
  <si>
    <t>indelicate</t>
  </si>
  <si>
    <t>indeterminable</t>
  </si>
  <si>
    <t>indeterminably</t>
  </si>
  <si>
    <t>indeterminate</t>
  </si>
  <si>
    <t>indifference</t>
  </si>
  <si>
    <t>indifferent</t>
  </si>
  <si>
    <t>indigent</t>
  </si>
  <si>
    <t>indignant</t>
  </si>
  <si>
    <t>indignantly</t>
  </si>
  <si>
    <t>indignation</t>
  </si>
  <si>
    <t>indignity</t>
  </si>
  <si>
    <t>indiscernible</t>
  </si>
  <si>
    <t>indiscreet</t>
  </si>
  <si>
    <t>indiscreetly</t>
  </si>
  <si>
    <t>indiscretion</t>
  </si>
  <si>
    <t>indiscriminate</t>
  </si>
  <si>
    <t>indiscriminately</t>
  </si>
  <si>
    <t>indiscriminating</t>
  </si>
  <si>
    <t>indistinguishable</t>
  </si>
  <si>
    <t>indoctrinate</t>
  </si>
  <si>
    <t>indoctrination</t>
  </si>
  <si>
    <t>indolent</t>
  </si>
  <si>
    <t>indulge</t>
  </si>
  <si>
    <t>ineffective</t>
  </si>
  <si>
    <t>ineffectively</t>
  </si>
  <si>
    <t>ineffectiveness</t>
  </si>
  <si>
    <t>ineffectual</t>
  </si>
  <si>
    <t>ineffectually</t>
  </si>
  <si>
    <t>ineffectualness</t>
  </si>
  <si>
    <t>inefficacious</t>
  </si>
  <si>
    <t>inefficacy</t>
  </si>
  <si>
    <t>inefficiency</t>
  </si>
  <si>
    <t>inefficient</t>
  </si>
  <si>
    <t>inefficiently</t>
  </si>
  <si>
    <t>inelegance</t>
  </si>
  <si>
    <t>inelegant</t>
  </si>
  <si>
    <t>ineligible</t>
  </si>
  <si>
    <t>ineloquent</t>
  </si>
  <si>
    <t>ineloquently</t>
  </si>
  <si>
    <t>inept</t>
  </si>
  <si>
    <t>ineptitude</t>
  </si>
  <si>
    <t>ineptly</t>
  </si>
  <si>
    <t>inequalities</t>
  </si>
  <si>
    <t>inequality</t>
  </si>
  <si>
    <t>inequitable</t>
  </si>
  <si>
    <t>inequitably</t>
  </si>
  <si>
    <t>inequities</t>
  </si>
  <si>
    <t>inescapable</t>
  </si>
  <si>
    <t>inescapably</t>
  </si>
  <si>
    <t>inessential</t>
  </si>
  <si>
    <t>inevitable</t>
  </si>
  <si>
    <t>inevitably</t>
  </si>
  <si>
    <t>inexcusable</t>
  </si>
  <si>
    <t>inexcusably</t>
  </si>
  <si>
    <t>inexorable</t>
  </si>
  <si>
    <t>inexorably</t>
  </si>
  <si>
    <t>inexperience</t>
  </si>
  <si>
    <t>inexperienced</t>
  </si>
  <si>
    <t>inexpert</t>
  </si>
  <si>
    <t>inexpertly</t>
  </si>
  <si>
    <t>inexpiable</t>
  </si>
  <si>
    <t>inexplainable</t>
  </si>
  <si>
    <t>inextricable</t>
  </si>
  <si>
    <t>inextricably</t>
  </si>
  <si>
    <t>infamous</t>
  </si>
  <si>
    <t>infamously</t>
  </si>
  <si>
    <t>infamy</t>
  </si>
  <si>
    <t>infected</t>
  </si>
  <si>
    <t>infection</t>
  </si>
  <si>
    <t>infections</t>
  </si>
  <si>
    <t>inferior</t>
  </si>
  <si>
    <t>inferiority</t>
  </si>
  <si>
    <t>infernal</t>
  </si>
  <si>
    <t>infest</t>
  </si>
  <si>
    <t>infested</t>
  </si>
  <si>
    <t>infidel</t>
  </si>
  <si>
    <t>infidels</t>
  </si>
  <si>
    <t>infiltrator</t>
  </si>
  <si>
    <t>infiltrators</t>
  </si>
  <si>
    <t>infirm</t>
  </si>
  <si>
    <t>inflame</t>
  </si>
  <si>
    <t>inflammation</t>
  </si>
  <si>
    <t>inflammatory</t>
  </si>
  <si>
    <t>inflammed</t>
  </si>
  <si>
    <t>inflated</t>
  </si>
  <si>
    <t>inflationary</t>
  </si>
  <si>
    <t>inflexible</t>
  </si>
  <si>
    <t>inflict</t>
  </si>
  <si>
    <t>infraction</t>
  </si>
  <si>
    <t>infringe</t>
  </si>
  <si>
    <t>infringement</t>
  </si>
  <si>
    <t>infringements</t>
  </si>
  <si>
    <t>infuriate</t>
  </si>
  <si>
    <t>infuriated</t>
  </si>
  <si>
    <t>infuriating</t>
  </si>
  <si>
    <t>infuriatingly</t>
  </si>
  <si>
    <t>inglorious</t>
  </si>
  <si>
    <t>ingrate</t>
  </si>
  <si>
    <t>ingratitude</t>
  </si>
  <si>
    <t>inhibit</t>
  </si>
  <si>
    <t>inhibition</t>
  </si>
  <si>
    <t>inhospitable</t>
  </si>
  <si>
    <t>inhospitality</t>
  </si>
  <si>
    <t>inhuman</t>
  </si>
  <si>
    <t>inhumane</t>
  </si>
  <si>
    <t>inhumanity</t>
  </si>
  <si>
    <t>inimical</t>
  </si>
  <si>
    <t>inimically</t>
  </si>
  <si>
    <t>iniquitous</t>
  </si>
  <si>
    <t>iniquity</t>
  </si>
  <si>
    <t>injudicious</t>
  </si>
  <si>
    <t>injure</t>
  </si>
  <si>
    <t>injurious</t>
  </si>
  <si>
    <t>injury</t>
  </si>
  <si>
    <t>injustice</t>
  </si>
  <si>
    <t>injustices</t>
  </si>
  <si>
    <t>innuendo</t>
  </si>
  <si>
    <t>inoperable</t>
  </si>
  <si>
    <t>inopportune</t>
  </si>
  <si>
    <t>inordinate</t>
  </si>
  <si>
    <t>inordinately</t>
  </si>
  <si>
    <t>insane</t>
  </si>
  <si>
    <t>insanely</t>
  </si>
  <si>
    <t>insanity</t>
  </si>
  <si>
    <t>insatiable</t>
  </si>
  <si>
    <t>insecure</t>
  </si>
  <si>
    <t>insecurity</t>
  </si>
  <si>
    <t>insensible</t>
  </si>
  <si>
    <t>insensitive</t>
  </si>
  <si>
    <t>insensitively</t>
  </si>
  <si>
    <t>insensitivity</t>
  </si>
  <si>
    <t>insidious</t>
  </si>
  <si>
    <t>insidiously</t>
  </si>
  <si>
    <t>insignificance</t>
  </si>
  <si>
    <t>insignificant</t>
  </si>
  <si>
    <t>insignificantly</t>
  </si>
  <si>
    <t>insincere</t>
  </si>
  <si>
    <t>insincerely</t>
  </si>
  <si>
    <t>insincerity</t>
  </si>
  <si>
    <t>insinuate</t>
  </si>
  <si>
    <t>insinuating</t>
  </si>
  <si>
    <t>insinuation</t>
  </si>
  <si>
    <t>insociable</t>
  </si>
  <si>
    <t>insolence</t>
  </si>
  <si>
    <t>insolent</t>
  </si>
  <si>
    <t>insolently</t>
  </si>
  <si>
    <t>insolvent</t>
  </si>
  <si>
    <t>insouciance</t>
  </si>
  <si>
    <t>instability</t>
  </si>
  <si>
    <t>instable</t>
  </si>
  <si>
    <t>instigate</t>
  </si>
  <si>
    <t>instigator</t>
  </si>
  <si>
    <t>instigators</t>
  </si>
  <si>
    <t>insubordinate</t>
  </si>
  <si>
    <t>insubstantial</t>
  </si>
  <si>
    <t>insubstantially</t>
  </si>
  <si>
    <t>insufferable</t>
  </si>
  <si>
    <t>insufferably</t>
  </si>
  <si>
    <t>insufficiency</t>
  </si>
  <si>
    <t>insufficient</t>
  </si>
  <si>
    <t>insufficiently</t>
  </si>
  <si>
    <t>insular</t>
  </si>
  <si>
    <t>insult</t>
  </si>
  <si>
    <t>insulted</t>
  </si>
  <si>
    <t>insulting</t>
  </si>
  <si>
    <t>insultingly</t>
  </si>
  <si>
    <t>insults</t>
  </si>
  <si>
    <t>insupportable</t>
  </si>
  <si>
    <t>insupportably</t>
  </si>
  <si>
    <t>insurmountable</t>
  </si>
  <si>
    <t>insurmountably</t>
  </si>
  <si>
    <t>insurrection</t>
  </si>
  <si>
    <t>intefere</t>
  </si>
  <si>
    <t>inteferes</t>
  </si>
  <si>
    <t>intense</t>
  </si>
  <si>
    <t>interfere</t>
  </si>
  <si>
    <t>interference</t>
  </si>
  <si>
    <t>interferes</t>
  </si>
  <si>
    <t>intermittent</t>
  </si>
  <si>
    <t>interrupt</t>
  </si>
  <si>
    <t>interruption</t>
  </si>
  <si>
    <t>interruptions</t>
  </si>
  <si>
    <t>intimidate</t>
  </si>
  <si>
    <t>intimidating</t>
  </si>
  <si>
    <t>intimidatingly</t>
  </si>
  <si>
    <t>intimidation</t>
  </si>
  <si>
    <t>intolerable</t>
  </si>
  <si>
    <t>intolerablely</t>
  </si>
  <si>
    <t>intolerance</t>
  </si>
  <si>
    <t>intoxicate</t>
  </si>
  <si>
    <t>intractable</t>
  </si>
  <si>
    <t>intransigence</t>
  </si>
  <si>
    <t>intransigent</t>
  </si>
  <si>
    <t>intrude</t>
  </si>
  <si>
    <t>intrusion</t>
  </si>
  <si>
    <t>intrusive</t>
  </si>
  <si>
    <t>inundate</t>
  </si>
  <si>
    <t>inundated</t>
  </si>
  <si>
    <t>invader</t>
  </si>
  <si>
    <t>invalid</t>
  </si>
  <si>
    <t>invalidate</t>
  </si>
  <si>
    <t>invalidity</t>
  </si>
  <si>
    <t>invasive</t>
  </si>
  <si>
    <t>invective</t>
  </si>
  <si>
    <t>inveigle</t>
  </si>
  <si>
    <t>invidious</t>
  </si>
  <si>
    <t>invidiously</t>
  </si>
  <si>
    <t>invidiousness</t>
  </si>
  <si>
    <t>invisible</t>
  </si>
  <si>
    <t>involuntarily</t>
  </si>
  <si>
    <t>involuntary</t>
  </si>
  <si>
    <t>irascible</t>
  </si>
  <si>
    <t>irate</t>
  </si>
  <si>
    <t>irately</t>
  </si>
  <si>
    <t>ire</t>
  </si>
  <si>
    <t>irk</t>
  </si>
  <si>
    <t>irked</t>
  </si>
  <si>
    <t>irking</t>
  </si>
  <si>
    <t>irks</t>
  </si>
  <si>
    <t>irksome</t>
  </si>
  <si>
    <t>irksomely</t>
  </si>
  <si>
    <t>irksomeness</t>
  </si>
  <si>
    <t>irksomenesses</t>
  </si>
  <si>
    <t>ironic</t>
  </si>
  <si>
    <t>ironical</t>
  </si>
  <si>
    <t>ironically</t>
  </si>
  <si>
    <t>ironies</t>
  </si>
  <si>
    <t>irony</t>
  </si>
  <si>
    <t>irragularity</t>
  </si>
  <si>
    <t>irrational</t>
  </si>
  <si>
    <t>irrationalities</t>
  </si>
  <si>
    <t>irrationality</t>
  </si>
  <si>
    <t>irrationally</t>
  </si>
  <si>
    <t>irrationals</t>
  </si>
  <si>
    <t>irreconcilable</t>
  </si>
  <si>
    <t>irrecoverable</t>
  </si>
  <si>
    <t>irrecoverableness</t>
  </si>
  <si>
    <t>irrecoverablenesses</t>
  </si>
  <si>
    <t>irrecoverably</t>
  </si>
  <si>
    <t>irredeemable</t>
  </si>
  <si>
    <t>irredeemably</t>
  </si>
  <si>
    <t>irreformable</t>
  </si>
  <si>
    <t>irregular</t>
  </si>
  <si>
    <t>irregularity</t>
  </si>
  <si>
    <t>irrelevance</t>
  </si>
  <si>
    <t>irrelevant</t>
  </si>
  <si>
    <t>irreparable</t>
  </si>
  <si>
    <t>irreplacible</t>
  </si>
  <si>
    <t>irrepressible</t>
  </si>
  <si>
    <t>irresolute</t>
  </si>
  <si>
    <t>irresolvable</t>
  </si>
  <si>
    <t>irresponsible</t>
  </si>
  <si>
    <t>irresponsibly</t>
  </si>
  <si>
    <t>irretating</t>
  </si>
  <si>
    <t>irretrievable</t>
  </si>
  <si>
    <t>irreversible</t>
  </si>
  <si>
    <t>irritable</t>
  </si>
  <si>
    <t>irritably</t>
  </si>
  <si>
    <t>irritant</t>
  </si>
  <si>
    <t>irritate</t>
  </si>
  <si>
    <t>irritated</t>
  </si>
  <si>
    <t>irritating</t>
  </si>
  <si>
    <t>irritation</t>
  </si>
  <si>
    <t>irritations</t>
  </si>
  <si>
    <t>isolate</t>
  </si>
  <si>
    <t>isolated</t>
  </si>
  <si>
    <t>isolation</t>
  </si>
  <si>
    <t>issues</t>
  </si>
  <si>
    <t>itch</t>
  </si>
  <si>
    <t>itching</t>
  </si>
  <si>
    <t>itchy</t>
  </si>
  <si>
    <t>jabber</t>
  </si>
  <si>
    <t>jaded</t>
  </si>
  <si>
    <t>jagged</t>
  </si>
  <si>
    <t>jam</t>
  </si>
  <si>
    <t>jarring</t>
  </si>
  <si>
    <t>jaundiced</t>
  </si>
  <si>
    <t>jealous</t>
  </si>
  <si>
    <t>jealously</t>
  </si>
  <si>
    <t>jealousness</t>
  </si>
  <si>
    <t>jealousy</t>
  </si>
  <si>
    <t>jeer</t>
  </si>
  <si>
    <t>jeering</t>
  </si>
  <si>
    <t>jeeringly</t>
  </si>
  <si>
    <t>jeers</t>
  </si>
  <si>
    <t>jeopardize</t>
  </si>
  <si>
    <t>jeopardy</t>
  </si>
  <si>
    <t>jerk</t>
  </si>
  <si>
    <t>jerky</t>
  </si>
  <si>
    <t>jitter</t>
  </si>
  <si>
    <t>jitters</t>
  </si>
  <si>
    <t>jittery</t>
  </si>
  <si>
    <t>job-killing</t>
  </si>
  <si>
    <t>jobless</t>
  </si>
  <si>
    <t>joke</t>
  </si>
  <si>
    <t>joker</t>
  </si>
  <si>
    <t>jolt</t>
  </si>
  <si>
    <t>judder</t>
  </si>
  <si>
    <t>juddering</t>
  </si>
  <si>
    <t>judders</t>
  </si>
  <si>
    <t>jumpy</t>
  </si>
  <si>
    <t>junk</t>
  </si>
  <si>
    <t>junky</t>
  </si>
  <si>
    <t>junkyard</t>
  </si>
  <si>
    <t>jutter</t>
  </si>
  <si>
    <t>jutters</t>
  </si>
  <si>
    <t>kaput</t>
  </si>
  <si>
    <t>kill</t>
  </si>
  <si>
    <t>killed</t>
  </si>
  <si>
    <t>killer</t>
  </si>
  <si>
    <t>killing</t>
  </si>
  <si>
    <t>killjoy</t>
  </si>
  <si>
    <t>kills</t>
  </si>
  <si>
    <t>knave</t>
  </si>
  <si>
    <t>knife</t>
  </si>
  <si>
    <t>knock</t>
  </si>
  <si>
    <t>knotted</t>
  </si>
  <si>
    <t>kook</t>
  </si>
  <si>
    <t>kooky</t>
  </si>
  <si>
    <t>lack</t>
  </si>
  <si>
    <t>lackadaisical</t>
  </si>
  <si>
    <t>lacked</t>
  </si>
  <si>
    <t>lackey</t>
  </si>
  <si>
    <t>lackeys</t>
  </si>
  <si>
    <t>lacking</t>
  </si>
  <si>
    <t>lackluster</t>
  </si>
  <si>
    <t>lacks</t>
  </si>
  <si>
    <t>laconic</t>
  </si>
  <si>
    <t>lag</t>
  </si>
  <si>
    <t>lagged</t>
  </si>
  <si>
    <t>lagging</t>
  </si>
  <si>
    <t>laggy</t>
  </si>
  <si>
    <t>lags</t>
  </si>
  <si>
    <t>laid-off</t>
  </si>
  <si>
    <t>lambast</t>
  </si>
  <si>
    <t>lambaste</t>
  </si>
  <si>
    <t>lame</t>
  </si>
  <si>
    <t>lame-duck</t>
  </si>
  <si>
    <t>lament</t>
  </si>
  <si>
    <t>lamentable</t>
  </si>
  <si>
    <t>lamentably</t>
  </si>
  <si>
    <t>languid</t>
  </si>
  <si>
    <t>languish</t>
  </si>
  <si>
    <t>languor</t>
  </si>
  <si>
    <t>languorous</t>
  </si>
  <si>
    <t>languorously</t>
  </si>
  <si>
    <t>lanky</t>
  </si>
  <si>
    <t>lapse</t>
  </si>
  <si>
    <t>lapsed</t>
  </si>
  <si>
    <t>lapses</t>
  </si>
  <si>
    <t>lascivious</t>
  </si>
  <si>
    <t>last-ditch</t>
  </si>
  <si>
    <t>latency</t>
  </si>
  <si>
    <t>laughable</t>
  </si>
  <si>
    <t>laughably</t>
  </si>
  <si>
    <t>laughingstock</t>
  </si>
  <si>
    <t>lawbreaker</t>
  </si>
  <si>
    <t>lawbreaking</t>
  </si>
  <si>
    <t>lawless</t>
  </si>
  <si>
    <t>lawlessness</t>
  </si>
  <si>
    <t>layoff</t>
  </si>
  <si>
    <t>layoff-happy</t>
  </si>
  <si>
    <t>lazy</t>
  </si>
  <si>
    <t>leak</t>
  </si>
  <si>
    <t>leakage</t>
  </si>
  <si>
    <t>leakages</t>
  </si>
  <si>
    <t>leaking</t>
  </si>
  <si>
    <t>leaks</t>
  </si>
  <si>
    <t>leaky</t>
  </si>
  <si>
    <t>lech</t>
  </si>
  <si>
    <t>lecher</t>
  </si>
  <si>
    <t>lecherous</t>
  </si>
  <si>
    <t>lechery</t>
  </si>
  <si>
    <t>leech</t>
  </si>
  <si>
    <t>leer</t>
  </si>
  <si>
    <t>leery</t>
  </si>
  <si>
    <t>left-leaning</t>
  </si>
  <si>
    <t>lemon</t>
  </si>
  <si>
    <t>lengthy</t>
  </si>
  <si>
    <t>less-developed</t>
  </si>
  <si>
    <t>lesser-known</t>
  </si>
  <si>
    <t>letch</t>
  </si>
  <si>
    <t>lethal</t>
  </si>
  <si>
    <t>lethargic</t>
  </si>
  <si>
    <t>lethargy</t>
  </si>
  <si>
    <t>lewd</t>
  </si>
  <si>
    <t>lewdly</t>
  </si>
  <si>
    <t>lewdness</t>
  </si>
  <si>
    <t>liability</t>
  </si>
  <si>
    <t>liable</t>
  </si>
  <si>
    <t>liar</t>
  </si>
  <si>
    <t>liars</t>
  </si>
  <si>
    <t>licentious</t>
  </si>
  <si>
    <t>licentiously</t>
  </si>
  <si>
    <t>licentiousness</t>
  </si>
  <si>
    <t>lie</t>
  </si>
  <si>
    <t>lied</t>
  </si>
  <si>
    <t>lier</t>
  </si>
  <si>
    <t>lies</t>
  </si>
  <si>
    <t>life-threatening</t>
  </si>
  <si>
    <t>lifeless</t>
  </si>
  <si>
    <t>limit</t>
  </si>
  <si>
    <t>limitation</t>
  </si>
  <si>
    <t>limitations</t>
  </si>
  <si>
    <t>limited</t>
  </si>
  <si>
    <t>limits</t>
  </si>
  <si>
    <t>limp</t>
  </si>
  <si>
    <t>listless</t>
  </si>
  <si>
    <t>litigious</t>
  </si>
  <si>
    <t>little-known</t>
  </si>
  <si>
    <t>livid</t>
  </si>
  <si>
    <t>lividly</t>
  </si>
  <si>
    <t>loath</t>
  </si>
  <si>
    <t>loathe</t>
  </si>
  <si>
    <t>loathing</t>
  </si>
  <si>
    <t>loathly</t>
  </si>
  <si>
    <t>loathsome</t>
  </si>
  <si>
    <t>loathsomely</t>
  </si>
  <si>
    <t>lone</t>
  </si>
  <si>
    <t>loneliness</t>
  </si>
  <si>
    <t>lonely</t>
  </si>
  <si>
    <t>loner</t>
  </si>
  <si>
    <t>lonesome</t>
  </si>
  <si>
    <t>long-time</t>
  </si>
  <si>
    <t>long-winded</t>
  </si>
  <si>
    <t>longing</t>
  </si>
  <si>
    <t>longingly</t>
  </si>
  <si>
    <t>loophole</t>
  </si>
  <si>
    <t>loopholes</t>
  </si>
  <si>
    <t>loose</t>
  </si>
  <si>
    <t>loot</t>
  </si>
  <si>
    <t>lorn</t>
  </si>
  <si>
    <t>lose</t>
  </si>
  <si>
    <t>loser</t>
  </si>
  <si>
    <t>losers</t>
  </si>
  <si>
    <t>loses</t>
  </si>
  <si>
    <t>losing</t>
  </si>
  <si>
    <t>loss</t>
  </si>
  <si>
    <t>losses</t>
  </si>
  <si>
    <t>lost</t>
  </si>
  <si>
    <t>loud</t>
  </si>
  <si>
    <t>louder</t>
  </si>
  <si>
    <t>lousy</t>
  </si>
  <si>
    <t>loveless</t>
  </si>
  <si>
    <t>lovelorn</t>
  </si>
  <si>
    <t>low-rated</t>
  </si>
  <si>
    <t>lowly</t>
  </si>
  <si>
    <t>ludicrous</t>
  </si>
  <si>
    <t>ludicrously</t>
  </si>
  <si>
    <t>lugubrious</t>
  </si>
  <si>
    <t>lukewarm</t>
  </si>
  <si>
    <t>lull</t>
  </si>
  <si>
    <t>lumpy</t>
  </si>
  <si>
    <t>lunatic</t>
  </si>
  <si>
    <t>lunaticism</t>
  </si>
  <si>
    <t>lurch</t>
  </si>
  <si>
    <t>lure</t>
  </si>
  <si>
    <t>lurid</t>
  </si>
  <si>
    <t>lurk</t>
  </si>
  <si>
    <t>lurking</t>
  </si>
  <si>
    <t>lying</t>
  </si>
  <si>
    <t>macabre</t>
  </si>
  <si>
    <t>mad</t>
  </si>
  <si>
    <t>madden</t>
  </si>
  <si>
    <t>maddening</t>
  </si>
  <si>
    <t>maddeningly</t>
  </si>
  <si>
    <t>madder</t>
  </si>
  <si>
    <t>madly</t>
  </si>
  <si>
    <t>madman</t>
  </si>
  <si>
    <t>madness</t>
  </si>
  <si>
    <t>maladjusted</t>
  </si>
  <si>
    <t>maladjustment</t>
  </si>
  <si>
    <t>malady</t>
  </si>
  <si>
    <t>malaise</t>
  </si>
  <si>
    <t>malcontent</t>
  </si>
  <si>
    <t>malcontented</t>
  </si>
  <si>
    <t>maledict</t>
  </si>
  <si>
    <t>malevolence</t>
  </si>
  <si>
    <t>malevolent</t>
  </si>
  <si>
    <t>malevolently</t>
  </si>
  <si>
    <t>malice</t>
  </si>
  <si>
    <t>malicious</t>
  </si>
  <si>
    <t>maliciously</t>
  </si>
  <si>
    <t>maliciousness</t>
  </si>
  <si>
    <t>malign</t>
  </si>
  <si>
    <t>malignant</t>
  </si>
  <si>
    <t>malodorous</t>
  </si>
  <si>
    <t>maltreatment</t>
  </si>
  <si>
    <t>mangle</t>
  </si>
  <si>
    <t>mangled</t>
  </si>
  <si>
    <t>mangles</t>
  </si>
  <si>
    <t>mangling</t>
  </si>
  <si>
    <t>mania</t>
  </si>
  <si>
    <t>maniac</t>
  </si>
  <si>
    <t>maniacal</t>
  </si>
  <si>
    <t>manic</t>
  </si>
  <si>
    <t>manipulate</t>
  </si>
  <si>
    <t>manipulation</t>
  </si>
  <si>
    <t>manipulative</t>
  </si>
  <si>
    <t>manipulators</t>
  </si>
  <si>
    <t>mar</t>
  </si>
  <si>
    <t>marginal</t>
  </si>
  <si>
    <t>marginally</t>
  </si>
  <si>
    <t>martyrdom</t>
  </si>
  <si>
    <t>martyrdom-seeking</t>
  </si>
  <si>
    <t>mashed</t>
  </si>
  <si>
    <t>massacre</t>
  </si>
  <si>
    <t>massacres</t>
  </si>
  <si>
    <t>matte</t>
  </si>
  <si>
    <t>mawkish</t>
  </si>
  <si>
    <t>mawkishly</t>
  </si>
  <si>
    <t>mawkishness</t>
  </si>
  <si>
    <t>meager</t>
  </si>
  <si>
    <t>meaningless</t>
  </si>
  <si>
    <t>meanness</t>
  </si>
  <si>
    <t>measly</t>
  </si>
  <si>
    <t>meddle</t>
  </si>
  <si>
    <t>meddlesome</t>
  </si>
  <si>
    <t>mediocre</t>
  </si>
  <si>
    <t>mediocrity</t>
  </si>
  <si>
    <t>melancholy</t>
  </si>
  <si>
    <t>melodramatic</t>
  </si>
  <si>
    <t>melodramatically</t>
  </si>
  <si>
    <t>meltdown</t>
  </si>
  <si>
    <t>menace</t>
  </si>
  <si>
    <t>menacing</t>
  </si>
  <si>
    <t>menacingly</t>
  </si>
  <si>
    <t>mendacious</t>
  </si>
  <si>
    <t>mendacity</t>
  </si>
  <si>
    <t>menial</t>
  </si>
  <si>
    <t>merciless</t>
  </si>
  <si>
    <t>mercilessly</t>
  </si>
  <si>
    <t>mess</t>
  </si>
  <si>
    <t>messed</t>
  </si>
  <si>
    <t>messes</t>
  </si>
  <si>
    <t>messing</t>
  </si>
  <si>
    <t>messy</t>
  </si>
  <si>
    <t>midget</t>
  </si>
  <si>
    <t>miff</t>
  </si>
  <si>
    <t>militancy</t>
  </si>
  <si>
    <t>mindless</t>
  </si>
  <si>
    <t>mindlessly</t>
  </si>
  <si>
    <t>mirage</t>
  </si>
  <si>
    <t>mire</t>
  </si>
  <si>
    <t>misalign</t>
  </si>
  <si>
    <t>misaligned</t>
  </si>
  <si>
    <t>misaligns</t>
  </si>
  <si>
    <t>misapprehend</t>
  </si>
  <si>
    <t>misbecome</t>
  </si>
  <si>
    <t>misbecoming</t>
  </si>
  <si>
    <t>misbegotten</t>
  </si>
  <si>
    <t>misbehave</t>
  </si>
  <si>
    <t>misbehavior</t>
  </si>
  <si>
    <t>miscalculate</t>
  </si>
  <si>
    <t>miscalculation</t>
  </si>
  <si>
    <t>miscellaneous</t>
  </si>
  <si>
    <t>mischief</t>
  </si>
  <si>
    <t>mischievous</t>
  </si>
  <si>
    <t>mischievously</t>
  </si>
  <si>
    <t>misconception</t>
  </si>
  <si>
    <t>misconceptions</t>
  </si>
  <si>
    <t>miscreant</t>
  </si>
  <si>
    <t>miscreants</t>
  </si>
  <si>
    <t>misdirection</t>
  </si>
  <si>
    <t>miser</t>
  </si>
  <si>
    <t>miserable</t>
  </si>
  <si>
    <t>miserableness</t>
  </si>
  <si>
    <t>miserably</t>
  </si>
  <si>
    <t>miseries</t>
  </si>
  <si>
    <t>miserly</t>
  </si>
  <si>
    <t>misery</t>
  </si>
  <si>
    <t>misfit</t>
  </si>
  <si>
    <t>misfortune</t>
  </si>
  <si>
    <t>misgiving</t>
  </si>
  <si>
    <t>misgivings</t>
  </si>
  <si>
    <t>misguidance</t>
  </si>
  <si>
    <t>misguide</t>
  </si>
  <si>
    <t>misguided</t>
  </si>
  <si>
    <t>mishandle</t>
  </si>
  <si>
    <t>mishap</t>
  </si>
  <si>
    <t>misinform</t>
  </si>
  <si>
    <t>misinformed</t>
  </si>
  <si>
    <t>misinterpret</t>
  </si>
  <si>
    <t>misjudge</t>
  </si>
  <si>
    <t>misjudgment</t>
  </si>
  <si>
    <t>mislead</t>
  </si>
  <si>
    <t>misleading</t>
  </si>
  <si>
    <t>misleadingly</t>
  </si>
  <si>
    <t>mislike</t>
  </si>
  <si>
    <t>mismanage</t>
  </si>
  <si>
    <t>mispronounce</t>
  </si>
  <si>
    <t>mispronounced</t>
  </si>
  <si>
    <t>mispronounces</t>
  </si>
  <si>
    <t>misread</t>
  </si>
  <si>
    <t>misreading</t>
  </si>
  <si>
    <t>misrepresent</t>
  </si>
  <si>
    <t>misrepresentation</t>
  </si>
  <si>
    <t>miss</t>
  </si>
  <si>
    <t>missed</t>
  </si>
  <si>
    <t>misses</t>
  </si>
  <si>
    <t>misstatement</t>
  </si>
  <si>
    <t>mist</t>
  </si>
  <si>
    <t>mistake</t>
  </si>
  <si>
    <t>mistaken</t>
  </si>
  <si>
    <t>mistakenly</t>
  </si>
  <si>
    <t>mistakes</t>
  </si>
  <si>
    <t>mistified</t>
  </si>
  <si>
    <t>mistress</t>
  </si>
  <si>
    <t>mistrust</t>
  </si>
  <si>
    <t>mistrustful</t>
  </si>
  <si>
    <t>mistrustfully</t>
  </si>
  <si>
    <t>mists</t>
  </si>
  <si>
    <t>misunderstand</t>
  </si>
  <si>
    <t>misunderstanding</t>
  </si>
  <si>
    <t>misunderstandings</t>
  </si>
  <si>
    <t>misunderstood</t>
  </si>
  <si>
    <t>misuse</t>
  </si>
  <si>
    <t>moan</t>
  </si>
  <si>
    <t>mobster</t>
  </si>
  <si>
    <t>mock</t>
  </si>
  <si>
    <t>mocked</t>
  </si>
  <si>
    <t>mockeries</t>
  </si>
  <si>
    <t>mockery</t>
  </si>
  <si>
    <t>mocking</t>
  </si>
  <si>
    <t>mockingly</t>
  </si>
  <si>
    <t>mocks</t>
  </si>
  <si>
    <t>molest</t>
  </si>
  <si>
    <t>molestation</t>
  </si>
  <si>
    <t>monotonous</t>
  </si>
  <si>
    <t>monotony</t>
  </si>
  <si>
    <t>monster</t>
  </si>
  <si>
    <t>monstrosities</t>
  </si>
  <si>
    <t>monstrosity</t>
  </si>
  <si>
    <t>monstrous</t>
  </si>
  <si>
    <t>monstrously</t>
  </si>
  <si>
    <t>moody</t>
  </si>
  <si>
    <t>moot</t>
  </si>
  <si>
    <t>mope</t>
  </si>
  <si>
    <t>morbid</t>
  </si>
  <si>
    <t>morbidly</t>
  </si>
  <si>
    <t>mordant</t>
  </si>
  <si>
    <t>mordantly</t>
  </si>
  <si>
    <t>moribund</t>
  </si>
  <si>
    <t>moron</t>
  </si>
  <si>
    <t>moronic</t>
  </si>
  <si>
    <t>morons</t>
  </si>
  <si>
    <t>mortification</t>
  </si>
  <si>
    <t>mortified</t>
  </si>
  <si>
    <t>mortify</t>
  </si>
  <si>
    <t>mortifying</t>
  </si>
  <si>
    <t>motionless</t>
  </si>
  <si>
    <t>motley</t>
  </si>
  <si>
    <t>mourn</t>
  </si>
  <si>
    <t>mourner</t>
  </si>
  <si>
    <t>mournful</t>
  </si>
  <si>
    <t>mournfully</t>
  </si>
  <si>
    <t>muddle</t>
  </si>
  <si>
    <t>muddy</t>
  </si>
  <si>
    <t>mudslinger</t>
  </si>
  <si>
    <t>mudslinging</t>
  </si>
  <si>
    <t>mulish</t>
  </si>
  <si>
    <t>multi-polarization</t>
  </si>
  <si>
    <t>mundane</t>
  </si>
  <si>
    <t>murder</t>
  </si>
  <si>
    <t>murderer</t>
  </si>
  <si>
    <t>murderous</t>
  </si>
  <si>
    <t>murderously</t>
  </si>
  <si>
    <t>murky</t>
  </si>
  <si>
    <t>muscle-flexing</t>
  </si>
  <si>
    <t>mushy</t>
  </si>
  <si>
    <t>musty</t>
  </si>
  <si>
    <t>mysterious</t>
  </si>
  <si>
    <t>mysteriously</t>
  </si>
  <si>
    <t>mystery</t>
  </si>
  <si>
    <t>mystify</t>
  </si>
  <si>
    <t>myth</t>
  </si>
  <si>
    <t>nag</t>
  </si>
  <si>
    <t>nagging</t>
  </si>
  <si>
    <t>naive</t>
  </si>
  <si>
    <t>naively</t>
  </si>
  <si>
    <t>narrower</t>
  </si>
  <si>
    <t>nastily</t>
  </si>
  <si>
    <t>nastiness</t>
  </si>
  <si>
    <t>nasty</t>
  </si>
  <si>
    <t>naughty</t>
  </si>
  <si>
    <t>nauseate</t>
  </si>
  <si>
    <t>nauseates</t>
  </si>
  <si>
    <t>nauseating</t>
  </si>
  <si>
    <t>nauseatingly</t>
  </si>
  <si>
    <t>naïve</t>
  </si>
  <si>
    <t>nebulous</t>
  </si>
  <si>
    <t>nebulously</t>
  </si>
  <si>
    <t>needless</t>
  </si>
  <si>
    <t>needlessly</t>
  </si>
  <si>
    <t>needy</t>
  </si>
  <si>
    <t>nefarious</t>
  </si>
  <si>
    <t>nefariously</t>
  </si>
  <si>
    <t>negate</t>
  </si>
  <si>
    <t>negation</t>
  </si>
  <si>
    <t>negative</t>
  </si>
  <si>
    <t>negatives</t>
  </si>
  <si>
    <t>negativity</t>
  </si>
  <si>
    <t>neglect</t>
  </si>
  <si>
    <t>neglected</t>
  </si>
  <si>
    <t>negligence</t>
  </si>
  <si>
    <t>negligent</t>
  </si>
  <si>
    <t>nemesis</t>
  </si>
  <si>
    <t>nepotism</t>
  </si>
  <si>
    <t>nervous</t>
  </si>
  <si>
    <t>nervously</t>
  </si>
  <si>
    <t>nervousness</t>
  </si>
  <si>
    <t>nettle</t>
  </si>
  <si>
    <t>nettlesome</t>
  </si>
  <si>
    <t>neurotic</t>
  </si>
  <si>
    <t>neurotically</t>
  </si>
  <si>
    <t>niggle</t>
  </si>
  <si>
    <t>niggles</t>
  </si>
  <si>
    <t>nightmare</t>
  </si>
  <si>
    <t>nightmarish</t>
  </si>
  <si>
    <t>nightmarishly</t>
  </si>
  <si>
    <t>nitpick</t>
  </si>
  <si>
    <t>nitpicking</t>
  </si>
  <si>
    <t>noise</t>
  </si>
  <si>
    <t>noises</t>
  </si>
  <si>
    <t>noisier</t>
  </si>
  <si>
    <t>noisy</t>
  </si>
  <si>
    <t>non-confidence</t>
  </si>
  <si>
    <t>nonexistent</t>
  </si>
  <si>
    <t>nonresponsive</t>
  </si>
  <si>
    <t>nonsense</t>
  </si>
  <si>
    <t>nosey</t>
  </si>
  <si>
    <t>notoriety</t>
  </si>
  <si>
    <t>notorious</t>
  </si>
  <si>
    <t>notoriously</t>
  </si>
  <si>
    <t>noxious</t>
  </si>
  <si>
    <t>nuisance</t>
  </si>
  <si>
    <t>numb</t>
  </si>
  <si>
    <t>obese</t>
  </si>
  <si>
    <t>object</t>
  </si>
  <si>
    <t>objection</t>
  </si>
  <si>
    <t>objectionable</t>
  </si>
  <si>
    <t>objections</t>
  </si>
  <si>
    <t>oblique</t>
  </si>
  <si>
    <t>obliterate</t>
  </si>
  <si>
    <t>obliterated</t>
  </si>
  <si>
    <t>oblivious</t>
  </si>
  <si>
    <t>obnoxious</t>
  </si>
  <si>
    <t>obnoxiously</t>
  </si>
  <si>
    <t>obscene</t>
  </si>
  <si>
    <t>obscenely</t>
  </si>
  <si>
    <t>obscenity</t>
  </si>
  <si>
    <t>obscure</t>
  </si>
  <si>
    <t>obscured</t>
  </si>
  <si>
    <t>obscures</t>
  </si>
  <si>
    <t>obscurity</t>
  </si>
  <si>
    <t>obsess</t>
  </si>
  <si>
    <t>obsessive</t>
  </si>
  <si>
    <t>obsessively</t>
  </si>
  <si>
    <t>obsessiveness</t>
  </si>
  <si>
    <t>obsolete</t>
  </si>
  <si>
    <t>obstacle</t>
  </si>
  <si>
    <t>obstinate</t>
  </si>
  <si>
    <t>obstinately</t>
  </si>
  <si>
    <t>obstruct</t>
  </si>
  <si>
    <t>obstructed</t>
  </si>
  <si>
    <t>obstructing</t>
  </si>
  <si>
    <t>obstruction</t>
  </si>
  <si>
    <t>obstructs</t>
  </si>
  <si>
    <t>obtrusive</t>
  </si>
  <si>
    <t>obtuse</t>
  </si>
  <si>
    <t>occlude</t>
  </si>
  <si>
    <t>occluded</t>
  </si>
  <si>
    <t>occludes</t>
  </si>
  <si>
    <t>occluding</t>
  </si>
  <si>
    <t>odd</t>
  </si>
  <si>
    <t>odder</t>
  </si>
  <si>
    <t>oddest</t>
  </si>
  <si>
    <t>oddities</t>
  </si>
  <si>
    <t>oddity</t>
  </si>
  <si>
    <t>oddly</t>
  </si>
  <si>
    <t>odor</t>
  </si>
  <si>
    <t>offence</t>
  </si>
  <si>
    <t>offend</t>
  </si>
  <si>
    <t>offender</t>
  </si>
  <si>
    <t>offending</t>
  </si>
  <si>
    <t>offenses</t>
  </si>
  <si>
    <t>offensive</t>
  </si>
  <si>
    <t>offensively</t>
  </si>
  <si>
    <t>offensiveness</t>
  </si>
  <si>
    <t>officious</t>
  </si>
  <si>
    <t>ominous</t>
  </si>
  <si>
    <t>ominously</t>
  </si>
  <si>
    <t>omission</t>
  </si>
  <si>
    <t>omit</t>
  </si>
  <si>
    <t>one-sided</t>
  </si>
  <si>
    <t>onerous</t>
  </si>
  <si>
    <t>onerously</t>
  </si>
  <si>
    <t>onslaught</t>
  </si>
  <si>
    <t>opinionated</t>
  </si>
  <si>
    <t>opponent</t>
  </si>
  <si>
    <t>opportunistic</t>
  </si>
  <si>
    <t>oppose</t>
  </si>
  <si>
    <t>opposition</t>
  </si>
  <si>
    <t>oppositions</t>
  </si>
  <si>
    <t>oppress</t>
  </si>
  <si>
    <t>oppression</t>
  </si>
  <si>
    <t>oppressive</t>
  </si>
  <si>
    <t>oppressively</t>
  </si>
  <si>
    <t>oppressiveness</t>
  </si>
  <si>
    <t>oppressors</t>
  </si>
  <si>
    <t>ordeal</t>
  </si>
  <si>
    <t>orphan</t>
  </si>
  <si>
    <t>ostracize</t>
  </si>
  <si>
    <t>outbreak</t>
  </si>
  <si>
    <t>outburst</t>
  </si>
  <si>
    <t>outbursts</t>
  </si>
  <si>
    <t>outcast</t>
  </si>
  <si>
    <t>outcry</t>
  </si>
  <si>
    <t>outlaw</t>
  </si>
  <si>
    <t>outmoded</t>
  </si>
  <si>
    <t>outrage</t>
  </si>
  <si>
    <t>outraged</t>
  </si>
  <si>
    <t>outrageous</t>
  </si>
  <si>
    <t>outrageously</t>
  </si>
  <si>
    <t>outrageousness</t>
  </si>
  <si>
    <t>outrages</t>
  </si>
  <si>
    <t>outsider</t>
  </si>
  <si>
    <t>over-acted</t>
  </si>
  <si>
    <t>over-awe</t>
  </si>
  <si>
    <t>over-balanced</t>
  </si>
  <si>
    <t>over-hyped</t>
  </si>
  <si>
    <t>over-priced</t>
  </si>
  <si>
    <t>over-valuation</t>
  </si>
  <si>
    <t>overact</t>
  </si>
  <si>
    <t>overacted</t>
  </si>
  <si>
    <t>overawe</t>
  </si>
  <si>
    <t>overbalance</t>
  </si>
  <si>
    <t>overbalanced</t>
  </si>
  <si>
    <t>overbearing</t>
  </si>
  <si>
    <t>overbearingly</t>
  </si>
  <si>
    <t>overblown</t>
  </si>
  <si>
    <t>overdo</t>
  </si>
  <si>
    <t>overdone</t>
  </si>
  <si>
    <t>overdue</t>
  </si>
  <si>
    <t>overemphasize</t>
  </si>
  <si>
    <t>overheat</t>
  </si>
  <si>
    <t>overkill</t>
  </si>
  <si>
    <t>overloaded</t>
  </si>
  <si>
    <t>overlook</t>
  </si>
  <si>
    <t>overpaid</t>
  </si>
  <si>
    <t>overpayed</t>
  </si>
  <si>
    <t>overplay</t>
  </si>
  <si>
    <t>overpower</t>
  </si>
  <si>
    <t>overpriced</t>
  </si>
  <si>
    <t>overrated</t>
  </si>
  <si>
    <t>overreach</t>
  </si>
  <si>
    <t>overrun</t>
  </si>
  <si>
    <t>overshadow</t>
  </si>
  <si>
    <t>oversight</t>
  </si>
  <si>
    <t>oversights</t>
  </si>
  <si>
    <t>oversimplification</t>
  </si>
  <si>
    <t>oversimplified</t>
  </si>
  <si>
    <t>oversimplify</t>
  </si>
  <si>
    <t>oversize</t>
  </si>
  <si>
    <t>overstate</t>
  </si>
  <si>
    <t>overstated</t>
  </si>
  <si>
    <t>overstatement</t>
  </si>
  <si>
    <t>overstatements</t>
  </si>
  <si>
    <t>overstates</t>
  </si>
  <si>
    <t>overtaxed</t>
  </si>
  <si>
    <t>overthrow</t>
  </si>
  <si>
    <t>overthrows</t>
  </si>
  <si>
    <t>overturn</t>
  </si>
  <si>
    <t>overweight</t>
  </si>
  <si>
    <t>overwhelm</t>
  </si>
  <si>
    <t>overwhelmed</t>
  </si>
  <si>
    <t>overwhelming</t>
  </si>
  <si>
    <t>overwhelmingly</t>
  </si>
  <si>
    <t>overwhelms</t>
  </si>
  <si>
    <t>overzealous</t>
  </si>
  <si>
    <t>overzealously</t>
  </si>
  <si>
    <t>overzelous</t>
  </si>
  <si>
    <t>pain</t>
  </si>
  <si>
    <t>painful</t>
  </si>
  <si>
    <t>painfull</t>
  </si>
  <si>
    <t>painfully</t>
  </si>
  <si>
    <t>pains</t>
  </si>
  <si>
    <t>pale</t>
  </si>
  <si>
    <t>pales</t>
  </si>
  <si>
    <t>paltry</t>
  </si>
  <si>
    <t>pan</t>
  </si>
  <si>
    <t>pandemonium</t>
  </si>
  <si>
    <t>pander</t>
  </si>
  <si>
    <t>pandering</t>
  </si>
  <si>
    <t>panders</t>
  </si>
  <si>
    <t>panic</t>
  </si>
  <si>
    <t>panick</t>
  </si>
  <si>
    <t>panicked</t>
  </si>
  <si>
    <t>panicking</t>
  </si>
  <si>
    <t>panicky</t>
  </si>
  <si>
    <t>paradoxical</t>
  </si>
  <si>
    <t>paradoxically</t>
  </si>
  <si>
    <t>paralize</t>
  </si>
  <si>
    <t>paralyzed</t>
  </si>
  <si>
    <t>paranoia</t>
  </si>
  <si>
    <t>paranoid</t>
  </si>
  <si>
    <t>parasite</t>
  </si>
  <si>
    <t>pariah</t>
  </si>
  <si>
    <t>parody</t>
  </si>
  <si>
    <t>partiality</t>
  </si>
  <si>
    <t>partisans</t>
  </si>
  <si>
    <t>passe</t>
  </si>
  <si>
    <t>passive</t>
  </si>
  <si>
    <t>passiveness</t>
  </si>
  <si>
    <t>pathetic</t>
  </si>
  <si>
    <t>pathetically</t>
  </si>
  <si>
    <t>patronize</t>
  </si>
  <si>
    <t>paucity</t>
  </si>
  <si>
    <t>pauper</t>
  </si>
  <si>
    <t>paupers</t>
  </si>
  <si>
    <t>payback</t>
  </si>
  <si>
    <t>peculiar</t>
  </si>
  <si>
    <t>peculiarly</t>
  </si>
  <si>
    <t>pedantic</t>
  </si>
  <si>
    <t>peeled</t>
  </si>
  <si>
    <t>peeve</t>
  </si>
  <si>
    <t>peeved</t>
  </si>
  <si>
    <t>peevish</t>
  </si>
  <si>
    <t>peevishly</t>
  </si>
  <si>
    <t>penalize</t>
  </si>
  <si>
    <t>penalty</t>
  </si>
  <si>
    <t>perfidious</t>
  </si>
  <si>
    <t>perfidity</t>
  </si>
  <si>
    <t>perfunctory</t>
  </si>
  <si>
    <t>peril</t>
  </si>
  <si>
    <t>perilous</t>
  </si>
  <si>
    <t>perilously</t>
  </si>
  <si>
    <t>perish</t>
  </si>
  <si>
    <t>pernicious</t>
  </si>
  <si>
    <t>perplex</t>
  </si>
  <si>
    <t>perplexed</t>
  </si>
  <si>
    <t>perplexing</t>
  </si>
  <si>
    <t>perplexity</t>
  </si>
  <si>
    <t>persecute</t>
  </si>
  <si>
    <t>persecution</t>
  </si>
  <si>
    <t>pertinacious</t>
  </si>
  <si>
    <t>pertinaciously</t>
  </si>
  <si>
    <t>pertinacity</t>
  </si>
  <si>
    <t>perturb</t>
  </si>
  <si>
    <t>perturbed</t>
  </si>
  <si>
    <t>pervasive</t>
  </si>
  <si>
    <t>perverse</t>
  </si>
  <si>
    <t>perversely</t>
  </si>
  <si>
    <t>perversion</t>
  </si>
  <si>
    <t>perversity</t>
  </si>
  <si>
    <t>pervert</t>
  </si>
  <si>
    <t>perverted</t>
  </si>
  <si>
    <t>perverts</t>
  </si>
  <si>
    <t>pessimism</t>
  </si>
  <si>
    <t>pessimistic</t>
  </si>
  <si>
    <t>pessimistically</t>
  </si>
  <si>
    <t>pest</t>
  </si>
  <si>
    <t>pestilent</t>
  </si>
  <si>
    <t>petrified</t>
  </si>
  <si>
    <t>petrify</t>
  </si>
  <si>
    <t>pettifog</t>
  </si>
  <si>
    <t>petty</t>
  </si>
  <si>
    <t>phobia</t>
  </si>
  <si>
    <t>phobic</t>
  </si>
  <si>
    <t>phony</t>
  </si>
  <si>
    <t>picket</t>
  </si>
  <si>
    <t>picketed</t>
  </si>
  <si>
    <t>picketing</t>
  </si>
  <si>
    <t>pickets</t>
  </si>
  <si>
    <t>picky</t>
  </si>
  <si>
    <t>pig</t>
  </si>
  <si>
    <t>pigs</t>
  </si>
  <si>
    <t>pillage</t>
  </si>
  <si>
    <t>pillory</t>
  </si>
  <si>
    <t>pimple</t>
  </si>
  <si>
    <t>pinch</t>
  </si>
  <si>
    <t>pique</t>
  </si>
  <si>
    <t>pitiable</t>
  </si>
  <si>
    <t>pitiful</t>
  </si>
  <si>
    <t>pitifully</t>
  </si>
  <si>
    <t>pitiless</t>
  </si>
  <si>
    <t>pitilessly</t>
  </si>
  <si>
    <t>pittance</t>
  </si>
  <si>
    <t>pity</t>
  </si>
  <si>
    <t>plagiarize</t>
  </si>
  <si>
    <t>plague</t>
  </si>
  <si>
    <t>plasticky</t>
  </si>
  <si>
    <t>plaything</t>
  </si>
  <si>
    <t>plea</t>
  </si>
  <si>
    <t>pleas</t>
  </si>
  <si>
    <t>plebeian</t>
  </si>
  <si>
    <t>plight</t>
  </si>
  <si>
    <t>plot</t>
  </si>
  <si>
    <t>plotters</t>
  </si>
  <si>
    <t>ploy</t>
  </si>
  <si>
    <t>plunder</t>
  </si>
  <si>
    <t>plunderer</t>
  </si>
  <si>
    <t>pointless</t>
  </si>
  <si>
    <t>pointlessly</t>
  </si>
  <si>
    <t>poison</t>
  </si>
  <si>
    <t>poisonous</t>
  </si>
  <si>
    <t>poisonously</t>
  </si>
  <si>
    <t>pokey</t>
  </si>
  <si>
    <t>poky</t>
  </si>
  <si>
    <t>polarisation</t>
  </si>
  <si>
    <t>polemize</t>
  </si>
  <si>
    <t>pollute</t>
  </si>
  <si>
    <t>polluter</t>
  </si>
  <si>
    <t>polluters</t>
  </si>
  <si>
    <t>polution</t>
  </si>
  <si>
    <t>pompous</t>
  </si>
  <si>
    <t>poor</t>
  </si>
  <si>
    <t>poorer</t>
  </si>
  <si>
    <t>poorest</t>
  </si>
  <si>
    <t>poorly</t>
  </si>
  <si>
    <t>posturing</t>
  </si>
  <si>
    <t>pout</t>
  </si>
  <si>
    <t>poverty</t>
  </si>
  <si>
    <t>powerless</t>
  </si>
  <si>
    <t>prate</t>
  </si>
  <si>
    <t>pratfall</t>
  </si>
  <si>
    <t>prattle</t>
  </si>
  <si>
    <t>precarious</t>
  </si>
  <si>
    <t>precariously</t>
  </si>
  <si>
    <t>precipitate</t>
  </si>
  <si>
    <t>precipitous</t>
  </si>
  <si>
    <t>predatory</t>
  </si>
  <si>
    <t>predicament</t>
  </si>
  <si>
    <t>prejudge</t>
  </si>
  <si>
    <t>prejudices</t>
  </si>
  <si>
    <t>prejudicial</t>
  </si>
  <si>
    <t>premeditated</t>
  </si>
  <si>
    <t>preoccupy</t>
  </si>
  <si>
    <t>preposterous</t>
  </si>
  <si>
    <t>preposterously</t>
  </si>
  <si>
    <t>presumptuous</t>
  </si>
  <si>
    <t>presumptuously</t>
  </si>
  <si>
    <t>pretence</t>
  </si>
  <si>
    <t>pretend</t>
  </si>
  <si>
    <t>pretense</t>
  </si>
  <si>
    <t>pretentious</t>
  </si>
  <si>
    <t>pretentiously</t>
  </si>
  <si>
    <t>prevaricate</t>
  </si>
  <si>
    <t>pricey</t>
  </si>
  <si>
    <t>pricier</t>
  </si>
  <si>
    <t>prick</t>
  </si>
  <si>
    <t>prickle</t>
  </si>
  <si>
    <t>prickles</t>
  </si>
  <si>
    <t>prideful</t>
  </si>
  <si>
    <t>prik</t>
  </si>
  <si>
    <t>primitive</t>
  </si>
  <si>
    <t>prison</t>
  </si>
  <si>
    <t>prisoner</t>
  </si>
  <si>
    <t>problem</t>
  </si>
  <si>
    <t>problematic</t>
  </si>
  <si>
    <t>problems</t>
  </si>
  <si>
    <t>procrastinate</t>
  </si>
  <si>
    <t>procrastinates</t>
  </si>
  <si>
    <t>procrastination</t>
  </si>
  <si>
    <t>profane</t>
  </si>
  <si>
    <t>profanity</t>
  </si>
  <si>
    <t>prohibit</t>
  </si>
  <si>
    <t>prohibitive</t>
  </si>
  <si>
    <t>prohibitively</t>
  </si>
  <si>
    <t>propagandize</t>
  </si>
  <si>
    <t>proprietary</t>
  </si>
  <si>
    <t>prosecute</t>
  </si>
  <si>
    <t>protest</t>
  </si>
  <si>
    <t>protested</t>
  </si>
  <si>
    <t>protesting</t>
  </si>
  <si>
    <t>protests</t>
  </si>
  <si>
    <t>protracted</t>
  </si>
  <si>
    <t>provocation</t>
  </si>
  <si>
    <t>provocative</t>
  </si>
  <si>
    <t>provoke</t>
  </si>
  <si>
    <t>pry</t>
  </si>
  <si>
    <t>pugnacious</t>
  </si>
  <si>
    <t>pugnaciously</t>
  </si>
  <si>
    <t>pugnacity</t>
  </si>
  <si>
    <t>punch</t>
  </si>
  <si>
    <t>punish</t>
  </si>
  <si>
    <t>punishable</t>
  </si>
  <si>
    <t>punitive</t>
  </si>
  <si>
    <t>punk</t>
  </si>
  <si>
    <t>puny</t>
  </si>
  <si>
    <t>puppet</t>
  </si>
  <si>
    <t>puppets</t>
  </si>
  <si>
    <t>puzzled</t>
  </si>
  <si>
    <t>puzzlement</t>
  </si>
  <si>
    <t>puzzling</t>
  </si>
  <si>
    <t>quack</t>
  </si>
  <si>
    <t>qualm</t>
  </si>
  <si>
    <t>qualms</t>
  </si>
  <si>
    <t>quandary</t>
  </si>
  <si>
    <t>quarrel</t>
  </si>
  <si>
    <t>quarrellous</t>
  </si>
  <si>
    <t>quarrellously</t>
  </si>
  <si>
    <t>quarrels</t>
  </si>
  <si>
    <t>quarrelsome</t>
  </si>
  <si>
    <t>quash</t>
  </si>
  <si>
    <t>queer</t>
  </si>
  <si>
    <t>questionable</t>
  </si>
  <si>
    <t>quibble</t>
  </si>
  <si>
    <t>quibbles</t>
  </si>
  <si>
    <t>quitter</t>
  </si>
  <si>
    <t>rabid</t>
  </si>
  <si>
    <t>racism</t>
  </si>
  <si>
    <t>racist</t>
  </si>
  <si>
    <t>racists</t>
  </si>
  <si>
    <t>racy</t>
  </si>
  <si>
    <t>radical</t>
  </si>
  <si>
    <t>radicalization</t>
  </si>
  <si>
    <t>radically</t>
  </si>
  <si>
    <t>radicals</t>
  </si>
  <si>
    <t>rage</t>
  </si>
  <si>
    <t>ragged</t>
  </si>
  <si>
    <t>raging</t>
  </si>
  <si>
    <t>rail</t>
  </si>
  <si>
    <t>raked</t>
  </si>
  <si>
    <t>rampage</t>
  </si>
  <si>
    <t>rampant</t>
  </si>
  <si>
    <t>ramshackle</t>
  </si>
  <si>
    <t>rancor</t>
  </si>
  <si>
    <t>randomly</t>
  </si>
  <si>
    <t>rankle</t>
  </si>
  <si>
    <t>rant</t>
  </si>
  <si>
    <t>ranted</t>
  </si>
  <si>
    <t>ranting</t>
  </si>
  <si>
    <t>rantingly</t>
  </si>
  <si>
    <t>rants</t>
  </si>
  <si>
    <t>rape</t>
  </si>
  <si>
    <t>raped</t>
  </si>
  <si>
    <t>raping</t>
  </si>
  <si>
    <t>rascal</t>
  </si>
  <si>
    <t>rascals</t>
  </si>
  <si>
    <t>rash</t>
  </si>
  <si>
    <t>rattle</t>
  </si>
  <si>
    <t>rattled</t>
  </si>
  <si>
    <t>rattles</t>
  </si>
  <si>
    <t>ravage</t>
  </si>
  <si>
    <t>raving</t>
  </si>
  <si>
    <t>reactionary</t>
  </si>
  <si>
    <t>rebellious</t>
  </si>
  <si>
    <t>rebuff</t>
  </si>
  <si>
    <t>rebuke</t>
  </si>
  <si>
    <t>recalcitrant</t>
  </si>
  <si>
    <t>recant</t>
  </si>
  <si>
    <t>recession</t>
  </si>
  <si>
    <t>recessionary</t>
  </si>
  <si>
    <t>reckless</t>
  </si>
  <si>
    <t>recklessly</t>
  </si>
  <si>
    <t>recklessness</t>
  </si>
  <si>
    <t>recoil</t>
  </si>
  <si>
    <t>recourses</t>
  </si>
  <si>
    <t>redundancy</t>
  </si>
  <si>
    <t>redundant</t>
  </si>
  <si>
    <t>refusal</t>
  </si>
  <si>
    <t>refuse</t>
  </si>
  <si>
    <t>refused</t>
  </si>
  <si>
    <t>refuses</t>
  </si>
  <si>
    <t>refusing</t>
  </si>
  <si>
    <t>refutation</t>
  </si>
  <si>
    <t>refute</t>
  </si>
  <si>
    <t>refuted</t>
  </si>
  <si>
    <t>refutes</t>
  </si>
  <si>
    <t>refuting</t>
  </si>
  <si>
    <t>regress</t>
  </si>
  <si>
    <t>regression</t>
  </si>
  <si>
    <t>regressive</t>
  </si>
  <si>
    <t>regret</t>
  </si>
  <si>
    <t>regreted</t>
  </si>
  <si>
    <t>regretful</t>
  </si>
  <si>
    <t>regretfully</t>
  </si>
  <si>
    <t>regrets</t>
  </si>
  <si>
    <t>regrettable</t>
  </si>
  <si>
    <t>regrettably</t>
  </si>
  <si>
    <t>regretted</t>
  </si>
  <si>
    <t>reject</t>
  </si>
  <si>
    <t>rejected</t>
  </si>
  <si>
    <t>rejecting</t>
  </si>
  <si>
    <t>rejection</t>
  </si>
  <si>
    <t>rejects</t>
  </si>
  <si>
    <t>relapse</t>
  </si>
  <si>
    <t>relentless</t>
  </si>
  <si>
    <t>relentlessly</t>
  </si>
  <si>
    <t>relentlessness</t>
  </si>
  <si>
    <t>reluctance</t>
  </si>
  <si>
    <t>reluctant</t>
  </si>
  <si>
    <t>reluctantly</t>
  </si>
  <si>
    <t>remorse</t>
  </si>
  <si>
    <t>remorseful</t>
  </si>
  <si>
    <t>remorsefully</t>
  </si>
  <si>
    <t>remorseless</t>
  </si>
  <si>
    <t>remorselessly</t>
  </si>
  <si>
    <t>remorselessness</t>
  </si>
  <si>
    <t>renounce</t>
  </si>
  <si>
    <t>renunciation</t>
  </si>
  <si>
    <t>repel</t>
  </si>
  <si>
    <t>repetitive</t>
  </si>
  <si>
    <t>reprehensible</t>
  </si>
  <si>
    <t>reprehensibly</t>
  </si>
  <si>
    <t>reprehension</t>
  </si>
  <si>
    <t>reprehensive</t>
  </si>
  <si>
    <t>repress</t>
  </si>
  <si>
    <t>repression</t>
  </si>
  <si>
    <t>repressive</t>
  </si>
  <si>
    <t>reprimand</t>
  </si>
  <si>
    <t>reproach</t>
  </si>
  <si>
    <t>reproachful</t>
  </si>
  <si>
    <t>reprove</t>
  </si>
  <si>
    <t>reprovingly</t>
  </si>
  <si>
    <t>repudiate</t>
  </si>
  <si>
    <t>repudiation</t>
  </si>
  <si>
    <t>repugn</t>
  </si>
  <si>
    <t>repugnance</t>
  </si>
  <si>
    <t>repugnant</t>
  </si>
  <si>
    <t>repugnantly</t>
  </si>
  <si>
    <t>repulse</t>
  </si>
  <si>
    <t>repulsed</t>
  </si>
  <si>
    <t>repulsing</t>
  </si>
  <si>
    <t>repulsive</t>
  </si>
  <si>
    <t>repulsively</t>
  </si>
  <si>
    <t>repulsiveness</t>
  </si>
  <si>
    <t>resent</t>
  </si>
  <si>
    <t>resentful</t>
  </si>
  <si>
    <t>resentment</t>
  </si>
  <si>
    <t>resignation</t>
  </si>
  <si>
    <t>resigned</t>
  </si>
  <si>
    <t>resistance</t>
  </si>
  <si>
    <t>restless</t>
  </si>
  <si>
    <t>restlessness</t>
  </si>
  <si>
    <t>restrict</t>
  </si>
  <si>
    <t>restricted</t>
  </si>
  <si>
    <t>restriction</t>
  </si>
  <si>
    <t>restrictive</t>
  </si>
  <si>
    <t>resurgent</t>
  </si>
  <si>
    <t>retaliate</t>
  </si>
  <si>
    <t>retaliatory</t>
  </si>
  <si>
    <t>retard</t>
  </si>
  <si>
    <t>retarded</t>
  </si>
  <si>
    <t>retardedness</t>
  </si>
  <si>
    <t>retards</t>
  </si>
  <si>
    <t>reticent</t>
  </si>
  <si>
    <t>retract</t>
  </si>
  <si>
    <t>retreat</t>
  </si>
  <si>
    <t>retreated</t>
  </si>
  <si>
    <t>revenge</t>
  </si>
  <si>
    <t>revengeful</t>
  </si>
  <si>
    <t>revengefully</t>
  </si>
  <si>
    <t>revert</t>
  </si>
  <si>
    <t>revile</t>
  </si>
  <si>
    <t>reviled</t>
  </si>
  <si>
    <t>revoke</t>
  </si>
  <si>
    <t>revolt</t>
  </si>
  <si>
    <t>revolting</t>
  </si>
  <si>
    <t>revoltingly</t>
  </si>
  <si>
    <t>revulsion</t>
  </si>
  <si>
    <t>revulsive</t>
  </si>
  <si>
    <t>rhapsodize</t>
  </si>
  <si>
    <t>rhetoric</t>
  </si>
  <si>
    <t>rhetorical</t>
  </si>
  <si>
    <t>ricer</t>
  </si>
  <si>
    <t>ridicule</t>
  </si>
  <si>
    <t>ridicules</t>
  </si>
  <si>
    <t>ridiculous</t>
  </si>
  <si>
    <t>ridiculously</t>
  </si>
  <si>
    <t>rife</t>
  </si>
  <si>
    <t>rift</t>
  </si>
  <si>
    <t>rifts</t>
  </si>
  <si>
    <t>rigid</t>
  </si>
  <si>
    <t>rigidity</t>
  </si>
  <si>
    <t>rigidness</t>
  </si>
  <si>
    <t>rile</t>
  </si>
  <si>
    <t>riled</t>
  </si>
  <si>
    <t>rip</t>
  </si>
  <si>
    <t>rip-off</t>
  </si>
  <si>
    <t>ripoff</t>
  </si>
  <si>
    <t>ripped</t>
  </si>
  <si>
    <t>risk</t>
  </si>
  <si>
    <t>risks</t>
  </si>
  <si>
    <t>risky</t>
  </si>
  <si>
    <t>rival</t>
  </si>
  <si>
    <t>rivalry</t>
  </si>
  <si>
    <t>roadblocks</t>
  </si>
  <si>
    <t>rocky</t>
  </si>
  <si>
    <t>rogue</t>
  </si>
  <si>
    <t>rollercoaster</t>
  </si>
  <si>
    <t>rot</t>
  </si>
  <si>
    <t>rotten</t>
  </si>
  <si>
    <t>rough</t>
  </si>
  <si>
    <t>rremediable</t>
  </si>
  <si>
    <t>rubbish</t>
  </si>
  <si>
    <t>rude</t>
  </si>
  <si>
    <t>rue</t>
  </si>
  <si>
    <t>ruffian</t>
  </si>
  <si>
    <t>ruffle</t>
  </si>
  <si>
    <t>ruin</t>
  </si>
  <si>
    <t>ruined</t>
  </si>
  <si>
    <t>ruining</t>
  </si>
  <si>
    <t>ruinous</t>
  </si>
  <si>
    <t>ruins</t>
  </si>
  <si>
    <t>rumbling</t>
  </si>
  <si>
    <t>rumor</t>
  </si>
  <si>
    <t>rumors</t>
  </si>
  <si>
    <t>rumours</t>
  </si>
  <si>
    <t>rumple</t>
  </si>
  <si>
    <t>run-down</t>
  </si>
  <si>
    <t>runaway</t>
  </si>
  <si>
    <t>rupture</t>
  </si>
  <si>
    <t>rust</t>
  </si>
  <si>
    <t>rusts</t>
  </si>
  <si>
    <t>rusty</t>
  </si>
  <si>
    <t>rut</t>
  </si>
  <si>
    <t>ruthless</t>
  </si>
  <si>
    <t>ruthlessly</t>
  </si>
  <si>
    <t>ruthlessness</t>
  </si>
  <si>
    <t>ruts</t>
  </si>
  <si>
    <t>sabotage</t>
  </si>
  <si>
    <t>sack</t>
  </si>
  <si>
    <t>sacrificed</t>
  </si>
  <si>
    <t>sad</t>
  </si>
  <si>
    <t>sadden</t>
  </si>
  <si>
    <t>sadly</t>
  </si>
  <si>
    <t>sadness</t>
  </si>
  <si>
    <t>sag</t>
  </si>
  <si>
    <t>sagged</t>
  </si>
  <si>
    <t>sagging</t>
  </si>
  <si>
    <t>saggy</t>
  </si>
  <si>
    <t>sags</t>
  </si>
  <si>
    <t>salacious</t>
  </si>
  <si>
    <t>sanctimonious</t>
  </si>
  <si>
    <t>sap</t>
  </si>
  <si>
    <t>sarcasm</t>
  </si>
  <si>
    <t>sarcastic</t>
  </si>
  <si>
    <t>sarcastically</t>
  </si>
  <si>
    <t>sardonic</t>
  </si>
  <si>
    <t>sardonically</t>
  </si>
  <si>
    <t>sass</t>
  </si>
  <si>
    <t>satirical</t>
  </si>
  <si>
    <t>satirize</t>
  </si>
  <si>
    <t>savage</t>
  </si>
  <si>
    <t>savaged</t>
  </si>
  <si>
    <t>savagery</t>
  </si>
  <si>
    <t>savages</t>
  </si>
  <si>
    <t>scaly</t>
  </si>
  <si>
    <t>scam</t>
  </si>
  <si>
    <t>scams</t>
  </si>
  <si>
    <t>scandal</t>
  </si>
  <si>
    <t>scandalize</t>
  </si>
  <si>
    <t>scandalized</t>
  </si>
  <si>
    <t>scandalous</t>
  </si>
  <si>
    <t>scandalously</t>
  </si>
  <si>
    <t>scandals</t>
  </si>
  <si>
    <t>scandel</t>
  </si>
  <si>
    <t>scandels</t>
  </si>
  <si>
    <t>scant</t>
  </si>
  <si>
    <t>scapegoat</t>
  </si>
  <si>
    <t>scar</t>
  </si>
  <si>
    <t>scarce</t>
  </si>
  <si>
    <t>scarcely</t>
  </si>
  <si>
    <t>scarcity</t>
  </si>
  <si>
    <t>scare</t>
  </si>
  <si>
    <t>scared</t>
  </si>
  <si>
    <t>scarier</t>
  </si>
  <si>
    <t>scariest</t>
  </si>
  <si>
    <t>scarily</t>
  </si>
  <si>
    <t>scarred</t>
  </si>
  <si>
    <t>scars</t>
  </si>
  <si>
    <t>scary</t>
  </si>
  <si>
    <t>scathing</t>
  </si>
  <si>
    <t>scathingly</t>
  </si>
  <si>
    <t>sceptical</t>
  </si>
  <si>
    <t>scoff</t>
  </si>
  <si>
    <t>scoffingly</t>
  </si>
  <si>
    <t>scold</t>
  </si>
  <si>
    <t>scolded</t>
  </si>
  <si>
    <t>scolding</t>
  </si>
  <si>
    <t>scoldingly</t>
  </si>
  <si>
    <t>scorching</t>
  </si>
  <si>
    <t>scorchingly</t>
  </si>
  <si>
    <t>scorn</t>
  </si>
  <si>
    <t>scornful</t>
  </si>
  <si>
    <t>scornfully</t>
  </si>
  <si>
    <t>scoundrel</t>
  </si>
  <si>
    <t>scourge</t>
  </si>
  <si>
    <t>scowl</t>
  </si>
  <si>
    <t>scramble</t>
  </si>
  <si>
    <t>scrambled</t>
  </si>
  <si>
    <t>scrambles</t>
  </si>
  <si>
    <t>scrambling</t>
  </si>
  <si>
    <t>scrap</t>
  </si>
  <si>
    <t>scratch</t>
  </si>
  <si>
    <t>scratched</t>
  </si>
  <si>
    <t>scratches</t>
  </si>
  <si>
    <t>scratchy</t>
  </si>
  <si>
    <t>scream</t>
  </si>
  <si>
    <t>screech</t>
  </si>
  <si>
    <t>screw-up</t>
  </si>
  <si>
    <t>screwed</t>
  </si>
  <si>
    <t>screwed-up</t>
  </si>
  <si>
    <t>screwy</t>
  </si>
  <si>
    <t>scuff</t>
  </si>
  <si>
    <t>scuffs</t>
  </si>
  <si>
    <t>scum</t>
  </si>
  <si>
    <t>scummy</t>
  </si>
  <si>
    <t>second-class</t>
  </si>
  <si>
    <t>second-tier</t>
  </si>
  <si>
    <t>secretive</t>
  </si>
  <si>
    <t>sedentary</t>
  </si>
  <si>
    <t>seedy</t>
  </si>
  <si>
    <t>seethe</t>
  </si>
  <si>
    <t>seething</t>
  </si>
  <si>
    <t>self-coup</t>
  </si>
  <si>
    <t>self-criticism</t>
  </si>
  <si>
    <t>self-defeating</t>
  </si>
  <si>
    <t>self-destructive</t>
  </si>
  <si>
    <t>self-humiliation</t>
  </si>
  <si>
    <t>self-interest</t>
  </si>
  <si>
    <t>self-interested</t>
  </si>
  <si>
    <t>self-serving</t>
  </si>
  <si>
    <t>selfinterested</t>
  </si>
  <si>
    <t>selfish</t>
  </si>
  <si>
    <t>selfishly</t>
  </si>
  <si>
    <t>selfishness</t>
  </si>
  <si>
    <t>semi-retarded</t>
  </si>
  <si>
    <t>senile</t>
  </si>
  <si>
    <t>sensationalize</t>
  </si>
  <si>
    <t>senseless</t>
  </si>
  <si>
    <t>senselessly</t>
  </si>
  <si>
    <t>seriousness</t>
  </si>
  <si>
    <t>sermonize</t>
  </si>
  <si>
    <t>servitude</t>
  </si>
  <si>
    <t>set-up</t>
  </si>
  <si>
    <t>setback</t>
  </si>
  <si>
    <t>setbacks</t>
  </si>
  <si>
    <t>sever</t>
  </si>
  <si>
    <t>severe</t>
  </si>
  <si>
    <t>severity</t>
  </si>
  <si>
    <t>sh*t</t>
  </si>
  <si>
    <t>shabby</t>
  </si>
  <si>
    <t>shadowy</t>
  </si>
  <si>
    <t>shady</t>
  </si>
  <si>
    <t>shake</t>
  </si>
  <si>
    <t>shaky</t>
  </si>
  <si>
    <t>shallow</t>
  </si>
  <si>
    <t>sham</t>
  </si>
  <si>
    <t>shambles</t>
  </si>
  <si>
    <t>shame</t>
  </si>
  <si>
    <t>shameful</t>
  </si>
  <si>
    <t>shamefully</t>
  </si>
  <si>
    <t>shamefulness</t>
  </si>
  <si>
    <t>shameless</t>
  </si>
  <si>
    <t>shamelessly</t>
  </si>
  <si>
    <t>shamelessness</t>
  </si>
  <si>
    <t>shark</t>
  </si>
  <si>
    <t>sharply</t>
  </si>
  <si>
    <t>shatter</t>
  </si>
  <si>
    <t>shemale</t>
  </si>
  <si>
    <t>shimmer</t>
  </si>
  <si>
    <t>shimmy</t>
  </si>
  <si>
    <t>shipwreck</t>
  </si>
  <si>
    <t>shirk</t>
  </si>
  <si>
    <t>shirker</t>
  </si>
  <si>
    <t>shit</t>
  </si>
  <si>
    <t>shiver</t>
  </si>
  <si>
    <t>shock</t>
  </si>
  <si>
    <t>shocked</t>
  </si>
  <si>
    <t>shocking</t>
  </si>
  <si>
    <t>shockingly</t>
  </si>
  <si>
    <t>shoddy</t>
  </si>
  <si>
    <t>short-lived</t>
  </si>
  <si>
    <t>shortage</t>
  </si>
  <si>
    <t>shortchange</t>
  </si>
  <si>
    <t>shortcoming</t>
  </si>
  <si>
    <t>shortcomings</t>
  </si>
  <si>
    <t>shortness</t>
  </si>
  <si>
    <t>shortsighted</t>
  </si>
  <si>
    <t>shortsightedness</t>
  </si>
  <si>
    <t>showdown</t>
  </si>
  <si>
    <t>shrew</t>
  </si>
  <si>
    <t>shriek</t>
  </si>
  <si>
    <t>shrill</t>
  </si>
  <si>
    <t>shrilly</t>
  </si>
  <si>
    <t>shrivel</t>
  </si>
  <si>
    <t>shroud</t>
  </si>
  <si>
    <t>shrouded</t>
  </si>
  <si>
    <t>shrug</t>
  </si>
  <si>
    <t>shun</t>
  </si>
  <si>
    <t>shunned</t>
  </si>
  <si>
    <t>sick</t>
  </si>
  <si>
    <t>sicken</t>
  </si>
  <si>
    <t>sickening</t>
  </si>
  <si>
    <t>sickeningly</t>
  </si>
  <si>
    <t>sickly</t>
  </si>
  <si>
    <t>sickness</t>
  </si>
  <si>
    <t>sidetrack</t>
  </si>
  <si>
    <t>sidetracked</t>
  </si>
  <si>
    <t>siege</t>
  </si>
  <si>
    <t>sillily</t>
  </si>
  <si>
    <t>silly</t>
  </si>
  <si>
    <t>simplistic</t>
  </si>
  <si>
    <t>simplistically</t>
  </si>
  <si>
    <t>sinful</t>
  </si>
  <si>
    <t>sinfully</t>
  </si>
  <si>
    <t>sinister</t>
  </si>
  <si>
    <t>sinisterly</t>
  </si>
  <si>
    <t>sink</t>
  </si>
  <si>
    <t>sinking</t>
  </si>
  <si>
    <t>skeletons</t>
  </si>
  <si>
    <t>skeptic</t>
  </si>
  <si>
    <t>skeptical</t>
  </si>
  <si>
    <t>skeptically</t>
  </si>
  <si>
    <t>skepticism</t>
  </si>
  <si>
    <t>sketchy</t>
  </si>
  <si>
    <t>skimpy</t>
  </si>
  <si>
    <t>skinny</t>
  </si>
  <si>
    <t>skittish</t>
  </si>
  <si>
    <t>skittishly</t>
  </si>
  <si>
    <t>skulk</t>
  </si>
  <si>
    <t>slack</t>
  </si>
  <si>
    <t>slander</t>
  </si>
  <si>
    <t>slanderer</t>
  </si>
  <si>
    <t>slanderous</t>
  </si>
  <si>
    <t>slanderously</t>
  </si>
  <si>
    <t>slanders</t>
  </si>
  <si>
    <t>slap</t>
  </si>
  <si>
    <t>slashing</t>
  </si>
  <si>
    <t>slaughter</t>
  </si>
  <si>
    <t>slaughtered</t>
  </si>
  <si>
    <t>slave</t>
  </si>
  <si>
    <t>slaves</t>
  </si>
  <si>
    <t>sleazy</t>
  </si>
  <si>
    <t>slime</t>
  </si>
  <si>
    <t>slog</t>
  </si>
  <si>
    <t>slogged</t>
  </si>
  <si>
    <t>slogging</t>
  </si>
  <si>
    <t>slogs</t>
  </si>
  <si>
    <t>sloooooooooooooow</t>
  </si>
  <si>
    <t>sloooow</t>
  </si>
  <si>
    <t>slooow</t>
  </si>
  <si>
    <t>sloow</t>
  </si>
  <si>
    <t>sloppily</t>
  </si>
  <si>
    <t>sloppy</t>
  </si>
  <si>
    <t>sloth</t>
  </si>
  <si>
    <t>slothful</t>
  </si>
  <si>
    <t>slow</t>
  </si>
  <si>
    <t>slow-moving</t>
  </si>
  <si>
    <t>slowed</t>
  </si>
  <si>
    <t>slower</t>
  </si>
  <si>
    <t>slowest</t>
  </si>
  <si>
    <t>slowly</t>
  </si>
  <si>
    <t>sloww</t>
  </si>
  <si>
    <t>slowww</t>
  </si>
  <si>
    <t>slowwww</t>
  </si>
  <si>
    <t>slug</t>
  </si>
  <si>
    <t>sluggish</t>
  </si>
  <si>
    <t>slump</t>
  </si>
  <si>
    <t>slumping</t>
  </si>
  <si>
    <t>slumpping</t>
  </si>
  <si>
    <t>slur</t>
  </si>
  <si>
    <t>slut</t>
  </si>
  <si>
    <t>sluts</t>
  </si>
  <si>
    <t>sly</t>
  </si>
  <si>
    <t>smack</t>
  </si>
  <si>
    <t>smallish</t>
  </si>
  <si>
    <t>smash</t>
  </si>
  <si>
    <t>smear</t>
  </si>
  <si>
    <t>smell</t>
  </si>
  <si>
    <t>smelled</t>
  </si>
  <si>
    <t>smelling</t>
  </si>
  <si>
    <t>smells</t>
  </si>
  <si>
    <t>smelly</t>
  </si>
  <si>
    <t>smelt</t>
  </si>
  <si>
    <t>smoke</t>
  </si>
  <si>
    <t>smokescreen</t>
  </si>
  <si>
    <t>smolder</t>
  </si>
  <si>
    <t>smoldering</t>
  </si>
  <si>
    <t>smother</t>
  </si>
  <si>
    <t>smoulder</t>
  </si>
  <si>
    <t>smouldering</t>
  </si>
  <si>
    <t>smudge</t>
  </si>
  <si>
    <t>smudged</t>
  </si>
  <si>
    <t>smudges</t>
  </si>
  <si>
    <t>smudging</t>
  </si>
  <si>
    <t>smug</t>
  </si>
  <si>
    <t>smugly</t>
  </si>
  <si>
    <t>smut</t>
  </si>
  <si>
    <t>smuttier</t>
  </si>
  <si>
    <t>smuttiest</t>
  </si>
  <si>
    <t>smutty</t>
  </si>
  <si>
    <t>snag</t>
  </si>
  <si>
    <t>snagged</t>
  </si>
  <si>
    <t>snagging</t>
  </si>
  <si>
    <t>snags</t>
  </si>
  <si>
    <t>snappish</t>
  </si>
  <si>
    <t>snappishly</t>
  </si>
  <si>
    <t>snare</t>
  </si>
  <si>
    <t>snarky</t>
  </si>
  <si>
    <t>snarl</t>
  </si>
  <si>
    <t>sneak</t>
  </si>
  <si>
    <t>sneakily</t>
  </si>
  <si>
    <t>sneaky</t>
  </si>
  <si>
    <t>sneer</t>
  </si>
  <si>
    <t>sneering</t>
  </si>
  <si>
    <t>sneeringly</t>
  </si>
  <si>
    <t>snob</t>
  </si>
  <si>
    <t>snobbish</t>
  </si>
  <si>
    <t>snobby</t>
  </si>
  <si>
    <t>snobish</t>
  </si>
  <si>
    <t>snobs</t>
  </si>
  <si>
    <t>snub</t>
  </si>
  <si>
    <t>so-cal</t>
  </si>
  <si>
    <t>soapy</t>
  </si>
  <si>
    <t>sob</t>
  </si>
  <si>
    <t>sober</t>
  </si>
  <si>
    <t>sobering</t>
  </si>
  <si>
    <t>solemn</t>
  </si>
  <si>
    <t>solicitude</t>
  </si>
  <si>
    <t>somber</t>
  </si>
  <si>
    <t>sore</t>
  </si>
  <si>
    <t>sorely</t>
  </si>
  <si>
    <t>soreness</t>
  </si>
  <si>
    <t>sorrow</t>
  </si>
  <si>
    <t>sorrowful</t>
  </si>
  <si>
    <t>sorrowfully</t>
  </si>
  <si>
    <t>sorry</t>
  </si>
  <si>
    <t>sour</t>
  </si>
  <si>
    <t>sourly</t>
  </si>
  <si>
    <t>spade</t>
  </si>
  <si>
    <t>spank</t>
  </si>
  <si>
    <t>spendy</t>
  </si>
  <si>
    <t>spew</t>
  </si>
  <si>
    <t>spewed</t>
  </si>
  <si>
    <t>spewing</t>
  </si>
  <si>
    <t>spews</t>
  </si>
  <si>
    <t>spilling</t>
  </si>
  <si>
    <t>spinster</t>
  </si>
  <si>
    <t>spiritless</t>
  </si>
  <si>
    <t>spite</t>
  </si>
  <si>
    <t>spiteful</t>
  </si>
  <si>
    <t>spitefully</t>
  </si>
  <si>
    <t>spitefulness</t>
  </si>
  <si>
    <t>splatter</t>
  </si>
  <si>
    <t>split</t>
  </si>
  <si>
    <t>splitting</t>
  </si>
  <si>
    <t>spoil</t>
  </si>
  <si>
    <t>spoilage</t>
  </si>
  <si>
    <t>spoilages</t>
  </si>
  <si>
    <t>spoiled</t>
  </si>
  <si>
    <t>spoilled</t>
  </si>
  <si>
    <t>spoils</t>
  </si>
  <si>
    <t>spook</t>
  </si>
  <si>
    <t>spookier</t>
  </si>
  <si>
    <t>spookiest</t>
  </si>
  <si>
    <t>spookily</t>
  </si>
  <si>
    <t>spooky</t>
  </si>
  <si>
    <t>spoon-fed</t>
  </si>
  <si>
    <t>spoon-feed</t>
  </si>
  <si>
    <t>spoonfed</t>
  </si>
  <si>
    <t>sporadic</t>
  </si>
  <si>
    <t>spotty</t>
  </si>
  <si>
    <t>spurious</t>
  </si>
  <si>
    <t>spurn</t>
  </si>
  <si>
    <t>sputter</t>
  </si>
  <si>
    <t>squabble</t>
  </si>
  <si>
    <t>squabbling</t>
  </si>
  <si>
    <t>squander</t>
  </si>
  <si>
    <t>squash</t>
  </si>
  <si>
    <t>squeak</t>
  </si>
  <si>
    <t>squeaks</t>
  </si>
  <si>
    <t>squeaky</t>
  </si>
  <si>
    <t>squeal</t>
  </si>
  <si>
    <t>squealing</t>
  </si>
  <si>
    <t>squeals</t>
  </si>
  <si>
    <t>squirm</t>
  </si>
  <si>
    <t>stab</t>
  </si>
  <si>
    <t>stagnant</t>
  </si>
  <si>
    <t>stagnate</t>
  </si>
  <si>
    <t>stagnation</t>
  </si>
  <si>
    <t>staid</t>
  </si>
  <si>
    <t>stain</t>
  </si>
  <si>
    <t>stains</t>
  </si>
  <si>
    <t>stale</t>
  </si>
  <si>
    <t>stalemate</t>
  </si>
  <si>
    <t>stall</t>
  </si>
  <si>
    <t>stalls</t>
  </si>
  <si>
    <t>stammer</t>
  </si>
  <si>
    <t>stampede</t>
  </si>
  <si>
    <t>standstill</t>
  </si>
  <si>
    <t>stark</t>
  </si>
  <si>
    <t>starkly</t>
  </si>
  <si>
    <t>startle</t>
  </si>
  <si>
    <t>startling</t>
  </si>
  <si>
    <t>startlingly</t>
  </si>
  <si>
    <t>starvation</t>
  </si>
  <si>
    <t>starve</t>
  </si>
  <si>
    <t>static</t>
  </si>
  <si>
    <t>steal</t>
  </si>
  <si>
    <t>stealing</t>
  </si>
  <si>
    <t>steals</t>
  </si>
  <si>
    <t>steep</t>
  </si>
  <si>
    <t>steeply</t>
  </si>
  <si>
    <t>stench</t>
  </si>
  <si>
    <t>stereotype</t>
  </si>
  <si>
    <t>stereotypical</t>
  </si>
  <si>
    <t>stereotypically</t>
  </si>
  <si>
    <t>stern</t>
  </si>
  <si>
    <t>stew</t>
  </si>
  <si>
    <t>sticky</t>
  </si>
  <si>
    <t>stiff</t>
  </si>
  <si>
    <t>stiffness</t>
  </si>
  <si>
    <t>stifle</t>
  </si>
  <si>
    <t>stifling</t>
  </si>
  <si>
    <t>stiflingly</t>
  </si>
  <si>
    <t>stigma</t>
  </si>
  <si>
    <t>stigmatize</t>
  </si>
  <si>
    <t>sting</t>
  </si>
  <si>
    <t>stinging</t>
  </si>
  <si>
    <t>stingingly</t>
  </si>
  <si>
    <t>stingy</t>
  </si>
  <si>
    <t>stink</t>
  </si>
  <si>
    <t>stinks</t>
  </si>
  <si>
    <t>stodgy</t>
  </si>
  <si>
    <t>stole</t>
  </si>
  <si>
    <t>stolen</t>
  </si>
  <si>
    <t>stooge</t>
  </si>
  <si>
    <t>stooges</t>
  </si>
  <si>
    <t>stormy</t>
  </si>
  <si>
    <t>straggle</t>
  </si>
  <si>
    <t>straggler</t>
  </si>
  <si>
    <t>strain</t>
  </si>
  <si>
    <t>strained</t>
  </si>
  <si>
    <t>straining</t>
  </si>
  <si>
    <t>strange</t>
  </si>
  <si>
    <t>strangely</t>
  </si>
  <si>
    <t>stranger</t>
  </si>
  <si>
    <t>strangest</t>
  </si>
  <si>
    <t>strangle</t>
  </si>
  <si>
    <t>streaky</t>
  </si>
  <si>
    <t>strenuous</t>
  </si>
  <si>
    <t>stress</t>
  </si>
  <si>
    <t>stresses</t>
  </si>
  <si>
    <t>stressful</t>
  </si>
  <si>
    <t>stressfully</t>
  </si>
  <si>
    <t>stricken</t>
  </si>
  <si>
    <t>strict</t>
  </si>
  <si>
    <t>strictly</t>
  </si>
  <si>
    <t>strident</t>
  </si>
  <si>
    <t>stridently</t>
  </si>
  <si>
    <t>strife</t>
  </si>
  <si>
    <t>strike</t>
  </si>
  <si>
    <t>stringent</t>
  </si>
  <si>
    <t>stringently</t>
  </si>
  <si>
    <t>struck</t>
  </si>
  <si>
    <t>struggle</t>
  </si>
  <si>
    <t>struggled</t>
  </si>
  <si>
    <t>struggles</t>
  </si>
  <si>
    <t>struggling</t>
  </si>
  <si>
    <t>strut</t>
  </si>
  <si>
    <t>stubborn</t>
  </si>
  <si>
    <t>stubbornly</t>
  </si>
  <si>
    <t>stubbornness</t>
  </si>
  <si>
    <t>stuck</t>
  </si>
  <si>
    <t>stuffy</t>
  </si>
  <si>
    <t>stumble</t>
  </si>
  <si>
    <t>stumbled</t>
  </si>
  <si>
    <t>stumbles</t>
  </si>
  <si>
    <t>stump</t>
  </si>
  <si>
    <t>stumped</t>
  </si>
  <si>
    <t>stumps</t>
  </si>
  <si>
    <t>stun</t>
  </si>
  <si>
    <t>stunt</t>
  </si>
  <si>
    <t>stunted</t>
  </si>
  <si>
    <t>stupid</t>
  </si>
  <si>
    <t>stupidest</t>
  </si>
  <si>
    <t>stupidity</t>
  </si>
  <si>
    <t>stupidly</t>
  </si>
  <si>
    <t>stupified</t>
  </si>
  <si>
    <t>stupify</t>
  </si>
  <si>
    <t>stupor</t>
  </si>
  <si>
    <t>stutter</t>
  </si>
  <si>
    <t>stuttered</t>
  </si>
  <si>
    <t>stuttering</t>
  </si>
  <si>
    <t>stutters</t>
  </si>
  <si>
    <t>sty</t>
  </si>
  <si>
    <t>stymied</t>
  </si>
  <si>
    <t>sub-par</t>
  </si>
  <si>
    <t>subdued</t>
  </si>
  <si>
    <t>subjected</t>
  </si>
  <si>
    <t>subjection</t>
  </si>
  <si>
    <t>subjugate</t>
  </si>
  <si>
    <t>subjugation</t>
  </si>
  <si>
    <t>submissive</t>
  </si>
  <si>
    <t>subordinate</t>
  </si>
  <si>
    <t>subpoena</t>
  </si>
  <si>
    <t>subpoenas</t>
  </si>
  <si>
    <t>subservience</t>
  </si>
  <si>
    <t>subservient</t>
  </si>
  <si>
    <t>substandard</t>
  </si>
  <si>
    <t>subtract</t>
  </si>
  <si>
    <t>subversion</t>
  </si>
  <si>
    <t>subversive</t>
  </si>
  <si>
    <t>subversively</t>
  </si>
  <si>
    <t>subvert</t>
  </si>
  <si>
    <t>succumb</t>
  </si>
  <si>
    <t>suck</t>
  </si>
  <si>
    <t>sucked</t>
  </si>
  <si>
    <t>sucker</t>
  </si>
  <si>
    <t>sucks</t>
  </si>
  <si>
    <t>sucky</t>
  </si>
  <si>
    <t>sue</t>
  </si>
  <si>
    <t>sued</t>
  </si>
  <si>
    <t>sueing</t>
  </si>
  <si>
    <t>sues</t>
  </si>
  <si>
    <t>suffer</t>
  </si>
  <si>
    <t>suffered</t>
  </si>
  <si>
    <t>sufferer</t>
  </si>
  <si>
    <t>sufferers</t>
  </si>
  <si>
    <t>suffering</t>
  </si>
  <si>
    <t>suffers</t>
  </si>
  <si>
    <t>suffocate</t>
  </si>
  <si>
    <t>sugar-coat</t>
  </si>
  <si>
    <t>sugar-coated</t>
  </si>
  <si>
    <t>sugarcoated</t>
  </si>
  <si>
    <t>suicidal</t>
  </si>
  <si>
    <t>suicide</t>
  </si>
  <si>
    <t>sulk</t>
  </si>
  <si>
    <t>sullen</t>
  </si>
  <si>
    <t>sully</t>
  </si>
  <si>
    <t>sunder</t>
  </si>
  <si>
    <t>sunk</t>
  </si>
  <si>
    <t>sunken</t>
  </si>
  <si>
    <t>superficial</t>
  </si>
  <si>
    <t>superficiality</t>
  </si>
  <si>
    <t>superficially</t>
  </si>
  <si>
    <t>superfluous</t>
  </si>
  <si>
    <t>superstition</t>
  </si>
  <si>
    <t>superstitious</t>
  </si>
  <si>
    <t>suppress</t>
  </si>
  <si>
    <t>suppression</t>
  </si>
  <si>
    <t>surrender</t>
  </si>
  <si>
    <t>susceptible</t>
  </si>
  <si>
    <t>suspect</t>
  </si>
  <si>
    <t>suspicion</t>
  </si>
  <si>
    <t>suspicions</t>
  </si>
  <si>
    <t>suspicious</t>
  </si>
  <si>
    <t>suspiciously</t>
  </si>
  <si>
    <t>swagger</t>
  </si>
  <si>
    <t>swamped</t>
  </si>
  <si>
    <t>sweaty</t>
  </si>
  <si>
    <t>swelled</t>
  </si>
  <si>
    <t>swelling</t>
  </si>
  <si>
    <t>swindle</t>
  </si>
  <si>
    <t>swipe</t>
  </si>
  <si>
    <t>swollen</t>
  </si>
  <si>
    <t>symptom</t>
  </si>
  <si>
    <t>symptoms</t>
  </si>
  <si>
    <t>syndrome</t>
  </si>
  <si>
    <t>taboo</t>
  </si>
  <si>
    <t>tacky</t>
  </si>
  <si>
    <t>taint</t>
  </si>
  <si>
    <t>tainted</t>
  </si>
  <si>
    <t>tamper</t>
  </si>
  <si>
    <t>tangle</t>
  </si>
  <si>
    <t>tangled</t>
  </si>
  <si>
    <t>tangles</t>
  </si>
  <si>
    <t>tank</t>
  </si>
  <si>
    <t>tanked</t>
  </si>
  <si>
    <t>tanks</t>
  </si>
  <si>
    <t>tantrum</t>
  </si>
  <si>
    <t>tardy</t>
  </si>
  <si>
    <t>tarnish</t>
  </si>
  <si>
    <t>tarnished</t>
  </si>
  <si>
    <t>tarnishes</t>
  </si>
  <si>
    <t>tarnishing</t>
  </si>
  <si>
    <t>tattered</t>
  </si>
  <si>
    <t>taunt</t>
  </si>
  <si>
    <t>taunting</t>
  </si>
  <si>
    <t>tauntingly</t>
  </si>
  <si>
    <t>taunts</t>
  </si>
  <si>
    <t>taut</t>
  </si>
  <si>
    <t>tawdry</t>
  </si>
  <si>
    <t>taxing</t>
  </si>
  <si>
    <t>tease</t>
  </si>
  <si>
    <t>teasingly</t>
  </si>
  <si>
    <t>tedious</t>
  </si>
  <si>
    <t>tediously</t>
  </si>
  <si>
    <t>temerity</t>
  </si>
  <si>
    <t>temper</t>
  </si>
  <si>
    <t>tempest</t>
  </si>
  <si>
    <t>temptation</t>
  </si>
  <si>
    <t>tenderness</t>
  </si>
  <si>
    <t>tense</t>
  </si>
  <si>
    <t>tension</t>
  </si>
  <si>
    <t>tentative</t>
  </si>
  <si>
    <t>tentatively</t>
  </si>
  <si>
    <t>tenuous</t>
  </si>
  <si>
    <t>tenuously</t>
  </si>
  <si>
    <t>tepid</t>
  </si>
  <si>
    <t>terrible</t>
  </si>
  <si>
    <t>terribleness</t>
  </si>
  <si>
    <t>terribly</t>
  </si>
  <si>
    <t>terror</t>
  </si>
  <si>
    <t>terror-genic</t>
  </si>
  <si>
    <t>terrorism</t>
  </si>
  <si>
    <t>terrorize</t>
  </si>
  <si>
    <t>testily</t>
  </si>
  <si>
    <t>testy</t>
  </si>
  <si>
    <t>tetchily</t>
  </si>
  <si>
    <t>tetchy</t>
  </si>
  <si>
    <t>thankless</t>
  </si>
  <si>
    <t>thicker</t>
  </si>
  <si>
    <t>thirst</t>
  </si>
  <si>
    <t>thorny</t>
  </si>
  <si>
    <t>thoughtless</t>
  </si>
  <si>
    <t>thoughtlessly</t>
  </si>
  <si>
    <t>thoughtlessness</t>
  </si>
  <si>
    <t>thrash</t>
  </si>
  <si>
    <t>threat</t>
  </si>
  <si>
    <t>threaten</t>
  </si>
  <si>
    <t>threatening</t>
  </si>
  <si>
    <t>threats</t>
  </si>
  <si>
    <t>threesome</t>
  </si>
  <si>
    <t>throb</t>
  </si>
  <si>
    <t>throbbed</t>
  </si>
  <si>
    <t>throbbing</t>
  </si>
  <si>
    <t>throbs</t>
  </si>
  <si>
    <t>throttle</t>
  </si>
  <si>
    <t>thug</t>
  </si>
  <si>
    <t>thumb-down</t>
  </si>
  <si>
    <t>thumbs-down</t>
  </si>
  <si>
    <t>thwart</t>
  </si>
  <si>
    <t>time-consuming</t>
  </si>
  <si>
    <t>timid</t>
  </si>
  <si>
    <t>timidity</t>
  </si>
  <si>
    <t>timidly</t>
  </si>
  <si>
    <t>timidness</t>
  </si>
  <si>
    <t>tin-y</t>
  </si>
  <si>
    <t>tingled</t>
  </si>
  <si>
    <t>tingling</t>
  </si>
  <si>
    <t>tired</t>
  </si>
  <si>
    <t>tiresome</t>
  </si>
  <si>
    <t>tiring</t>
  </si>
  <si>
    <t>tiringly</t>
  </si>
  <si>
    <t>toil</t>
  </si>
  <si>
    <t>toll</t>
  </si>
  <si>
    <t>top-heavy</t>
  </si>
  <si>
    <t>topple</t>
  </si>
  <si>
    <t>torment</t>
  </si>
  <si>
    <t>tormented</t>
  </si>
  <si>
    <t>torrent</t>
  </si>
  <si>
    <t>tortuous</t>
  </si>
  <si>
    <t>torture</t>
  </si>
  <si>
    <t>tortured</t>
  </si>
  <si>
    <t>tortures</t>
  </si>
  <si>
    <t>torturing</t>
  </si>
  <si>
    <t>torturous</t>
  </si>
  <si>
    <t>torturously</t>
  </si>
  <si>
    <t>totalitarian</t>
  </si>
  <si>
    <t>touchy</t>
  </si>
  <si>
    <t>toughness</t>
  </si>
  <si>
    <t>tout</t>
  </si>
  <si>
    <t>touted</t>
  </si>
  <si>
    <t>touts</t>
  </si>
  <si>
    <t>toxic</t>
  </si>
  <si>
    <t>traduce</t>
  </si>
  <si>
    <t>tragedy</t>
  </si>
  <si>
    <t>tragic</t>
  </si>
  <si>
    <t>tragically</t>
  </si>
  <si>
    <t>traitor</t>
  </si>
  <si>
    <t>traitorous</t>
  </si>
  <si>
    <t>traitorously</t>
  </si>
  <si>
    <t>tramp</t>
  </si>
  <si>
    <t>trample</t>
  </si>
  <si>
    <t>transgress</t>
  </si>
  <si>
    <t>transgression</t>
  </si>
  <si>
    <t>trap</t>
  </si>
  <si>
    <t>traped</t>
  </si>
  <si>
    <t>trapped</t>
  </si>
  <si>
    <t>trash</t>
  </si>
  <si>
    <t>trashed</t>
  </si>
  <si>
    <t>trashy</t>
  </si>
  <si>
    <t>trauma</t>
  </si>
  <si>
    <t>traumatic</t>
  </si>
  <si>
    <t>traumatically</t>
  </si>
  <si>
    <t>traumatize</t>
  </si>
  <si>
    <t>traumatized</t>
  </si>
  <si>
    <t>travesties</t>
  </si>
  <si>
    <t>travesty</t>
  </si>
  <si>
    <t>treacherous</t>
  </si>
  <si>
    <t>treacherously</t>
  </si>
  <si>
    <t>treachery</t>
  </si>
  <si>
    <t>treason</t>
  </si>
  <si>
    <t>treasonous</t>
  </si>
  <si>
    <t>trick</t>
  </si>
  <si>
    <t>tricked</t>
  </si>
  <si>
    <t>trickery</t>
  </si>
  <si>
    <t>tricky</t>
  </si>
  <si>
    <t>trivial</t>
  </si>
  <si>
    <t>trivialize</t>
  </si>
  <si>
    <t>trouble</t>
  </si>
  <si>
    <t>troubled</t>
  </si>
  <si>
    <t>troublemaker</t>
  </si>
  <si>
    <t>troubles</t>
  </si>
  <si>
    <t>troublesome</t>
  </si>
  <si>
    <t>troublesomely</t>
  </si>
  <si>
    <t>troubling</t>
  </si>
  <si>
    <t>troublingly</t>
  </si>
  <si>
    <t>truant</t>
  </si>
  <si>
    <t>tumble</t>
  </si>
  <si>
    <t>tumbled</t>
  </si>
  <si>
    <t>tumbles</t>
  </si>
  <si>
    <t>tumultuous</t>
  </si>
  <si>
    <t>turbulent</t>
  </si>
  <si>
    <t>turmoil</t>
  </si>
  <si>
    <t>twist</t>
  </si>
  <si>
    <t>twisted</t>
  </si>
  <si>
    <t>twists</t>
  </si>
  <si>
    <t>two-faced</t>
  </si>
  <si>
    <t>two-faces</t>
  </si>
  <si>
    <t>tyrannical</t>
  </si>
  <si>
    <t>tyrannically</t>
  </si>
  <si>
    <t>tyranny</t>
  </si>
  <si>
    <t>tyrant</t>
  </si>
  <si>
    <t>ugh</t>
  </si>
  <si>
    <t>uglier</t>
  </si>
  <si>
    <t>ugliest</t>
  </si>
  <si>
    <t>ugliness</t>
  </si>
  <si>
    <t>ugly</t>
  </si>
  <si>
    <t>ulterior</t>
  </si>
  <si>
    <t>ultimatum</t>
  </si>
  <si>
    <t>ultimatums</t>
  </si>
  <si>
    <t>ultra-hardline</t>
  </si>
  <si>
    <t>un-viewable</t>
  </si>
  <si>
    <t>unable</t>
  </si>
  <si>
    <t>unacceptable</t>
  </si>
  <si>
    <t>unacceptablely</t>
  </si>
  <si>
    <t>unacceptably</t>
  </si>
  <si>
    <t>unaccessible</t>
  </si>
  <si>
    <t>unaccustomed</t>
  </si>
  <si>
    <t>unachievable</t>
  </si>
  <si>
    <t>unaffordable</t>
  </si>
  <si>
    <t>unappealing</t>
  </si>
  <si>
    <t>unattractive</t>
  </si>
  <si>
    <t>unauthentic</t>
  </si>
  <si>
    <t>unavailable</t>
  </si>
  <si>
    <t>unavoidably</t>
  </si>
  <si>
    <t>unbearable</t>
  </si>
  <si>
    <t>unbearablely</t>
  </si>
  <si>
    <t>unbelievable</t>
  </si>
  <si>
    <t>unbelievably</t>
  </si>
  <si>
    <t>uncaring</t>
  </si>
  <si>
    <t>uncertain</t>
  </si>
  <si>
    <t>uncivil</t>
  </si>
  <si>
    <t>uncivilized</t>
  </si>
  <si>
    <t>unclean</t>
  </si>
  <si>
    <t>unclear</t>
  </si>
  <si>
    <t>uncollectible</t>
  </si>
  <si>
    <t>uncomfortable</t>
  </si>
  <si>
    <t>uncomfortably</t>
  </si>
  <si>
    <t>uncomfy</t>
  </si>
  <si>
    <t>uncompetitive</t>
  </si>
  <si>
    <t>uncompromising</t>
  </si>
  <si>
    <t>uncompromisingly</t>
  </si>
  <si>
    <t>unconfirmed</t>
  </si>
  <si>
    <t>unconstitutional</t>
  </si>
  <si>
    <t>uncontrolled</t>
  </si>
  <si>
    <t>unconvincing</t>
  </si>
  <si>
    <t>unconvincingly</t>
  </si>
  <si>
    <t>uncooperative</t>
  </si>
  <si>
    <t>uncouth</t>
  </si>
  <si>
    <t>uncreative</t>
  </si>
  <si>
    <t>undecided</t>
  </si>
  <si>
    <t>undefined</t>
  </si>
  <si>
    <t>undependability</t>
  </si>
  <si>
    <t>undependable</t>
  </si>
  <si>
    <t>undercut</t>
  </si>
  <si>
    <t>undercuts</t>
  </si>
  <si>
    <t>undercutting</t>
  </si>
  <si>
    <t>underdog</t>
  </si>
  <si>
    <t>underestimate</t>
  </si>
  <si>
    <t>underlings</t>
  </si>
  <si>
    <t>undermine</t>
  </si>
  <si>
    <t>undermined</t>
  </si>
  <si>
    <t>undermines</t>
  </si>
  <si>
    <t>undermining</t>
  </si>
  <si>
    <t>underpaid</t>
  </si>
  <si>
    <t>underpowered</t>
  </si>
  <si>
    <t>undersized</t>
  </si>
  <si>
    <t>undesirable</t>
  </si>
  <si>
    <t>undetermined</t>
  </si>
  <si>
    <t>undid</t>
  </si>
  <si>
    <t>undignified</t>
  </si>
  <si>
    <t>undissolved</t>
  </si>
  <si>
    <t>undocumented</t>
  </si>
  <si>
    <t>undone</t>
  </si>
  <si>
    <t>undue</t>
  </si>
  <si>
    <t>unease</t>
  </si>
  <si>
    <t>uneasily</t>
  </si>
  <si>
    <t>uneasiness</t>
  </si>
  <si>
    <t>uneasy</t>
  </si>
  <si>
    <t>uneconomical</t>
  </si>
  <si>
    <t>unemployed</t>
  </si>
  <si>
    <t>unequal</t>
  </si>
  <si>
    <t>unethical</t>
  </si>
  <si>
    <t>uneven</t>
  </si>
  <si>
    <t>uneventful</t>
  </si>
  <si>
    <t>unexpected</t>
  </si>
  <si>
    <t>unexpectedly</t>
  </si>
  <si>
    <t>unexplained</t>
  </si>
  <si>
    <t>unfairly</t>
  </si>
  <si>
    <t>unfaithful</t>
  </si>
  <si>
    <t>unfaithfully</t>
  </si>
  <si>
    <t>unfamiliar</t>
  </si>
  <si>
    <t>unfavorable</t>
  </si>
  <si>
    <t>unfeeling</t>
  </si>
  <si>
    <t>unfinished</t>
  </si>
  <si>
    <t>unfit</t>
  </si>
  <si>
    <t>unforeseen</t>
  </si>
  <si>
    <t>unforgiving</t>
  </si>
  <si>
    <t>unfortunate</t>
  </si>
  <si>
    <t>unfortunately</t>
  </si>
  <si>
    <t>unfounded</t>
  </si>
  <si>
    <t>unfriendly</t>
  </si>
  <si>
    <t>unfulfilled</t>
  </si>
  <si>
    <t>unfunded</t>
  </si>
  <si>
    <t>ungovernable</t>
  </si>
  <si>
    <t>ungrateful</t>
  </si>
  <si>
    <t>unhappily</t>
  </si>
  <si>
    <t>unhappiness</t>
  </si>
  <si>
    <t>unhappy</t>
  </si>
  <si>
    <t>unhealthy</t>
  </si>
  <si>
    <t>unhelpful</t>
  </si>
  <si>
    <t>unilateralism</t>
  </si>
  <si>
    <t>unimaginable</t>
  </si>
  <si>
    <t>unimaginably</t>
  </si>
  <si>
    <t>unimportant</t>
  </si>
  <si>
    <t>uninformed</t>
  </si>
  <si>
    <t>uninsured</t>
  </si>
  <si>
    <t>unintelligible</t>
  </si>
  <si>
    <t>unintelligile</t>
  </si>
  <si>
    <t>unipolar</t>
  </si>
  <si>
    <t>unjust</t>
  </si>
  <si>
    <t>unjustifiable</t>
  </si>
  <si>
    <t>unjustifiably</t>
  </si>
  <si>
    <t>unjustified</t>
  </si>
  <si>
    <t>unjustly</t>
  </si>
  <si>
    <t>unkind</t>
  </si>
  <si>
    <t>unkindly</t>
  </si>
  <si>
    <t>unknown</t>
  </si>
  <si>
    <t>unlamentable</t>
  </si>
  <si>
    <t>unlamentably</t>
  </si>
  <si>
    <t>unlawful</t>
  </si>
  <si>
    <t>unlawfully</t>
  </si>
  <si>
    <t>unlawfulness</t>
  </si>
  <si>
    <t>unleash</t>
  </si>
  <si>
    <t>unlicensed</t>
  </si>
  <si>
    <t>unlikely</t>
  </si>
  <si>
    <t>unlucky</t>
  </si>
  <si>
    <t>unmoved</t>
  </si>
  <si>
    <t>unnatural</t>
  </si>
  <si>
    <t>unnaturally</t>
  </si>
  <si>
    <t>unnecessary</t>
  </si>
  <si>
    <t>unneeded</t>
  </si>
  <si>
    <t>unnerve</t>
  </si>
  <si>
    <t>unnerved</t>
  </si>
  <si>
    <t>unnerving</t>
  </si>
  <si>
    <t>unnervingly</t>
  </si>
  <si>
    <t>unnoticed</t>
  </si>
  <si>
    <t>unobserved</t>
  </si>
  <si>
    <t>unorthodox</t>
  </si>
  <si>
    <t>unorthodoxy</t>
  </si>
  <si>
    <t>unpleasant</t>
  </si>
  <si>
    <t>unpleasantries</t>
  </si>
  <si>
    <t>unpopular</t>
  </si>
  <si>
    <t>unpredictable</t>
  </si>
  <si>
    <t>unprepared</t>
  </si>
  <si>
    <t>unproductive</t>
  </si>
  <si>
    <t>unprofitable</t>
  </si>
  <si>
    <t>unprove</t>
  </si>
  <si>
    <t>unproved</t>
  </si>
  <si>
    <t>unproven</t>
  </si>
  <si>
    <t>unproves</t>
  </si>
  <si>
    <t>unproving</t>
  </si>
  <si>
    <t>unqualified</t>
  </si>
  <si>
    <t>unravel</t>
  </si>
  <si>
    <t>unraveled</t>
  </si>
  <si>
    <t>unreachable</t>
  </si>
  <si>
    <t>unreadable</t>
  </si>
  <si>
    <t>unrealistic</t>
  </si>
  <si>
    <t>unreasonable</t>
  </si>
  <si>
    <t>unreasonably</t>
  </si>
  <si>
    <t>unrelenting</t>
  </si>
  <si>
    <t>unrelentingly</t>
  </si>
  <si>
    <t>unreliability</t>
  </si>
  <si>
    <t>unreliable</t>
  </si>
  <si>
    <t>unresolved</t>
  </si>
  <si>
    <t>unresponsive</t>
  </si>
  <si>
    <t>unrest</t>
  </si>
  <si>
    <t>unruly</t>
  </si>
  <si>
    <t>unsafe</t>
  </si>
  <si>
    <t>unsatisfactory</t>
  </si>
  <si>
    <t>unsavory</t>
  </si>
  <si>
    <t>unscrupulous</t>
  </si>
  <si>
    <t>unscrupulously</t>
  </si>
  <si>
    <t>unsecure</t>
  </si>
  <si>
    <t>unseemly</t>
  </si>
  <si>
    <t>unsettle</t>
  </si>
  <si>
    <t>unsettled</t>
  </si>
  <si>
    <t>unsettling</t>
  </si>
  <si>
    <t>unsettlingly</t>
  </si>
  <si>
    <t>unskilled</t>
  </si>
  <si>
    <t>unsophisticated</t>
  </si>
  <si>
    <t>unsound</t>
  </si>
  <si>
    <t>unspeakable</t>
  </si>
  <si>
    <t>unspeakablely</t>
  </si>
  <si>
    <t>unspecified</t>
  </si>
  <si>
    <t>unstable</t>
  </si>
  <si>
    <t>unsteadily</t>
  </si>
  <si>
    <t>unsteadiness</t>
  </si>
  <si>
    <t>unsteady</t>
  </si>
  <si>
    <t>unsuccessful</t>
  </si>
  <si>
    <t>unsuccessfully</t>
  </si>
  <si>
    <t>unsupported</t>
  </si>
  <si>
    <t>unsupportive</t>
  </si>
  <si>
    <t>unsure</t>
  </si>
  <si>
    <t>unsuspecting</t>
  </si>
  <si>
    <t>unsustainable</t>
  </si>
  <si>
    <t>untenable</t>
  </si>
  <si>
    <t>untested</t>
  </si>
  <si>
    <t>unthinkable</t>
  </si>
  <si>
    <t>unthinkably</t>
  </si>
  <si>
    <t>untimely</t>
  </si>
  <si>
    <t>untouched</t>
  </si>
  <si>
    <t>untrue</t>
  </si>
  <si>
    <t>untrustworthy</t>
  </si>
  <si>
    <t>untruthful</t>
  </si>
  <si>
    <t>unusable</t>
  </si>
  <si>
    <t>unusably</t>
  </si>
  <si>
    <t>unuseable</t>
  </si>
  <si>
    <t>unuseably</t>
  </si>
  <si>
    <t>unusual</t>
  </si>
  <si>
    <t>unusually</t>
  </si>
  <si>
    <t>unviewable</t>
  </si>
  <si>
    <t>unwanted</t>
  </si>
  <si>
    <t>unwarranted</t>
  </si>
  <si>
    <t>unwatchable</t>
  </si>
  <si>
    <t>unwelcome</t>
  </si>
  <si>
    <t>unwell</t>
  </si>
  <si>
    <t>unwieldy</t>
  </si>
  <si>
    <t>unwilling</t>
  </si>
  <si>
    <t>unwillingly</t>
  </si>
  <si>
    <t>unwillingness</t>
  </si>
  <si>
    <t>unwise</t>
  </si>
  <si>
    <t>unwisely</t>
  </si>
  <si>
    <t>unworkable</t>
  </si>
  <si>
    <t>unworthy</t>
  </si>
  <si>
    <t>unyielding</t>
  </si>
  <si>
    <t>upbraid</t>
  </si>
  <si>
    <t>upheaval</t>
  </si>
  <si>
    <t>uprising</t>
  </si>
  <si>
    <t>uproar</t>
  </si>
  <si>
    <t>uproarious</t>
  </si>
  <si>
    <t>uproariously</t>
  </si>
  <si>
    <t>uproarous</t>
  </si>
  <si>
    <t>uproarously</t>
  </si>
  <si>
    <t>uproot</t>
  </si>
  <si>
    <t>upset</t>
  </si>
  <si>
    <t>upseting</t>
  </si>
  <si>
    <t>upsets</t>
  </si>
  <si>
    <t>upsetting</t>
  </si>
  <si>
    <t>upsettingly</t>
  </si>
  <si>
    <t>urgent</t>
  </si>
  <si>
    <t>useless</t>
  </si>
  <si>
    <t>usurp</t>
  </si>
  <si>
    <t>usurper</t>
  </si>
  <si>
    <t>utterly</t>
  </si>
  <si>
    <t>vagrant</t>
  </si>
  <si>
    <t>vague</t>
  </si>
  <si>
    <t>vagueness</t>
  </si>
  <si>
    <t>vain</t>
  </si>
  <si>
    <t>vainly</t>
  </si>
  <si>
    <t>vanity</t>
  </si>
  <si>
    <t>vehement</t>
  </si>
  <si>
    <t>vehemently</t>
  </si>
  <si>
    <t>vengeance</t>
  </si>
  <si>
    <t>vengeful</t>
  </si>
  <si>
    <t>vengefully</t>
  </si>
  <si>
    <t>vengefulness</t>
  </si>
  <si>
    <t>venom</t>
  </si>
  <si>
    <t>venomous</t>
  </si>
  <si>
    <t>venomously</t>
  </si>
  <si>
    <t>vent</t>
  </si>
  <si>
    <t>vestiges</t>
  </si>
  <si>
    <t>vex</t>
  </si>
  <si>
    <t>vexation</t>
  </si>
  <si>
    <t>vexing</t>
  </si>
  <si>
    <t>vexingly</t>
  </si>
  <si>
    <t>vibrate</t>
  </si>
  <si>
    <t>vibrated</t>
  </si>
  <si>
    <t>vibrates</t>
  </si>
  <si>
    <t>vibrating</t>
  </si>
  <si>
    <t>vibration</t>
  </si>
  <si>
    <t>vice</t>
  </si>
  <si>
    <t>vicious</t>
  </si>
  <si>
    <t>viciously</t>
  </si>
  <si>
    <t>viciousness</t>
  </si>
  <si>
    <t>victimize</t>
  </si>
  <si>
    <t>vile</t>
  </si>
  <si>
    <t>vileness</t>
  </si>
  <si>
    <t>vilify</t>
  </si>
  <si>
    <t>villainous</t>
  </si>
  <si>
    <t>villainously</t>
  </si>
  <si>
    <t>villains</t>
  </si>
  <si>
    <t>villian</t>
  </si>
  <si>
    <t>villianous</t>
  </si>
  <si>
    <t>villianously</t>
  </si>
  <si>
    <t>villify</t>
  </si>
  <si>
    <t>vindictive</t>
  </si>
  <si>
    <t>vindictively</t>
  </si>
  <si>
    <t>vindictiveness</t>
  </si>
  <si>
    <t>violate</t>
  </si>
  <si>
    <t>violation</t>
  </si>
  <si>
    <t>violator</t>
  </si>
  <si>
    <t>violators</t>
  </si>
  <si>
    <t>violent</t>
  </si>
  <si>
    <t>violently</t>
  </si>
  <si>
    <t>viper</t>
  </si>
  <si>
    <t>virulence</t>
  </si>
  <si>
    <t>virulent</t>
  </si>
  <si>
    <t>virulently</t>
  </si>
  <si>
    <t>virus</t>
  </si>
  <si>
    <t>vociferous</t>
  </si>
  <si>
    <t>vociferously</t>
  </si>
  <si>
    <t>volatile</t>
  </si>
  <si>
    <t>volatility</t>
  </si>
  <si>
    <t>vomit</t>
  </si>
  <si>
    <t>vomited</t>
  </si>
  <si>
    <t>vomiting</t>
  </si>
  <si>
    <t>vomits</t>
  </si>
  <si>
    <t>vulgar</t>
  </si>
  <si>
    <t>vulnerable</t>
  </si>
  <si>
    <t>wack</t>
  </si>
  <si>
    <t>wail</t>
  </si>
  <si>
    <t>wallow</t>
  </si>
  <si>
    <t>wane</t>
  </si>
  <si>
    <t>waning</t>
  </si>
  <si>
    <t>wanton</t>
  </si>
  <si>
    <t>war-like</t>
  </si>
  <si>
    <t>warily</t>
  </si>
  <si>
    <t>wariness</t>
  </si>
  <si>
    <t>warlike</t>
  </si>
  <si>
    <t>warned</t>
  </si>
  <si>
    <t>warning</t>
  </si>
  <si>
    <t>warp</t>
  </si>
  <si>
    <t>warped</t>
  </si>
  <si>
    <t>wary</t>
  </si>
  <si>
    <t>washed-out</t>
  </si>
  <si>
    <t>waste</t>
  </si>
  <si>
    <t>wasted</t>
  </si>
  <si>
    <t>wasteful</t>
  </si>
  <si>
    <t>wastefulness</t>
  </si>
  <si>
    <t>wasting</t>
  </si>
  <si>
    <t>water-down</t>
  </si>
  <si>
    <t>watered-down</t>
  </si>
  <si>
    <t>wayward</t>
  </si>
  <si>
    <t>weak</t>
  </si>
  <si>
    <t>weaken</t>
  </si>
  <si>
    <t>weakening</t>
  </si>
  <si>
    <t>weaker</t>
  </si>
  <si>
    <t>weakness</t>
  </si>
  <si>
    <t>weaknesses</t>
  </si>
  <si>
    <t>weariness</t>
  </si>
  <si>
    <t>wearisome</t>
  </si>
  <si>
    <t>weary</t>
  </si>
  <si>
    <t>wedge</t>
  </si>
  <si>
    <t>weed</t>
  </si>
  <si>
    <t>weep</t>
  </si>
  <si>
    <t>weird</t>
  </si>
  <si>
    <t>weirdly</t>
  </si>
  <si>
    <t>wheedle</t>
  </si>
  <si>
    <t>whimper</t>
  </si>
  <si>
    <t>whine</t>
  </si>
  <si>
    <t>whining</t>
  </si>
  <si>
    <t>whiny</t>
  </si>
  <si>
    <t>whips</t>
  </si>
  <si>
    <t>whore</t>
  </si>
  <si>
    <t>whores</t>
  </si>
  <si>
    <t>wicked</t>
  </si>
  <si>
    <t>wickedly</t>
  </si>
  <si>
    <t>wickedness</t>
  </si>
  <si>
    <t>wild</t>
  </si>
  <si>
    <t>wildly</t>
  </si>
  <si>
    <t>wiles</t>
  </si>
  <si>
    <t>wilt</t>
  </si>
  <si>
    <t>wily</t>
  </si>
  <si>
    <t>wimpy</t>
  </si>
  <si>
    <t>wince</t>
  </si>
  <si>
    <t>wobble</t>
  </si>
  <si>
    <t>wobbled</t>
  </si>
  <si>
    <t>wobbles</t>
  </si>
  <si>
    <t>woe</t>
  </si>
  <si>
    <t>woebegone</t>
  </si>
  <si>
    <t>woeful</t>
  </si>
  <si>
    <t>woefully</t>
  </si>
  <si>
    <t>womanizer</t>
  </si>
  <si>
    <t>womanizing</t>
  </si>
  <si>
    <t>worn</t>
  </si>
  <si>
    <t>worried</t>
  </si>
  <si>
    <t>worriedly</t>
  </si>
  <si>
    <t>worrier</t>
  </si>
  <si>
    <t>worries</t>
  </si>
  <si>
    <t>worrisome</t>
  </si>
  <si>
    <t>worry</t>
  </si>
  <si>
    <t>worrying</t>
  </si>
  <si>
    <t>worryingly</t>
  </si>
  <si>
    <t>worse</t>
  </si>
  <si>
    <t>worsen</t>
  </si>
  <si>
    <t>worsening</t>
  </si>
  <si>
    <t>worst</t>
  </si>
  <si>
    <t>worthless</t>
  </si>
  <si>
    <t>worthlessly</t>
  </si>
  <si>
    <t>worthlessness</t>
  </si>
  <si>
    <t>wound</t>
  </si>
  <si>
    <t>wounds</t>
  </si>
  <si>
    <t>wrangle</t>
  </si>
  <si>
    <t>wrath</t>
  </si>
  <si>
    <t>wreak</t>
  </si>
  <si>
    <t>wreaked</t>
  </si>
  <si>
    <t>wreaks</t>
  </si>
  <si>
    <t>wreck</t>
  </si>
  <si>
    <t>wrest</t>
  </si>
  <si>
    <t>wrestle</t>
  </si>
  <si>
    <t>wretch</t>
  </si>
  <si>
    <t>wretched</t>
  </si>
  <si>
    <t>wretchedly</t>
  </si>
  <si>
    <t>wretchedness</t>
  </si>
  <si>
    <t>wrinkle</t>
  </si>
  <si>
    <t>wrinkled</t>
  </si>
  <si>
    <t>wrinkles</t>
  </si>
  <si>
    <t>wrip</t>
  </si>
  <si>
    <t>wripped</t>
  </si>
  <si>
    <t>wripping</t>
  </si>
  <si>
    <t>writhe</t>
  </si>
  <si>
    <t>wrong</t>
  </si>
  <si>
    <t>wrongful</t>
  </si>
  <si>
    <t>wrongly</t>
  </si>
  <si>
    <t>wrought</t>
  </si>
  <si>
    <t>yawn</t>
  </si>
  <si>
    <t>zap</t>
  </si>
  <si>
    <t>zapped</t>
  </si>
  <si>
    <t>zaps</t>
  </si>
  <si>
    <t>zealot</t>
  </si>
  <si>
    <t>zealous</t>
  </si>
  <si>
    <t>zealously</t>
  </si>
  <si>
    <t>zombie</t>
  </si>
  <si>
    <t>shoot</t>
  </si>
  <si>
    <t>blowup</t>
  </si>
  <si>
    <t>List</t>
  </si>
  <si>
    <t>Stop Words</t>
  </si>
  <si>
    <t>List1</t>
  </si>
  <si>
    <t>List2</t>
  </si>
  <si>
    <t>List3</t>
  </si>
  <si>
    <t>Group 1</t>
  </si>
  <si>
    <t>Group 2</t>
  </si>
  <si>
    <t>Edges</t>
  </si>
  <si>
    <t>Graph Type</t>
  </si>
  <si>
    <t>Number of Edge Types</t>
  </si>
  <si>
    <t>Modularity</t>
  </si>
  <si>
    <t>NodeXL Version</t>
  </si>
  <si>
    <t>Graph Gallery URL</t>
  </si>
  <si>
    <t>Graph Image URL</t>
  </si>
  <si>
    <t>Graph Source</t>
  </si>
  <si>
    <t>Graph Term</t>
  </si>
  <si>
    <t>Data Import</t>
  </si>
  <si>
    <t>Layout Algorithm</t>
  </si>
  <si>
    <t>Groups</t>
  </si>
  <si>
    <t>Edge Alpha</t>
  </si>
  <si>
    <t>Edge Color</t>
  </si>
  <si>
    <t>Edge Width</t>
  </si>
  <si>
    <t>Vertex Alpha</t>
  </si>
  <si>
    <t>Vertex Radius</t>
  </si>
  <si>
    <t>Vertex X</t>
  </si>
  <si>
    <t>Vertex y</t>
  </si>
  <si>
    <t>1.0.1.523</t>
  </si>
  <si>
    <t>TwitterSearch3</t>
  </si>
  <si>
    <t>The graph represents a network of 124 Twitter users whose recent tweets contained "AEJMC", or who were replied to, mentioned, retweeted or quoted in those tweets, taken from a data set limited to a maximum of 20,000 tweets, tweeted between 10/29/2023 12:00:00 AM and 11/5/2023 4:51:23 PM.  The network was obtained from Twitter on Sunday, 05 November 2023 at 16:58 UTC._x000D_
_x000D_
The tweets in the network were tweeted over the 242-day, 8-hour, 3-minute period from Wednesday, 08 March 2023 at 08:54 UTC to Sunday, 05 November 2023 at 16:58 UTC._x000D_
_x000D_
There is an edge for each "replies-to" relationship in a tweet, an edge for each "mentions" relationship in a tweet, an edge for each "retweet" relationship in a tweet, an edge for each "quote" relationship in a tweet, an edge for each "mention in retweet" relationship in a tweet, an edge for each "mention in reply-to" relationship in a tweet, an edge for each "mention in quote" relationship in a tweet, an edge for each "mention in quote reply-to" relationship in a tweet, and a self-loop edge for each tweet that is not from above.</t>
  </si>
  <si>
    <t>The graph's vertices were grouped by cluster using the Clauset-Newman-Moore cluster algorithm.</t>
  </si>
  <si>
    <t>Key</t>
  </si>
  <si>
    <t>Action Label</t>
  </si>
  <si>
    <t>Action URL</t>
  </si>
  <si>
    <t>Brand Logo</t>
  </si>
  <si>
    <t>Brand URL</t>
  </si>
  <si>
    <t>Hashtag</t>
  </si>
  <si>
    <t>Buy a social media network map and report</t>
  </si>
  <si>
    <t>http://bit.ly/NodeXLMaps</t>
  </si>
  <si>
    <t>https://www.connectedaction.net/wp-content/uploads/2018/10/CALogo-Plain_header.jpg</t>
  </si>
  <si>
    <t>http://connectedaction.net</t>
  </si>
  <si>
    <t>#NodeXL</t>
  </si>
  <si>
    <t>Top 10 Vertices, Ranked by Betweenness Centrality</t>
  </si>
  <si>
    <t>Top URLs in Tweet in Entire Graph</t>
  </si>
  <si>
    <t>https://journals.sagepub.com/doi/abs/10.1177/10776990221108722</t>
  </si>
  <si>
    <t>https://journals.sagepub.com/doi/abs/10.1177/10776990211049451</t>
  </si>
  <si>
    <t>https://www.schooljobs.com/careers/bgsu/jobs/4264712/assistant-professor-school-of-media-and-communication?page=3&amp;pagetype=jobOpportunitiesJobs</t>
  </si>
  <si>
    <t>https://employment.marquette.edu/postings/20457</t>
  </si>
  <si>
    <t>https://ci.uky.edu/about-ci/2024-aejmc-southeast-colloquium/paper-submissions</t>
  </si>
  <si>
    <t>https://bostonu.zoom.us/meeting/register/tJAkc-Gsqj8qGNfbayeDGxjSAisWKFmTXJAs</t>
  </si>
  <si>
    <t>https://journals.sagepub.com/doi/abs/10.1177/0973258617743625</t>
  </si>
  <si>
    <t>https://www.higheredjobs.com/faculty/details.cfm?JobCode=178596886</t>
  </si>
  <si>
    <t>https://tucsonagenda.substack.com/p/monday-q-and-a-with-dr-jessica-retis?utm_campaign=email-half-post&amp;r=n7i1h&amp;utm_source=substack&amp;utm_medium=email&amp;utm_source=trellis&amp;utm_medium=email&amp;utm_campaign=Clips%20for%20Sep.%2023-25,%202023</t>
  </si>
  <si>
    <t>https://theieca.org/page/Join</t>
  </si>
  <si>
    <t>Entire Graph Count</t>
  </si>
  <si>
    <t>Top URLs in Tweet in G1</t>
  </si>
  <si>
    <t>https://www.aejmc.com/home/wp-content/uploads/2023/10/Eleanor-Blum-Distinguished-Service-to-Research-Award.pdf</t>
  </si>
  <si>
    <t>https://www.aejmc.com/home/2023/09/resolution-four-2023/</t>
  </si>
  <si>
    <t>https://www.aejmc.com/home/wp-content/uploads/2023/10/Burd-Award-for-Research-in-Urban-Journalism-Studies.pdf</t>
  </si>
  <si>
    <t>https://www.aejmc.com/home/wp-content/uploads/2023/10/Deutschmann-Award.pdf</t>
  </si>
  <si>
    <t>https://www.aejmc.org/jobads/?p=19459</t>
  </si>
  <si>
    <t>https://www.aejmc.org/jobads/?p=19429</t>
  </si>
  <si>
    <t>Top URLs in Tweet in G2</t>
  </si>
  <si>
    <t>G1 Count</t>
  </si>
  <si>
    <t>https://www.higheredjobs.com/faculty/details.cfm?JobCode=178595177</t>
  </si>
  <si>
    <t>https://www.higheredjobs.com/faculty/details.cfm?JobCode=178596185</t>
  </si>
  <si>
    <t>https://www.higheredjobs.com/faculty/details.cfm?JobCode=178596364</t>
  </si>
  <si>
    <t>https://www.higheredjobs.com/faculty/details.cfm?JobCode=178594235</t>
  </si>
  <si>
    <t>https://eeik.fa.us2.oraclecloud.com/hcmUI/CandidateExperience/en/sites/CX_1/requisitions/preview/233303/?keyword=Professor&amp;mode=location</t>
  </si>
  <si>
    <t>https://bit.ly/3FJt4WK</t>
  </si>
  <si>
    <t>https://olemiss.zoom.us/j/91781083553</t>
  </si>
  <si>
    <t>Top URLs in Tweet in G3</t>
  </si>
  <si>
    <t>G2 Count</t>
  </si>
  <si>
    <t>https://journals.sagepub.com/doi/10.1177/14614448231205893</t>
  </si>
  <si>
    <t>https://journals.sagepub.com/doi/abs/10.1177/10776990231202702</t>
  </si>
  <si>
    <t>https://journals.sagepub.com/doi/full/10.1177/10776990231202692</t>
  </si>
  <si>
    <t>https://www.degruyter.com/journal/key/omgc/html</t>
  </si>
  <si>
    <t>Top URLs in Tweet in G4</t>
  </si>
  <si>
    <t>G3 Count</t>
  </si>
  <si>
    <t>https://ow.ly/JyA050PZrHG</t>
  </si>
  <si>
    <t>Top URLs in Tweet in G5</t>
  </si>
  <si>
    <t>G4 Count</t>
  </si>
  <si>
    <t>Top URLs in Tweet in G6</t>
  </si>
  <si>
    <t>G5 Count</t>
  </si>
  <si>
    <t>https://journals.sagepub.com/doi/10.1177/10776990231206366</t>
  </si>
  <si>
    <t>Top URLs in Tweet in G7</t>
  </si>
  <si>
    <t>G6 Count</t>
  </si>
  <si>
    <t>Top URLs in Tweet in G8</t>
  </si>
  <si>
    <t>G7 Count</t>
  </si>
  <si>
    <t>http://spr.ly/6013uYH8H</t>
  </si>
  <si>
    <t>Top URLs in Tweet in G9</t>
  </si>
  <si>
    <t>G8 Count</t>
  </si>
  <si>
    <t>https://www.celt.iastate.edu/event/a-culture-of-gratitude-best-practices-for-promotion-and-tenure/</t>
  </si>
  <si>
    <t>Top URLs in Tweet in G10</t>
  </si>
  <si>
    <t>G9 Count</t>
  </si>
  <si>
    <t>https://mmedivision.wordpress.com/2023/10/31/paper-call-aejmc-midwinter-conference/</t>
  </si>
  <si>
    <t>G10 Count</t>
  </si>
  <si>
    <t>Top URLs in Tweet</t>
  </si>
  <si>
    <t>https://journals.sagepub.com/doi/abs/10.1177/0973258617743625 https://journals.sagepub.com/doi/abs/10.1177/10776990211049451 https://journals.sagepub.com/doi/abs/10.1177/10776990221108722 https://www.aejmc.com/home/wp-content/uploads/2023/10/Eleanor-Blum-Distinguished-Service-to-Research-Award.pdf https://www.aejmc.com/home/2023/09/resolution-four-2023/ https://www.aejmc.com/home/wp-content/uploads/2023/10/Burd-Award-for-Research-in-Urban-Journalism-Studies.pdf https://www.aejmc.com/home/wp-content/uploads/2023/10/Deutschmann-Award.pdf https://www.aejmc.org/jobads/?p=19459 https://www.aejmc.org/jobads/?p=19429 https://ci.uky.edu/about-ci/2024-aejmc-southeast-colloquium/paper-submissions</t>
  </si>
  <si>
    <t>https://www.schooljobs.com/careers/bgsu/jobs/4264712/assistant-professor-school-of-media-and-communication?page=3&amp;pagetype=jobOpportunitiesJobs https://employment.marquette.edu/postings/20457 https://www.higheredjobs.com/faculty/details.cfm?JobCode=178596886 https://www.higheredjobs.com/faculty/details.cfm?JobCode=178595177 https://www.higheredjobs.com/faculty/details.cfm?JobCode=178596185 https://www.higheredjobs.com/faculty/details.cfm?JobCode=178596364 https://www.higheredjobs.com/faculty/details.cfm?JobCode=178594235 https://eeik.fa.us2.oraclecloud.com/hcmUI/CandidateExperience/en/sites/CX_1/requisitions/preview/233303/?keyword=Professor&amp;mode=location https://bit.ly/3FJt4WK https://olemiss.zoom.us/j/91781083553</t>
  </si>
  <si>
    <t>https://journals.sagepub.com/doi/abs/10.1177/10776990221108722 https://journals.sagepub.com/doi/abs/10.1177/10776990211049451 https://journals.sagepub.com/doi/10.1177/14614448231205893 https://journals.sagepub.com/doi/abs/10.1177/10776990231202702 https://journals.sagepub.com/doi/full/10.1177/10776990231202692 https://www.degruyter.com/journal/key/omgc/html</t>
  </si>
  <si>
    <t>https://bostonu.zoom.us/meeting/register/tJAkc-Gsqj8qGNfbayeDGxjSAisWKFmTXJAs https://ow.ly/JyA050PZrHG</t>
  </si>
  <si>
    <t>https://journals.sagepub.com/doi/10.1177/10776990231206366 https://ci.uky.edu/about-ci/2024-aejmc-southeast-colloquium/paper-submissions</t>
  </si>
  <si>
    <t>https://ift.tt/5ASY3J6</t>
  </si>
  <si>
    <t>https://buff.ly/3Q29Dxl</t>
  </si>
  <si>
    <t>Top Domains in Tweet in Entire Graph</t>
  </si>
  <si>
    <t>Top Domains in Tweet in G1</t>
  </si>
  <si>
    <t>Top Domains in Tweet in G2</t>
  </si>
  <si>
    <t>Top Domains in Tweet in G3</t>
  </si>
  <si>
    <t>Top Domains in Tweet in G4</t>
  </si>
  <si>
    <t>Top Domains in Tweet in G5</t>
  </si>
  <si>
    <t>Top Domains in Tweet in G6</t>
  </si>
  <si>
    <t>Top Domains in Tweet in G7</t>
  </si>
  <si>
    <t>Top Domains in Tweet in G8</t>
  </si>
  <si>
    <t>Top Domains in Tweet in G9</t>
  </si>
  <si>
    <t>Top Domains in Tweet in G10</t>
  </si>
  <si>
    <t>Top Domains in Tweet</t>
  </si>
  <si>
    <t>aejmc.com sagepub.com aejmc.org uky.edu syracuse.edu buff.ly bit.ly marquette.edu</t>
  </si>
  <si>
    <t>higheredjobs.com schooljobs.com marquette.edu zoom.us oraclecloud.com bit.ly aejmc.org myworkdayjobs.com</t>
  </si>
  <si>
    <t>sagepub.com degruyter.com</t>
  </si>
  <si>
    <t>zoom.us ow.ly</t>
  </si>
  <si>
    <t>sagepub.com uky.edu</t>
  </si>
  <si>
    <t>Top Hashtags in Tweet in Entire Graph</t>
  </si>
  <si>
    <t>Top Hashtags in Tweet in G1</t>
  </si>
  <si>
    <t>Top Hashtags in Tweet in G2</t>
  </si>
  <si>
    <t>Top Hashtags in Tweet in G3</t>
  </si>
  <si>
    <t>Top Hashtags in Tweet in G4</t>
  </si>
  <si>
    <t>Top Hashtags in Tweet in G5</t>
  </si>
  <si>
    <t>Top Hashtags in Tweet in G6</t>
  </si>
  <si>
    <t>Top Hashtags in Tweet in G7</t>
  </si>
  <si>
    <t>Top Hashtags in Tweet in G8</t>
  </si>
  <si>
    <t>Top Hashtags in Tweet in G9</t>
  </si>
  <si>
    <t>Top Hashtags in Tweet in G10</t>
  </si>
  <si>
    <t>Top Hashtags in Tweet</t>
  </si>
  <si>
    <t>toppaper aejmcjobs ad jobad journalism brutality racial ica24 muslim medialiteracy101</t>
  </si>
  <si>
    <t>jobalerts jobalert prprofchat aejmcprd teachingtips academicexcellence feedbackforstudent prprofchatcoffeetalk prprof smprof</t>
  </si>
  <si>
    <t>toppaper brutality racial ica24 muslim ica2024 peerreview accuracy trust news</t>
  </si>
  <si>
    <t>smprofs prprofs smpc2023 smle2022 ff aejmc21 aejmc22 aejmc2021 shoutmgb smc2024</t>
  </si>
  <si>
    <t>ica24 jmcqreview flagship</t>
  </si>
  <si>
    <t>Top Words in Tweet in Entire Graph</t>
  </si>
  <si>
    <t>Top Words in Tweet in G1</t>
  </si>
  <si>
    <t>Top Words in Tweet in G2</t>
  </si>
  <si>
    <t>Top Words in Tweet in G3</t>
  </si>
  <si>
    <t>Top Words in Tweet in G4</t>
  </si>
  <si>
    <t>Top Words in Tweet in G5</t>
  </si>
  <si>
    <t>Top Words in Tweet in G6</t>
  </si>
  <si>
    <t>Top Words in Tweet in G7</t>
  </si>
  <si>
    <t>Top Words in Tweet in G8</t>
  </si>
  <si>
    <t>Top Words in Tweet in G9</t>
  </si>
  <si>
    <t>Top Words in Tweet in G10</t>
  </si>
  <si>
    <t>Top Words in Tweet</t>
  </si>
  <si>
    <t>aejmc jmcquarterly research award communication literacy newhousesu prof_dimitrova winners 2024</t>
  </si>
  <si>
    <t>aejmc assistant professor higheredjobs communication willthewordguy committee #jobalerts advertising school</t>
  </si>
  <si>
    <t>jmcquarterly prof_dimitrova eic paper media here's aejmc #toppaper link good</t>
  </si>
  <si>
    <t>csgeaejmc panel #medialiteracy101 27 11 teaching join ic4ml profgoldie help</t>
  </si>
  <si>
    <t>michaelbathurst wisdom jeremyhl snapchat following docassar somcoaching #smprofs this0499154500 aejmc</t>
  </si>
  <si>
    <t>aejmc research award committee dec standing jmcquarterly paul deutschmann take</t>
  </si>
  <si>
    <t>line join ieca benefits discounts coce 2024 include environmental access</t>
  </si>
  <si>
    <t>congrats winning project award longo fossil turned student igs_bu undergraduate</t>
  </si>
  <si>
    <t>gratitude central presentation wed process emphasis give nov</t>
  </si>
  <si>
    <t>2024 paper call conference abstracts submit extended aejmc 800 midwinter</t>
  </si>
  <si>
    <t>journalism journal communication aejmc university professor dissertation quarterly mass award</t>
  </si>
  <si>
    <t>history reckoning states without available understood enterprise free long united</t>
  </si>
  <si>
    <t>Top Word Pairs in Tweet in Entire Graph</t>
  </si>
  <si>
    <t>assistant,professor</t>
  </si>
  <si>
    <t>eic,prof_dimitrova</t>
  </si>
  <si>
    <t>jmcquarterly,eic</t>
  </si>
  <si>
    <t>standing,committee</t>
  </si>
  <si>
    <t>aejmc,standing</t>
  </si>
  <si>
    <t>#toppaper,jmcquarterly</t>
  </si>
  <si>
    <t>research,award</t>
  </si>
  <si>
    <t>willthewordguy,assistant</t>
  </si>
  <si>
    <t>committee,research</t>
  </si>
  <si>
    <t>aejmc,aejmc</t>
  </si>
  <si>
    <t>Top Word Pairs in Tweet in G1</t>
  </si>
  <si>
    <t>reading,'media</t>
  </si>
  <si>
    <t>literacy,week</t>
  </si>
  <si>
    <t>occasion,reading</t>
  </si>
  <si>
    <t>media,information</t>
  </si>
  <si>
    <t>information,literacy</t>
  </si>
  <si>
    <t>Top Word Pairs in Tweet in G2</t>
  </si>
  <si>
    <t>manshipschool,search</t>
  </si>
  <si>
    <t>professor,digital</t>
  </si>
  <si>
    <t>posting,manshipschool</t>
  </si>
  <si>
    <t>digital,advertising</t>
  </si>
  <si>
    <t>higheredjobs,posting</t>
  </si>
  <si>
    <t>advertising,higheredjobs</t>
  </si>
  <si>
    <t>higheredjobs,aejmc</t>
  </si>
  <si>
    <t>search,commit</t>
  </si>
  <si>
    <t>Top Word Pairs in Tweet in G3</t>
  </si>
  <si>
    <t>here's,#toppaper</t>
  </si>
  <si>
    <t>start,day</t>
  </si>
  <si>
    <t>great,paper</t>
  </si>
  <si>
    <t>deals,link</t>
  </si>
  <si>
    <t>here's,great</t>
  </si>
  <si>
    <t>morning,here's</t>
  </si>
  <si>
    <t>police,#brutality</t>
  </si>
  <si>
    <t>Top Word Pairs in Tweet in G4</t>
  </si>
  <si>
    <t>join,csgeaejmc</t>
  </si>
  <si>
    <t>#medialiteracy101,11</t>
  </si>
  <si>
    <t>teaching,panel</t>
  </si>
  <si>
    <t>11,27</t>
  </si>
  <si>
    <t>belmedia,profgoldie</t>
  </si>
  <si>
    <t>fall,2023</t>
  </si>
  <si>
    <t>phd,students</t>
  </si>
  <si>
    <t>take,survey</t>
  </si>
  <si>
    <t>updates,third</t>
  </si>
  <si>
    <t>aejmcethics,#medialiteracy101</t>
  </si>
  <si>
    <t>Top Word Pairs in Tweet in G5</t>
  </si>
  <si>
    <t>docassar,this0499154500</t>
  </si>
  <si>
    <t>jeremyhl,somcoaching</t>
  </si>
  <si>
    <t>following,jeremyhl</t>
  </si>
  <si>
    <t>worth,following</t>
  </si>
  <si>
    <t>wisdom,worth</t>
  </si>
  <si>
    <t>michaelbathurst,eli_krumova</t>
  </si>
  <si>
    <t>somcoaching,michaelbathurst</t>
  </si>
  <si>
    <t>eli_krumova,docassar</t>
  </si>
  <si>
    <t>Top Word Pairs in Tweet in G6</t>
  </si>
  <si>
    <t>blum,research</t>
  </si>
  <si>
    <t>join,march</t>
  </si>
  <si>
    <t>colloquium,submissions</t>
  </si>
  <si>
    <t>congratulations,submitting</t>
  </si>
  <si>
    <t>mark,calendars</t>
  </si>
  <si>
    <t>Top Word Pairs in Tweet in G7</t>
  </si>
  <si>
    <t>benefits,include</t>
  </si>
  <si>
    <t>2024,benefits</t>
  </si>
  <si>
    <t>discounts,2025</t>
  </si>
  <si>
    <t>ieca,2024</t>
  </si>
  <si>
    <t>2025,coce</t>
  </si>
  <si>
    <t>access,environmental</t>
  </si>
  <si>
    <t>line,access</t>
  </si>
  <si>
    <t>communication,discounts</t>
  </si>
  <si>
    <t>coce,line</t>
  </si>
  <si>
    <t>join,ieca</t>
  </si>
  <si>
    <t>Top Word Pairs in Tweet in G8</t>
  </si>
  <si>
    <t>longo,com'24</t>
  </si>
  <si>
    <t>emma,longo</t>
  </si>
  <si>
    <t>com'24,winning</t>
  </si>
  <si>
    <t>project,fossil</t>
  </si>
  <si>
    <t>turned,project</t>
  </si>
  <si>
    <t>fossil,fuel</t>
  </si>
  <si>
    <t>award,turned</t>
  </si>
  <si>
    <t>congrats,emma</t>
  </si>
  <si>
    <t>student,award</t>
  </si>
  <si>
    <t>igs_bu,undergraduate</t>
  </si>
  <si>
    <t>Top Word Pairs in Tweet in G9</t>
  </si>
  <si>
    <t>presentation,process</t>
  </si>
  <si>
    <t>nov,central</t>
  </si>
  <si>
    <t>wed,nov</t>
  </si>
  <si>
    <t>central,give</t>
  </si>
  <si>
    <t>emphasis,gratitude</t>
  </si>
  <si>
    <t>process,emphasis</t>
  </si>
  <si>
    <t>give,presentation</t>
  </si>
  <si>
    <t>Top Word Pairs in Tweet in G10</t>
  </si>
  <si>
    <t>call,2024</t>
  </si>
  <si>
    <t>600,800</t>
  </si>
  <si>
    <t>conference,deadline</t>
  </si>
  <si>
    <t>midwinter,conference</t>
  </si>
  <si>
    <t>2024,aejmc</t>
  </si>
  <si>
    <t>extended,abstracts</t>
  </si>
  <si>
    <t>paper,call</t>
  </si>
  <si>
    <t>submit,extended</t>
  </si>
  <si>
    <t>abstracts,600</t>
  </si>
  <si>
    <t>aejmc,midwinter</t>
  </si>
  <si>
    <t>Top Word Pairs in Tweet</t>
  </si>
  <si>
    <t>research,award  reading,'media  aejmc,standing  standing,committee  jmcquarterly,eic  literacy,week  occasion,reading  media,information  information,literacy  committee,research</t>
  </si>
  <si>
    <t>assistant,professor  willthewordguy,assistant  manshipschool,search  professor,digital  posting,manshipschool  digital,advertising  higheredjobs,posting  advertising,higheredjobs  higheredjobs,aejmc  search,commit</t>
  </si>
  <si>
    <t>eic,prof_dimitrova  jmcquarterly,eic  #toppaper,jmcquarterly  here's,#toppaper  start,day  great,paper  deals,link  here's,great  morning,here's  police,#brutality</t>
  </si>
  <si>
    <t>join,csgeaejmc  #medialiteracy101,11  teaching,panel  11,27  belmedia,profgoldie  fall,2023  phd,students  take,survey  updates,third  aejmcethics,#medialiteracy101</t>
  </si>
  <si>
    <t>docassar,this0499154500  jeremyhl,somcoaching  following,jeremyhl  worth,following  wisdom,worth  michaelbathurst,eli_krumova  somcoaching,michaelbathurst  eli_krumova,docassar</t>
  </si>
  <si>
    <t>committee,research  research,award  standing,committee  aejmc,aejmc  aejmc,standing  blum,research  join,march  colloquium,submissions  congratulations,submitting  mark,calendars</t>
  </si>
  <si>
    <t>benefits,include  2024,benefits  discounts,2025  ieca,2024  2025,coce  access,environmental  line,access  communication,discounts  coce,line  join,ieca</t>
  </si>
  <si>
    <t>longo,com'24  emma,longo  com'24,winning  project,fossil  turned,project  fossil,fuel  award,turned  congrats,emma  student,award  igs_bu,undergraduate</t>
  </si>
  <si>
    <t>presentation,process  nov,central  wed,nov  central,give  emphasis,gratitude  process,emphasis  give,presentation</t>
  </si>
  <si>
    <t>call,2024  600,800  conference,deadline  midwinter,conference  2024,aejmc  extended,abstracts  paper,call  submit,extended  abstracts,600  aejmc,midwinter</t>
  </si>
  <si>
    <t>journalism,mass  mass,communication</t>
  </si>
  <si>
    <t>without,reckoning  available,long  states,understood  understood,without  free,enterprise  long,history  enterprise,united  history,free  united,states</t>
  </si>
  <si>
    <t>Top Replied-To in Entire Graph</t>
  </si>
  <si>
    <t>Top Mentioned in Entire Graph</t>
  </si>
  <si>
    <t>Top Replied-To in G1</t>
  </si>
  <si>
    <t>Top Replied-To in G2</t>
  </si>
  <si>
    <t>Top Mentioned in G1</t>
  </si>
  <si>
    <t>Top Mentioned in G2</t>
  </si>
  <si>
    <t>Top Replied-To in G3</t>
  </si>
  <si>
    <t>Top Mentioned in G3</t>
  </si>
  <si>
    <t>Top Replied-To in G4</t>
  </si>
  <si>
    <t>Top Mentioned in G4</t>
  </si>
  <si>
    <t>Top Replied-To in G5</t>
  </si>
  <si>
    <t>Top Mentioned in G5</t>
  </si>
  <si>
    <t>Top Replied-To in G6</t>
  </si>
  <si>
    <t>Top Mentioned in G6</t>
  </si>
  <si>
    <t>Top Replied-To in G7</t>
  </si>
  <si>
    <t>Top Mentioned in G7</t>
  </si>
  <si>
    <t>Top Replied-To in G8</t>
  </si>
  <si>
    <t>Top Mentioned in G8</t>
  </si>
  <si>
    <t>Top Replied-To in G9</t>
  </si>
  <si>
    <t>Top Mentioned in G9</t>
  </si>
  <si>
    <t>Top Replied-To in G10</t>
  </si>
  <si>
    <t>Top Mentioned in G10</t>
  </si>
  <si>
    <t>Top Replied-To in Tweet</t>
  </si>
  <si>
    <t>aejmc jmcquarterly</t>
  </si>
  <si>
    <t>Top Mentioned in Tweet</t>
  </si>
  <si>
    <t>jmcquarterly aejmc prof_dimitrova newhousesu newsengagement gregperreault uk_ci newhousebdj collegephotog nahj</t>
  </si>
  <si>
    <t>aejmc willthewordguy manshipschool aejmc_prd bgsu isu_gsjc aejmcviscom janlaurenb aejmcprd adage</t>
  </si>
  <si>
    <t>jmcquarterly prof_dimitrova aejmc icahdq louisahabgsu tianyangyt fangkc aejmcctec aejmc_polcomm aejmc_prd</t>
  </si>
  <si>
    <t>csgeaejmc aejmcethics pr_johnson alexisromwalker denielliott ic4ml belmedia profgoldie apa_gsc apagradecp</t>
  </si>
  <si>
    <t>jeremyhl somcoaching michaelbathurst eli_krumova docassar this0499154500 aejmc shoutmgb usesaitapr0 reutsmichael1</t>
  </si>
  <si>
    <t>aejmc jmcquarterly poli_com uk_ci appstatecomdept aejmc_polcomm aejmc_nond lindita_camaj prof_dimitrova ica_cat</t>
  </si>
  <si>
    <t>stevedepo envcommresgroup icaenvirocomm aejmc_comsher</t>
  </si>
  <si>
    <t>igs_bu comatbu aejmc</t>
  </si>
  <si>
    <t>michael_bugeja natcomm gratitude isu_gsjc aejmc iowastateu</t>
  </si>
  <si>
    <t>aejmcmmee aejmc_prd</t>
  </si>
  <si>
    <t>Top Tweeters in Entire Graph</t>
  </si>
  <si>
    <t>Top Tweeters in G1</t>
  </si>
  <si>
    <t>Top Tweeters in G2</t>
  </si>
  <si>
    <t>Top Tweeters in G3</t>
  </si>
  <si>
    <t>Top Tweeters in G4</t>
  </si>
  <si>
    <t>Top Tweeters in G5</t>
  </si>
  <si>
    <t>Top Tweeters in G6</t>
  </si>
  <si>
    <t>Top Tweeters in G7</t>
  </si>
  <si>
    <t>Top Tweeters in G8</t>
  </si>
  <si>
    <t>Top Tweeters in G9</t>
  </si>
  <si>
    <t>Top Tweeters in G10</t>
  </si>
  <si>
    <t>Top Tweeters</t>
  </si>
  <si>
    <t>un workacademic isaiah_photo aejmc newhousesu sunyplattsburgh csw_aejmc newhousebdj newsengagement ldeshan</t>
  </si>
  <si>
    <t>adage adweek willthewordguy dave_parisi bgsu drjessmaddox manshipschool enwillis aejmc_prd annefmaclennan</t>
  </si>
  <si>
    <t>tjohnson1960 miamoodyramirez prof_dimitrova icahdq azaizamotaz9 med_lafouairas louisahabgsu fangkc aejmcctec mahedikabir2</t>
  </si>
  <si>
    <t>asanews rlpgbooks pr_johnson belmedia brianatrifiro nemlagradcaucus alexisromwalker profgoldie aejmcethics csgeaejmc</t>
  </si>
  <si>
    <t>shoutmgb eli_krumova michaelbathurst deviiette jeremyhl mpowelly01 this0499154500 somcoaching snapchat reutsmichael1</t>
  </si>
  <si>
    <t>poli_com ica_cat gregperreault uk_ci lindita_camaj aejmc_nond gcsc2020 aejmc_polcomm ica_prd journalism_ica</t>
  </si>
  <si>
    <t>stevedepo ittefaqm drefb1 profaanderson aejmc_comsher icaenvirocomm chensibo envcommresgroup</t>
  </si>
  <si>
    <t>comatbu igs_bu commscholar benjaminsovaco1</t>
  </si>
  <si>
    <t>iowastateu natcomm michael_bugeja gratitude</t>
  </si>
  <si>
    <t>carabyrd brcreech aejmcmmee uyendpp</t>
  </si>
  <si>
    <t>profkakie azhanitealer shannonscovel</t>
  </si>
  <si>
    <t>thepostdoctoral icd_aejmc suzie_bell</t>
  </si>
  <si>
    <t>brizzyc mjfuhlhage</t>
  </si>
  <si>
    <t>columbiaup aejmc_rmig</t>
  </si>
  <si>
    <t>URLs in Tweet by Count</t>
  </si>
  <si>
    <t>https://journals.sagepub.com/doi/abs/10.1177/10776990211049451 https://journals.sagepub.com/doi/abs/10.1177/10776990221108722</t>
  </si>
  <si>
    <t>https://journals.sagepub.com/doi/abs/10.1177/10776990211049451 https://journals.sagepub.com/doi/abs/10.1177/10776990221108722 https://journals.sagepub.com/doi/full/10.1177/10776990231202692 https://journals.sagepub.com/doi/abs/10.1177/10776990231202702</t>
  </si>
  <si>
    <t>https://newhouse.syracuse.edu/news/newhouse-students-honored-for-visual-projects-in-college-photographer-of-the-year-and-aejmc-competitions/</t>
  </si>
  <si>
    <t>https://ci.uky.edu/about-ci/2024-aejmc-southeast-colloquium/paper-submissions https://www.aejmc.org/jobads/?p=19429 https://www.aejmc.org/jobads/?p=19459 https://www.aejmc.com/home/wp-content/uploads/2023/10/Deutschmann-Award.pdf https://www.aejmc.com/home/wp-content/uploads/2023/10/Burd-Award-for-Research-in-Urban-Journalism-Studies.pdf https://www.aejmc.com/home/2023/09/resolution-four-2023/ https://www.aejmc.com/home/wp-content/uploads/2023/10/Eleanor-Blum-Distinguished-Service-to-Research-Award.pdf https://journals.sagepub.com/doi/abs/10.1177/10776990221108722 https://journals.sagepub.com/doi/abs/10.1177/10776990211049451</t>
  </si>
  <si>
    <t>https://www.higheredjobs.com/faculty/details.cfm?JobCode=178595177 https://eeik.fa.us2.oraclecloud.com/hcmUI/CandidateExperience/en/sites/CX_1/requisitions/preview/233303/?keyword=Professor&amp;mode=location https://www.schooljobs.com/careers/bgsu/jobs/4264712/assistant-professor-school-of-media-and-communication?page=3&amp;pagetype=jobOpportunitiesJobs https://www.higheredjobs.com/faculty/details.cfm?JobCode=178594235 https://www.higheredjobs.com/faculty/details.cfm?JobCode=178596364 https://www.higheredjobs.com/faculty/details.cfm?JobCode=178596185 https://www.higheredjobs.com/faculty/details.cfm?JobCode=178596886 https://employment.marquette.edu/postings/20457</t>
  </si>
  <si>
    <t>https://kennesaw-edu.zoom.us/meeting/register/tZcpd-GurD0vHtOBt6ciqEa1hWY15Dijyo3R#/registration https://community.aejmc.org/publi.../publications/newsletter https://olemiss.zoom.us/j/91781083553</t>
  </si>
  <si>
    <t>https://isu.wd1.myworkdayjobs.com/en-US/IowaStateJobs/job/Assistant-Professor-of-Practice-or-Assistant-Teaching-Professor-in-Broadcast-Media-and-Video-Production_R13235</t>
  </si>
  <si>
    <t>https://www.schooljobs.com/careers/bgsu/jobs/4264712/assistant-professor-school-of-media-and-communication?page=3&amp;pagetype=jobOpportunitiesJobs https://employment.marquette.edu/postings/20457</t>
  </si>
  <si>
    <t>https://buff.ly/40jBiyi https://bit.ly/CSW24AwardsCall</t>
  </si>
  <si>
    <t>http://www.aejmc.com/home/wp-content/uploads/2023/10/NED-Video-Competition-Winners-2023.pdf</t>
  </si>
  <si>
    <t>URLs in Tweet by Salience</t>
  </si>
  <si>
    <t>https://journals.sagepub.com/doi/abs/10.1177/10776990221108722 https://journals.sagepub.com/doi/abs/10.1177/10776990211049451</t>
  </si>
  <si>
    <t>https://journals.sagepub.com/doi/abs/10.1177/10776990221108722 https://journals.sagepub.com/doi/full/10.1177/10776990231202692 https://journals.sagepub.com/doi/abs/10.1177/10776990211049451 https://journals.sagepub.com/doi/abs/10.1177/10776990231202702</t>
  </si>
  <si>
    <t>https://journals.sagepub.com/doi/abs/10.1177/10776990221108722 https://www.aejmc.com/home/wp-content/uploads/2023/10/Eleanor-Blum-Distinguished-Service-to-Research-Award.pdf https://ci.uky.edu/about-ci/2024-aejmc-southeast-colloquium/paper-submissions https://www.aejmc.com/home/2023/09/resolution-four-2023/ https://www.aejmc.com/home/wp-content/uploads/2023/10/Burd-Award-for-Research-in-Urban-Journalism-Studies.pdf https://www.aejmc.org/jobads/?p=19429 https://journals.sagepub.com/doi/abs/10.1177/10776990211049451 https://www.aejmc.com/home/wp-content/uploads/2023/10/Deutschmann-Award.pdf https://www.aejmc.org/jobads/?p=19459</t>
  </si>
  <si>
    <t>https://www.higheredjobs.com/faculty/details.cfm?JobCode=178595177 https://www.higheredjobs.com/faculty/details.cfm?JobCode=178596364 https://www.higheredjobs.com/faculty/details.cfm?JobCode=178596185 https://www.higheredjobs.com/faculty/details.cfm?JobCode=178594235 https://employment.marquette.edu/postings/20457 https://www.higheredjobs.com/faculty/details.cfm?JobCode=178596886 https://www.schooljobs.com/careers/bgsu/jobs/4264712/assistant-professor-school-of-media-and-communication?page=3&amp;pagetype=jobOpportunitiesJobs https://eeik.fa.us2.oraclecloud.com/hcmUI/CandidateExperience/en/sites/CX_1/requisitions/preview/233303/?keyword=Professor&amp;mode=location</t>
  </si>
  <si>
    <t>https://community.aejmc.org/publi.../publications/newsletter https://kennesaw-edu.zoom.us/meeting/register/tZcpd-GurD0vHtOBt6ciqEa1hWY15Dijyo3R#/registration https://olemiss.zoom.us/j/91781083553</t>
  </si>
  <si>
    <t>https://employment.marquette.edu/postings/20457 https://www.schooljobs.com/careers/bgsu/jobs/4264712/assistant-professor-school-of-media-and-communication?page=3&amp;pagetype=jobOpportunitiesJobs</t>
  </si>
  <si>
    <t>%202023 https://tucsonagenda.substack.com/p/monday-q-and-a-with-dr-jessica-retis?utm_campaign=email-half-post&amp;r=n7i1h&amp;utm_source=substack&amp;utm_medium=email&amp;utm_source=trellis&amp;utm_medium=email&amp;utm_campaign=Clips%20for%20Sep.%2023-25</t>
  </si>
  <si>
    <t>Domains in Tweet by Count</t>
  </si>
  <si>
    <t>aejmc.com aejmc.org sagepub.com uky.edu</t>
  </si>
  <si>
    <t>higheredjobs.com oraclecloud.com schooljobs.com marquette.edu</t>
  </si>
  <si>
    <t>zoom.us aejmc.org</t>
  </si>
  <si>
    <t>schooljobs.com marquette.edu</t>
  </si>
  <si>
    <t>buff.ly bit.ly</t>
  </si>
  <si>
    <t>Domains in Tweet by Salience</t>
  </si>
  <si>
    <t>higheredjobs.com oraclecloud.com marquette.edu schooljobs.com</t>
  </si>
  <si>
    <t>aejmc.org zoom.us</t>
  </si>
  <si>
    <t>marquette.edu schooljobs.com</t>
  </si>
  <si>
    <t>Hashtags in Tweet by Count</t>
  </si>
  <si>
    <t>toppaper ica24 peerreview brutality racial georgefloyd alternativemetrics accuracy trust news</t>
  </si>
  <si>
    <t>aejmcjobs ad jobad toppaper journalism jmcqreview medialiteracy101 muslim ica24 brutality</t>
  </si>
  <si>
    <t>jobalerts jobalert</t>
  </si>
  <si>
    <t>prprofchat aejmcprd teachingtips academicexcellence feedbackforstudent prprofs newsletter aejmc2023 prprofchatcoffeetalk prprof</t>
  </si>
  <si>
    <t>ica2024 muslim</t>
  </si>
  <si>
    <t>jmcqreview ica24</t>
  </si>
  <si>
    <t>Hashtags in Tweet by Salience</t>
  </si>
  <si>
    <t>brutality racial toppaper</t>
  </si>
  <si>
    <t>toppaper brutality racial spoiler alternativemetrics ica24 news accuracy georgefloyd peerreview</t>
  </si>
  <si>
    <t>toppaper ad aejmcjobs jobad medialiteracy101 brutality racial ica24 journalism jmcqreview</t>
  </si>
  <si>
    <t>jobalert jobalerts</t>
  </si>
  <si>
    <t>aejmcprd smprof prprof prprofchatcoffeetalk prprofs newsletter aejmc feedbackforstudent academicexcellence teachingtips</t>
  </si>
  <si>
    <t>ica24 jmcqreview</t>
  </si>
  <si>
    <t>prprofs smc2024 smprofs</t>
  </si>
  <si>
    <t>smpc2023 ff prprofs aejmc21 aejmc22 smprofs smle2022 shoutmgb aejmc2021</t>
  </si>
  <si>
    <t>Top Words in Tweet by Count</t>
  </si>
  <si>
    <t>dec march lexington 11 nond due calendars nominations standing submissions</t>
  </si>
  <si>
    <t>jmcquarterly paper deadline link eic great good conference 800 midwinter</t>
  </si>
  <si>
    <t>deadline 15 conference december 2023 words 800 midwinter extended submit</t>
  </si>
  <si>
    <t>jmcquarterly eic prof_dimitrova #toppaper here's link great good united public</t>
  </si>
  <si>
    <t>prof_dimitrova jmcquarterly eic empathy #toppaper framing icahdq here's media muslim</t>
  </si>
  <si>
    <t>jmcquarterly paper happy take #pee looking #ica24 home congratulations look</t>
  </si>
  <si>
    <t>competitions engagement honored read #teamnewhouse projects more news isaiah_photo national</t>
  </si>
  <si>
    <t>newhousesu honored read projects more national collegephotog students</t>
  </si>
  <si>
    <t>jmcquarterly research prof_dimitrova call award full members paper view communication</t>
  </si>
  <si>
    <t>shannonscovel presentation azhanitealer saw detroit</t>
  </si>
  <si>
    <t>turned emma project com'24 igs_bu fuel undergraduate congrats longo award</t>
  </si>
  <si>
    <t>congrats article more climate promote winning denialism project award longo</t>
  </si>
  <si>
    <t>advertising higheredjobs digital posting willthewordguy commit search manshipschool assistant professor</t>
  </si>
  <si>
    <t>assistant professor communication #jobalerts higheredjobs aejmcviscom #jobalert media advertising committee</t>
  </si>
  <si>
    <t>award ȍ research committee journalism_ica people gcsc2020 journals created jmcquarterly</t>
  </si>
  <si>
    <t>line ieca cours stevedepo include environmental access discounts 2024 join</t>
  </si>
  <si>
    <t>line benefits 2024 environmental aejmc_comsher icaenvirocomm include networking more join</t>
  </si>
  <si>
    <t>journal quarterly communication journalism mass jmcq citation education reviewed peer</t>
  </si>
  <si>
    <t>aejmc_prd 2024 call paper conference thursday join abstracts #prprofchatcoffeetalk submit</t>
  </si>
  <si>
    <t>committee #prprofchat join teaching research 12 #aejmcprd workshop prd pedagogy</t>
  </si>
  <si>
    <t>aejmc_prd media school #jobalert professor bgsu assistant willthewordguy communication</t>
  </si>
  <si>
    <t>health willthewordguy associate #jobalert marquette university assistant professor communication</t>
  </si>
  <si>
    <t>prof asst apply media school isu_gsjc still greenlee alert video</t>
  </si>
  <si>
    <t>apply janlaurenb school isu_gsjc still greenlee alert time faculty job</t>
  </si>
  <si>
    <t>professor assistant willthewordguy school #jobalert communication health greenlee time apply</t>
  </si>
  <si>
    <t>history columbiaup reckoning states without available understood enterprise hi free</t>
  </si>
  <si>
    <t>history reckoning states without available lofton understood enterprise religion free</t>
  </si>
  <si>
    <t>teaching committee monday aejmcprd 31 aejmc_prd standing 12 tuesday join</t>
  </si>
  <si>
    <t>2024 month 15 begin time professor south applicants assistant public</t>
  </si>
  <si>
    <t>higheredjobs willthewordguy #jobalerts assistant professor communication</t>
  </si>
  <si>
    <t>online email read size candy getting halloween full good bar</t>
  </si>
  <si>
    <t>literacy media read education reading during abundance' week jayachandran communication</t>
  </si>
  <si>
    <t>2024 paper call conference abstracts submit extended 800 midwinter 600</t>
  </si>
  <si>
    <t>jmcquarterly recommitment #toppaper recent college minority diversity eic programs #brutality</t>
  </si>
  <si>
    <t>jmcquarterly eic #toppaper #brutality police #racial justic here's prof_dimitrova</t>
  </si>
  <si>
    <t>support plan dei claiming doesn programs much without anything mean</t>
  </si>
  <si>
    <t>2024 applicants process convenient leadership csw's nominations prepare everyone feminism</t>
  </si>
  <si>
    <t>jmcquarterly media paper dead especia start empathy great indicates voices</t>
  </si>
  <si>
    <t>online media paper related especially topics readers international abstracts submitters</t>
  </si>
  <si>
    <t>media logics social leverage amplify entertainment share content tianyangyt right</t>
  </si>
  <si>
    <t>taken area tower rubble volunteers under many bombed residential victims</t>
  </si>
  <si>
    <t>dissertation award excellence winners professor outstanding arkansas given recognized cash</t>
  </si>
  <si>
    <t>4pm join csgeaejmc please 11 panel #medialiteracy101 fall 27 2023</t>
  </si>
  <si>
    <t>panel #medialiteracy101 csgeaejmc profgoldie join 27 11 pr_johnson aejmcethics denielliott</t>
  </si>
  <si>
    <t>research award committee jmcquarterly dec standing andrew separatist deutschmann nominations</t>
  </si>
  <si>
    <t>research award people created standing substant recognize devoted blum committee</t>
  </si>
  <si>
    <t>gratitude writing central gratification isu_gsjc natcomm link presentation wed iowastateu</t>
  </si>
  <si>
    <t>brizzyc couple bought happened during ashley grand furniture</t>
  </si>
  <si>
    <t>help toward destination books cc honorarium start dissertation apagradecp take</t>
  </si>
  <si>
    <t>winners newscast newhousesu competition won class announced newsengagement submitted turns</t>
  </si>
  <si>
    <t>winners announced 2023 award newhousesu newhousebdj newsengagement nccnews keontecoleman</t>
  </si>
  <si>
    <t>presentation michael_bugeja wed emphasis gratitude central nov process give</t>
  </si>
  <si>
    <t>world see great #smc2024 #smprofs #prprofs way snapchat</t>
  </si>
  <si>
    <t>failed israel maps propaganda consider campaign snapchat</t>
  </si>
  <si>
    <t>wisdom reutsmichael1 jeremyhl #smpc2023 michaelbathurst usesaitapr0 #shoutmgb #aejmc22 #ff following</t>
  </si>
  <si>
    <t>nahj journalism jretis more continuing waves making #hispanicheritagemonth dr uazjschool</t>
  </si>
  <si>
    <t>michaelbathurst this0499154500 shout following worth docassar eli_krumova somcoaching jeremyhl wisdom</t>
  </si>
  <si>
    <t>Top Words in Tweet by Salience</t>
  </si>
  <si>
    <t>march lexington 11 nond due calendars nominations standing submissions contact</t>
  </si>
  <si>
    <t>jmcquarterly deadline link eic great good conference 800 midwinter deals</t>
  </si>
  <si>
    <t>link great good united public #brutality police #racial deals opinion</t>
  </si>
  <si>
    <t>empathy muslim china victims eic #toppaper framing icahdq here's media</t>
  </si>
  <si>
    <t>jmcquarterly research award prof_dimitrova call nahj resolution urban full members</t>
  </si>
  <si>
    <t>communication aejmcviscom #jobalert media higheredjobs advertising committee health faculty questions</t>
  </si>
  <si>
    <t>prd join teaching committee research 12 #aejmcprd workshop pedagogy conference</t>
  </si>
  <si>
    <t>health greenlee time apply position isu_gsjc job friends aejmc_prd still</t>
  </si>
  <si>
    <t>#medialiteracy start marks end mark nearing celebrate tomorrow literacy media</t>
  </si>
  <si>
    <t>applicants process convenient leadership csw's nominations prepare everyone feminism details</t>
  </si>
  <si>
    <t>profgoldie join 27 11 pr_johnson aejmcethics denielliott alexisromwalker belmedia ic4ml</t>
  </si>
  <si>
    <t>Top Word Pairs in Tweet by Count</t>
  </si>
  <si>
    <t>submission,contact  due,dec  deutschmann,award  standing,committee  11,join  join,march  lexington,ky  accepting,nominations  committee,research  dec,11</t>
  </si>
  <si>
    <t>midwinter,conference  deals,link  here's,great  aejmc,midwinter  paper,jmcquarterly  abstracts,600  2024,aejmc  great,paper  extended,abstracts  start,day</t>
  </si>
  <si>
    <t>midwinter,conference  aejmc,midwinter  words,december  abstracts,600  2024,aejmc  extended,abstracts  december,15  15,2023  600,800  deadline,submit</t>
  </si>
  <si>
    <t>eic,prof_dimitrova  jmcquarterly,eic  #toppaper,jmcquarterly  police,#brutality  prof_dimitrova,police  opinion,china  deals,link  here's,great  paper,jmcquarterly  great,paper</t>
  </si>
  <si>
    <t>jmcquarterly,eic  eic,prof_dimitrova  #toppaper,jmcquarterly  #racial,justice  framing,partisan  partisan,media  home,paper  presses,topical  victims,discrimination  canevez,816</t>
  </si>
  <si>
    <t>look,#pee  happy,take  home,paper  work,#ica24  paper,happy  submitting,work  take,look  congratulations,submitting  looking,home  jmcquarterly,congratulations</t>
  </si>
  <si>
    <t>aejmc,national  newhousesu,students  #teamnewhouse,isaiah_photo  students,projects  more,newhousesu  competitions,#teamnewhouse  engagement,day  news,engagement  day,competitions  read,more</t>
  </si>
  <si>
    <t>aejmc,national  newhousesu,students  students,projects  more,newhousesu  newhousesu,read  read,more  collegephotog,aejmc  honored,collegephotog  projects,honored</t>
  </si>
  <si>
    <t>jmcquarterly,eic  eic,prof_dimitrova  research,award  job,alert  aejmc,standing  standing,committee  #toppaper,jmcquarterly  view,full  #ad,#jobad  full,call</t>
  </si>
  <si>
    <t>azhanitealer,shannonscovel  saw,presentation  detroit,aejmc  presentation,detroit  shannonscovel,saw  shannonscovel,azhanitealer</t>
  </si>
  <si>
    <t>longo,com'24  emma,longo  com'24,winning  project,fossil  turned,project  comatbu,congrats  fossil,fuel  award,turned  congrats,emma  student,award</t>
  </si>
  <si>
    <t>promote,climate  advertisements,promote  climate,denialism  fuel,companies  article,aejmc  turned,project  winning,igs_bu  fossil,fuel  emma,longo  denialism,media</t>
  </si>
  <si>
    <t>professor,digital  assistant,professor  willthewordguy,assistant  advertising,higheredjobs  higheredjobs,posting  manshipschool,search  digital,advertising  search,commit  posting,manshipschool</t>
  </si>
  <si>
    <t>assistant,professor  higheredjobs,aejmc  aejmc,#jobalerts  aejmcviscom,#jobalerts  professor,communication  communication,higheredjobs  aejmc,aejmcviscom  experience,careers  careers,aejmc  professor,communications</t>
  </si>
  <si>
    <t>research,award  aejmc,ica_cat  journalism_ica,ica_prd  aejmc,aejmc  ica_cat,journalism_ica  eic,prof_dimitrova  devoted,substant  ȍ,aejmc  poli_com,gcsc2020  award,blum</t>
  </si>
  <si>
    <t>join,ieca  benefits,include  2025,coce  line,access  line,cours  2024,benefits  discounts,2025  environmental,communication  stevedepo,join  access,environmental</t>
  </si>
  <si>
    <t>more,check  benefits,include  2024,benefits  discounts,2025  networking,400  ieca,2024  2025,coce  access,environmental  envcommresgroup,icaenvirocomm  aejmc_comsher,#myieca</t>
  </si>
  <si>
    <t>journalism,mass  mass,communication  aejmc,clave  education,journalism  journal,citation  association,education  journal,ranked  citation,reports  reviewed,journal  reciente,pub</t>
  </si>
  <si>
    <t>aejmc_prd,teaching  midwinter,conference  join,aejmc_prd  aejmc,midwinter  informal,chat  abstracts,600  2024,aejmc  chat,wi  extended,abstracts  aejmc_prd,join</t>
  </si>
  <si>
    <t>pedagogy,research  teaching,committee  last,chance  treat,#prprofs  #prprofs,last  #newsletter,#aejmc2023  #academicexcellence,#feedbackforstudent  everyone,welcome  12,#prprofchat  committee,updates</t>
  </si>
  <si>
    <t>communication,bgsu  assistant,professor  media,communication  willthewordguy,assistant  school,media  aejmc_prd,#jobalert  professor,school  bgsu,aejmc  aejmc,aejmc_prd</t>
  </si>
  <si>
    <t>assistant,associate  willthewordguy,marquette  health,communication  associate,professor  university,assistant  aejmc,#jobalert  communication,aejmc  professor,health  marquette,university</t>
  </si>
  <si>
    <t>school,isu_gsjc  media,video  friends,job  apply,aejmc  isu_gsjc,opportunity  time,apply  asst,prof  prof,broadcast  opportunity,asst  practice,asst</t>
  </si>
  <si>
    <t>school,isu_gsjc  still,time  janlaurenb,still  hiring,faculty  alert,hiring  faculty,position  aejmc,friends  apply,aejmc  greenlee,school  time,apply</t>
  </si>
  <si>
    <t>school,isu_gsjc  assistant,professor  media,communication  willthewordguy,assistant  friends,job  apply,aejmc  aejmc_prd,#jobalert  time,apply  bgsu,aejmc  school,media</t>
  </si>
  <si>
    <t>columbiaup,available  without,reckoning  available,long  states,understood  understood,without  free,enterprise  reckoning,hi  long,history  enterprise,united  history,free</t>
  </si>
  <si>
    <t>religion,kathryn  without,reckoning  available,long  kathryn,lofton  history,religion  states,understood  understood,without  free,enterprise  long,history  enterprise,united</t>
  </si>
  <si>
    <t>teaching,tuesday  aejmc_prd,happy  committee,aejmc  aejmcprd,teaching  committee,teaching  31,12  tuesday,oct  monday,join  standing,committee  join,aejmcprd</t>
  </si>
  <si>
    <t>advertising,public  relations,begin  tenure,track  department,communication  full,time  assistant,professor  15,2024  applicants,full  public,relations  track,assistant</t>
  </si>
  <si>
    <t>aejmc,#jobalerts  higheredjobs,aejmc  willthewordguy,assistant  communication,higheredjobs  assistant,professor  professor,communication</t>
  </si>
  <si>
    <t>candy,bar  getting,full  newsletter,good  fall,newsletter  bar,halloween  halloween,find  size,candy  email,read  find,email  good,getting</t>
  </si>
  <si>
    <t>information,literacy  global,media  media,information  education,india  during,times  occasion,reading  abundance',jesna  'media,literacy  literacy,education  jesna,jayachandran</t>
  </si>
  <si>
    <t>paper,call  aejmcmmee,paper  call,2024  midwinter,conference  extended,abstracts  conference,deadline  600,800  aejmc,midwinter  submit,extended  abstracts,600</t>
  </si>
  <si>
    <t>faculty,hiring  programs,minority  #brutality,#racial  recommitment,college  aejmc,aejmc  approved,recent  eic,prof_dimitrova  resolution,recommitment  diversity,programs  #toppaper,jmcquarterly</t>
  </si>
  <si>
    <t>police,#brutality  prof_dimitrova,police  #toppaper,jmcquarterly  #racial,justic  jmcquarterly,here's  here's,#toppaper  eic,prof_dimitrova  #brutality,#racial  jmcquarterly,eic</t>
  </si>
  <si>
    <t>dei,without  pressure,looks  support,dei  challenge,programs  offering,plan  programs,support  much,anything  plan,pressure  mean,much  doesn,mean</t>
  </si>
  <si>
    <t>applicants,reviewers  convenient,everyone  available,jan  nominations,csw's  kimhong4thewin,available  alert,mean  leadership,applicants  involved,process  mean,girl  15,details</t>
  </si>
  <si>
    <t>presses,topical  victims,discrimination  jmcquarterly,hot  here's,great  voices,excited  full,paper  middle,area  communication,especia  pengyilang,far  azaizamotaz9,reporting</t>
  </si>
  <si>
    <t>especially,international  topics,related  media,communication  conflicts,submit  full,paper  authors,readers  dear,#ica2024  submit,omgcjournal  readers,language  #ica2024,submitters</t>
  </si>
  <si>
    <t>media,logics  excited,share  share,research  society,tianyangyt  research,media  tianyangyt,fangkc  media,leverage  social,media  entertainment,content  content,amplify</t>
  </si>
  <si>
    <t>area,residential  bombed,many  tower,bombed  reporting,middle  rubble,survivors  many,dead  middle,area  dead,injured  search,under  hospital,volunteers</t>
  </si>
  <si>
    <t>graduate,research  research,dissertation  division,aejmc  professor,recognized  given,cash  dissertation,award  university,arkansas  prize,opportunity  journalism,professor  award,winners</t>
  </si>
  <si>
    <t>join,csgeaejmc  #medialiteracy101,11  27,4pm  please,join  fall,2023  panel,#medialiteracy101  2023,teaching  csgeaejmc,fall  teaching,panel  11,27</t>
  </si>
  <si>
    <t>denielliott,ic4ml  teaching,panel  #medialiteracy101,11  belmedia,profgoldie  aejmcethics,#medialiteracy101  csgeaejmc,aejmcethics  ic4ml,belmedia  profgoldie,register  join,csgeaejmc  11,27</t>
  </si>
  <si>
    <t>aejmc,standing  aejmc,aejmc  committee,research  research,award  standing,committee  deutschmann,award  home,paper  poli_com,aejmc  book,michael  work,#ica24</t>
  </si>
  <si>
    <t>research,award  standing,committee  people,devoted  award,created  committee,research  blum,research  aejmc,standing  recognize,people  created,recognize  devoted,substant</t>
  </si>
  <si>
    <t>aejmc,iowastateu  isu_gsjc,aejmc  gratification,good  tips,dossier  good,writing  presentation,process  below,register  dossier,go  nov,central  register,free</t>
  </si>
  <si>
    <t>brizzyc,happened  couple,grand  happened,during  grand,furniture  during,aejmc  bought,couple  furniture,ashley  aejmc,bought</t>
  </si>
  <si>
    <t>asanews,start  honorarium,toward  third,edition  survey,100  csgeaejmc,apa_gsc  help,make  make,updates  toward,books  aargrad,asanews  students,help</t>
  </si>
  <si>
    <t>won,submitted  decinakayley,won  newscast,class  day,turns  turns,competition  announced,2023  newhousebdj,nccnewsonline  newhousesu,newhousebdj  mwmcclos,decinakayley  newsengagement,award</t>
  </si>
  <si>
    <t>newhousebdj,nccnews  winners,winners  award,winners  newsengagement,award  2023,newsengagement  aejmc,announced  keontecoleman,aejmc  announced,2023  winners,newhousesu  newhousesu,newhousebdj</t>
  </si>
  <si>
    <t>give,presentation  central,give  presentation,process  emphasis,gratitude  process,emphasis  michael_bugeja,wed  nov,central  wed,nov</t>
  </si>
  <si>
    <t>see,world  way,see  snapchat,way  #prprofs,aejmc  great,snapchat  world,#smc2024  #smc2024,#smprofs  #smprofs,#prprofs</t>
  </si>
  <si>
    <t>snapchat,maps  consider,snapchat  failed,consider  propaganda,campaign  israel,propaganda  campaign,failed</t>
  </si>
  <si>
    <t>#smprofs,#smpc2023  unosmlre,mpowelly01  #prprofs,#smle2022  docassar,this0499154500  #aejmc2021,#shoutmgb  this0499154500,shoutmgb  shoutmgb,usesaitapr0  jeremyhl,somcoaching  #smpc2023,#prprofs  top,hashtags</t>
  </si>
  <si>
    <t>university,arizona  dr,jessica  jessica,retis  continuing,highlight  jretis,uazjschool  #journalism,check  nahj,continuing  read,more  members,making  check,incredible</t>
  </si>
  <si>
    <t>this0499154500,shout  wisdom,worth  docassar,this0499154500  worth,following  eli_krumova,docassar  somcoaching,michaelbathurst  jeremyhl,somcoaching  following,jeremyhl  michaelbathurst,wisdom  michaelbathurst,eli_krumova</t>
  </si>
  <si>
    <t>Top Word Pairs in Tweet by Salience</t>
  </si>
  <si>
    <t>police,#brutality  prof_dimitrova,police  opinion,china  deals,link  here's,great  paper,jmcquarterly  great,paper  start,day  morning,here's  prof_dimitrova,start</t>
  </si>
  <si>
    <t>research,award  jmcquarterly,eic  eic,prof_dimitrova  job,alert  aejmc,standing  standing,committee  #toppaper,jmcquarterly  view,full  #ad,#jobad  full,call</t>
  </si>
  <si>
    <t>higheredjobs,aejmc  aejmc,#jobalerts  aejmcviscom,#jobalerts  professor,communication  communication,higheredjobs  aejmc,aejmcviscom  experience,careers  careers,aejmc  professor,communications  visual,communication</t>
  </si>
  <si>
    <t>end,global  start,global  celebrate,occasion  marks,start  read,aejmc  tomorrow,marks  read,#medialiteracy  nearing,end  week,celebrate  week,mark</t>
  </si>
  <si>
    <t>research,award  aejmc,standing  aejmc,aejmc  committee,research  standing,committee  deutschmann,award  home,paper  poli_com,aejmc  book,michael  work,#ica24</t>
  </si>
  <si>
    <t>Count of Tweet Date (UTC)</t>
  </si>
  <si>
    <t>Row Labels</t>
  </si>
  <si>
    <t>Grand Total</t>
  </si>
  <si>
    <t>Mar</t>
  </si>
  <si>
    <t>8-Mar</t>
  </si>
  <si>
    <t>8 AM</t>
  </si>
  <si>
    <t>Oct</t>
  </si>
  <si>
    <t>6-Oct</t>
  </si>
  <si>
    <t>5 PM</t>
  </si>
  <si>
    <t>15-Oct</t>
  </si>
  <si>
    <t>12 AM</t>
  </si>
  <si>
    <t>17-Oct</t>
  </si>
  <si>
    <t>4 PM</t>
  </si>
  <si>
    <t>23-Oct</t>
  </si>
  <si>
    <t>10 AM</t>
  </si>
  <si>
    <t>3 PM</t>
  </si>
  <si>
    <t>6 PM</t>
  </si>
  <si>
    <t>24-Oct</t>
  </si>
  <si>
    <t>1 AM</t>
  </si>
  <si>
    <t>26-Oct</t>
  </si>
  <si>
    <t>27-Oct</t>
  </si>
  <si>
    <t>7 PM</t>
  </si>
  <si>
    <t>28-Oct</t>
  </si>
  <si>
    <t>2 PM</t>
  </si>
  <si>
    <t>29-Oct</t>
  </si>
  <si>
    <t>8 PM</t>
  </si>
  <si>
    <t>11 PM</t>
  </si>
  <si>
    <t>30-Oct</t>
  </si>
  <si>
    <t>3 AM</t>
  </si>
  <si>
    <t>6 AM</t>
  </si>
  <si>
    <t>7 AM</t>
  </si>
  <si>
    <t>1 PM</t>
  </si>
  <si>
    <t>10 PM</t>
  </si>
  <si>
    <t>31-Oct</t>
  </si>
  <si>
    <t>Nov</t>
  </si>
  <si>
    <t>1-Nov</t>
  </si>
  <si>
    <t>2 AM</t>
  </si>
  <si>
    <t>5 AM</t>
  </si>
  <si>
    <t>12 PM</t>
  </si>
  <si>
    <t>2-Nov</t>
  </si>
  <si>
    <t>9 PM</t>
  </si>
  <si>
    <t>3-Nov</t>
  </si>
  <si>
    <t>4-Nov</t>
  </si>
  <si>
    <t>5-Nov</t>
  </si>
  <si>
    <t>9 AM</t>
  </si>
  <si>
    <t>128, 128, 128</t>
  </si>
  <si>
    <t>193, 62, 62</t>
  </si>
  <si>
    <t>Red</t>
  </si>
  <si>
    <t>G1: aejmc jmcquarterly research award communication literacy newhousesu prof_dimitrova winners 2024</t>
  </si>
  <si>
    <t>G2: aejmc assistant professor higheredjobs communication willthewordguy committee #jobalerts advertising school</t>
  </si>
  <si>
    <t>G3: jmcquarterly prof_dimitrova eic paper media here's aejmc #toppaper link good</t>
  </si>
  <si>
    <t>G4: csgeaejmc panel #medialiteracy101 27 11 teaching join ic4ml profgoldie help</t>
  </si>
  <si>
    <t>G5: michaelbathurst wisdom jeremyhl snapchat following docassar somcoaching #smprofs this0499154500 aejmc</t>
  </si>
  <si>
    <t>G6: aejmc research award committee dec standing jmcquarterly paul deutschmann take</t>
  </si>
  <si>
    <t>G7: line join ieca benefits discounts coce 2024 include environmental access</t>
  </si>
  <si>
    <t>G8: congrats winning project award longo fossil turned student igs_bu undergraduate</t>
  </si>
  <si>
    <t>G9: gratitude central presentation wed process emphasis give nov</t>
  </si>
  <si>
    <t>G10: 2024 paper call conference abstracts submit extended aejmc 800 midwinter</t>
  </si>
  <si>
    <t>G12: shannonscovel</t>
  </si>
  <si>
    <t>G13: journalism journal communication aejmc university professor dissertation quarterly mass award</t>
  </si>
  <si>
    <t>G15: history reckoning states without available understood enterprise free long united</t>
  </si>
  <si>
    <t>Edge Weight▓1▓3▓0▓True▓Gray▓Red▓▓Edge Weight▓1▓3▓0▓3▓10▓False▓Edge Weight▓1▓3▓0▓35▓12▓False▓▓0▓0▓0▓True▓Black▓Black▓▓Betweenness Centrality▓0▓1020▓3▓100▓800▓False▓▓0▓0▓0▓0▓0▓False▓▓0▓0▓0▓0▓0▓False▓▓0▓0▓0▓0▓0▓False</t>
  </si>
  <si>
    <t>GraphSource░TwitterSearch3▓GraphTerm░AEJMC▓ImportDescription░The graph represents a network of 124 Twitter users whose recent tweets contained "AEJMC", or who were replied to, mentioned, retweeted or quoted in those tweets, taken from a data set limited to a maximum of 20,000 tweets, tweeted between 10/29/2023 12:00:00 AM and 11/5/2023 4:51:23 PM.  The network was obtained from Twitter on Sunday, 05 November 2023 at 16:58 UTC._x000D_
_x000D_
The tweets in the network were tweeted over the 242-day, 8-hour, 3-minute period from Wednesday, 08 March 2023 at 08:54 UTC to Sunday, 05 November 2023 at 16:58 UTC._x000D_
_x000D_
There is an edge for each "replies-to" relationship in a tweet, an edge for each "mentions" relationship in a tweet, an edge for each "retweet" relationship in a tweet, an edge for each "quote" relationship in a tweet, an edge for each "mention in retweet" relationship in a tweet, an edge for each "mention in reply-to" relationship in a tweet, an edge for each "mention in quote" relationship in a tweet, an edge for each "mention in quote reply-to" relationship in a tweet, and a self-loop edge for each tweet that is not from above.▓ImportSuggestedTitle░AEJMC Twitter NodeXL SNA Map and Report for Sunday, 05 November 2023 at 16:51 UTC▓ImportSuggestedFileNameNoExtension░2023-11-05 16-51-28 NodeXL Twitter Search AEJMC▓GroupingDescription░The graph's vertices were grouped by cluster using the Clauset-Newman-Moore cluster algorithm.▓LayoutAlgorithm░The graph was laid out using the Harel-Koren Fast Multiscale layout algorithm.▓GraphDirectedness░The graph is directed.</t>
  </si>
  <si>
    <t>&gt;_x000D_
      &lt;setting name="EdgeCurveStyle" serializeAs="String"&gt;_x000D_
        &lt;value&gt;Bezier&lt;/value&gt;_x000D_
      &lt;/setting&gt;_x000D_
      &lt;setting name="EdgeWidth" serializeAs="String"&gt;_x000D_
        &lt;value&gt;2&lt;/value&gt;_x000D_
      &lt;/setting&gt;_x000D_
      &lt;setting name="AutoSelect" serializeAs="String"&gt;_x000D_
        &lt;value&gt;True&lt;/value&gt;_x000D_
      &lt;/setting&gt;_x000D_
      &lt;setting name="LabelUserSettings" serializeAs="String"&gt;_x000D_
        &lt;value&gt;Microsoft Sans Serif, 26.25pt	White	BottomCenter	2147483647	2147483647	Black	True	455	Black	86	TopLeft	Microsoft Sans Serif, 48pt	Microsoft Sans Serif, 8.25pt&lt;/value&gt;_x000D_
      &lt;/setting&gt;_x000D_
      &lt;setting name="EdgeAlpha" serializeAs="String"&gt;_x000D_
        &lt;value&gt;62&lt;/value&gt;_x000D_
      &lt;/setting&gt;_x000D_
      &lt;setting name="SelectedVertexColor" serializeAs="String"&gt;_x000D_
        &lt;value&gt;Red&lt;/value&gt;_x000D_
      &lt;/setting&gt;_x000D_
      &lt;setting name="VertexColor" serializeAs="String"&gt;_x000D_
        &lt;value&gt;Black&lt;/value&gt;_x000D_
      &lt;/setting&gt;_x000D_
      &lt;setting name="VertexShape" serializeAs="String"&gt;_x000D_
        &lt;value&gt;Disk&lt;/value&gt;_x000D_
      &lt;/setting&gt;_x000D_
      &lt;setting name="RelativeArrowSize" serializeAs="String"&gt;_x000D_
        &lt;value&gt;3&lt;/value&gt;_x000D_
      &lt;/setting&gt;_x000D_
      &lt;setting name="VertexImageSize" serializeAs="String"&gt;_x000D_
        &lt;value&gt;3&lt;/value&gt;_x000D_
      &lt;/setting&gt;_x000D_
      &lt;setting name="EdgeColor" serializeAs="String"&gt;_x000D_
        &lt;value&gt;Gray&lt;/value&gt;_x000D_
      &lt;/setting&gt;_x000D_
      &lt;setting name="EdgeBezierDisplacementFactor" serializeAs="String"&gt;_x000D_
        &lt;value&gt;0.2&lt;/value&gt;_x000D_
      &lt;/setting&gt;_x000D_
      &lt;setting name="NewWorkbookGraphDirectedness" serializeAs="String"&gt;_x000D_
        &lt;value&gt;Directed&lt;/value&gt;_x000D_
      &lt;/setting&gt;_x000D_
      &lt;setting name="SaveImportDescription" serializeAs="String"&gt;_x000D_
        &lt;value&gt;True&lt;/value&gt;_x000D_
      &lt;/setting&gt;_x000D_
      &lt;setting name="ReadGroupLabels" serializeAs="String"&gt;_x000D_
        &lt;value&gt;True&lt;/value&gt;_x000D_
      &lt;/setting&gt;_x000D_
      &lt;setting name="VertexRelativeOuterGlowSize" serializeAs="String"&gt;_x000D_
        &lt;value&gt;3&lt;/value&gt;_x000D_
      &lt;/setting&gt;_x000D_
      &lt;setting name="VertexEffect" serializeAs="String"&gt;_x000D_
        &lt;value&gt;DropShadow&lt;/value&gt;_x000D_
      &lt;/setting&gt;_x000D_
      &lt;setting name="EdgeBundlerStraightening" serializeAs="String"&gt;_x000D_
        &lt;value&gt;0.15&lt;/value&gt;_x000D_
      &lt;/setting&gt;_x000D_
    &lt;/GeneralUserSettings4&gt;_x000D_
    &lt;GraphZoomAndScaleUserSettings&gt;_x000D_
      &lt;setting name="GraphScale" serializeAs="String"&gt;_x000D_
        &lt;value&gt;0.33&lt;/value&gt;_x000D_
      &lt;/setting&gt;_x000D_
    &lt;/GraphZoomAndScaleUserSettings&gt;_x000D_
    &lt;GraphImageUserSettings2&gt;_x000D_
      &lt;setting name="ImageSize" serializeAs="String"&gt;_x000D_
        &lt;value&gt;4096, 3072&lt;/value&gt;_x000D_
      &lt;/setting&gt;_x000D_
      &lt;setting name="IncludeFooter" serializeAs="String"&gt;_x000D_
        &lt;value&gt;False&lt;/value&gt;_x000D_
      &lt;/setting&gt;_x000D_
      &lt;setting name="IncludeHeader" serializeAs="String"&gt;_x000D_
        &lt;value&gt;False&lt;/value&gt;_x000D_
      &lt;/setting&gt;_x000D_
      &lt;setting name="UseControlSize" serializeAs="String"&gt;_x000D_
        &lt;value&gt;False&lt;/value&gt;_x000D_
      &lt;/setting&gt;_x000D_
      &lt;setting name="FooterText" serializeAs="String"&gt;_x000D_
        &lt;value /&gt;_x000D_
      &lt;/setting&gt;_x000D_
      &lt;setting name="HeaderFooterFont" serializeAs="String"&gt;_x000D_
        &lt;value&gt;Microsoft Sans Serif, 27.75pt&lt;/value&gt;_x000D_
      &lt;/setting&gt;_x000D_
      &lt;setting name="HeaderText" serializeAs="String"&gt;_x000D_
        &lt;value /&gt;_x000D_
      &lt;/setting&gt;_x000D_
    &lt;/GraphImageUserSettings2&gt;_x000D_
    &lt;DynamicFiltersUserSettings&gt;_x000D_
      &lt;setting name="FilterNonNumericCells" serializeAs="String"&gt;_x000D_
        &lt;value&gt;False&lt;/value&gt;_x000D_
      &lt;/setting&gt;_x000D_
      &lt;setting name="FilteredAlpha" serializeAs="String"&gt;_x000D_
        &lt;value&gt;0&lt;/value&gt;_x000D_
      &lt;/setting&gt;_x000D_
    &lt;/DynamicFiltersUserSettings&gt;_x000D_
    &lt;MergeDuplicateEdgesUserSettings&gt;_x000D_
      &lt;setting name="ThirdColumnNameForDuplicateDetection" serializeAs="String"&gt;_x000D_
        &lt;value&gt;Relationship&lt;/value&gt;_x000D_
      &lt;/setting&gt;_x000D_
      &lt;setting name="CountDuplicates" serializeAs="String"&gt;_x000D_
        &lt;value&gt;True&lt;/value&gt;_x000D_
      &lt;/setting&gt;_x000D_
      &lt;setting name="DeleteDuplicates" serializeAs="String"&gt;_x000D_
        &lt;value&gt;False&lt;/value&gt;_x000D_
      &lt;/setting&gt;_x000D_
    &lt;/MergeDuplicateEdgesUserSettings&gt;_x000D_
  &lt;/userSettings&gt;_x000D_
&lt;/configuration&gt;</t>
  </si>
  <si>
    <t>The graph was laid out using the Harel-Koren Fast Multiscale layout algorithm.</t>
  </si>
  <si>
    <t>https://nodexlgraphgallery.org/Pages/Graph.aspx?graphID=292920</t>
  </si>
  <si>
    <t>https://nodexlgraphgallery.org/Images/Image.ashx?graphID=292920&amp;type=f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</si>
</sst>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122">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0" fontId="5" fillId="2" borderId="1" xfId="1" applyNumberFormat="1"/>
    <xf numFmtId="0" fontId="6" fillId="6" borderId="1" xfId="6"/>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9" fontId="0" fillId="0" borderId="0" xfId="3" applyNumberFormat="1" applyFont="1" applyAlignment="1"/>
    <xf numFmtId="0" fontId="0" fillId="5" borderId="1" xfId="4" applyNumberFormat="1" applyFont="1" applyAlignment="1"/>
    <xf numFmtId="164" fontId="0" fillId="5" borderId="1" xfId="4" applyNumberFormat="1" applyFont="1" applyAlignment="1"/>
    <xf numFmtId="0" fontId="11" fillId="5" borderId="1" xfId="4" applyNumberFormat="1" applyFont="1" applyAlignment="1"/>
    <xf numFmtId="1" fontId="0" fillId="5" borderId="1" xfId="4" applyNumberFormat="1" applyFont="1" applyAlignment="1"/>
    <xf numFmtId="49" fontId="6" fillId="6" borderId="1" xfId="6" applyNumberForma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0" fontId="0" fillId="2" borderId="1" xfId="1" applyNumberFormat="1" applyFont="1"/>
    <xf numFmtId="0" fontId="11" fillId="2" borderId="1" xfId="1" applyNumberFormat="1" applyFont="1" applyAlignment="1"/>
    <xf numFmtId="0" fontId="0" fillId="0" borderId="0" xfId="0" applyAlignment="1"/>
    <xf numFmtId="0" fontId="0" fillId="0" borderId="0" xfId="0" applyFill="1" applyAlignment="1"/>
    <xf numFmtId="22" fontId="0" fillId="0" borderId="0" xfId="0" applyNumberFormat="1" applyAlignment="1"/>
    <xf numFmtId="22" fontId="0" fillId="0" borderId="0" xfId="0" applyNumberFormat="1" applyFill="1" applyAlignment="1"/>
    <xf numFmtId="0" fontId="0" fillId="0" borderId="0" xfId="0" quotePrefix="1" applyFill="1" applyAlignment="1"/>
    <xf numFmtId="0" fontId="13" fillId="0" borderId="0" xfId="9" applyAlignment="1"/>
    <xf numFmtId="0" fontId="13" fillId="0" borderId="0" xfId="9" applyFill="1" applyAlignment="1"/>
    <xf numFmtId="0" fontId="0" fillId="0" borderId="0" xfId="0" quotePrefix="1" applyAlignment="1"/>
    <xf numFmtId="14" fontId="0" fillId="0" borderId="0" xfId="0" applyNumberFormat="1" applyAlignment="1"/>
    <xf numFmtId="14" fontId="0" fillId="0" borderId="0" xfId="0" applyNumberFormat="1" applyFill="1" applyAlignment="1"/>
    <xf numFmtId="1" fontId="11" fillId="4" borderId="1" xfId="5" applyNumberFormat="1" applyFont="1" applyAlignment="1"/>
    <xf numFmtId="49" fontId="0" fillId="0" borderId="0" xfId="3" applyNumberFormat="1" applyFont="1" applyBorder="1" applyAlignment="1"/>
    <xf numFmtId="0" fontId="0" fillId="5" borderId="11" xfId="4" applyNumberFormat="1" applyFont="1" applyBorder="1" applyAlignment="1"/>
    <xf numFmtId="164" fontId="0" fillId="5" borderId="11" xfId="4" applyNumberFormat="1" applyFont="1" applyBorder="1" applyAlignment="1"/>
    <xf numFmtId="1" fontId="0" fillId="5" borderId="11" xfId="4" applyNumberFormat="1" applyFont="1" applyBorder="1" applyAlignment="1"/>
    <xf numFmtId="49" fontId="6" fillId="6" borderId="11" xfId="6" applyNumberFormat="1" applyBorder="1" applyAlignment="1"/>
    <xf numFmtId="0" fontId="6" fillId="6" borderId="11" xfId="6" applyNumberFormat="1" applyBorder="1" applyAlignment="1"/>
    <xf numFmtId="164" fontId="0" fillId="3" borderId="11" xfId="7" applyNumberFormat="1" applyFont="1" applyBorder="1" applyAlignment="1"/>
    <xf numFmtId="165" fontId="0" fillId="3" borderId="11" xfId="7" applyNumberFormat="1" applyFont="1" applyBorder="1" applyAlignment="1"/>
    <xf numFmtId="0" fontId="0" fillId="3" borderId="11" xfId="7" applyNumberFormat="1" applyFont="1" applyBorder="1" applyAlignment="1"/>
    <xf numFmtId="166" fontId="0" fillId="3" borderId="11" xfId="7" applyNumberFormat="1" applyFont="1" applyBorder="1" applyAlignment="1"/>
    <xf numFmtId="1" fontId="11" fillId="4" borderId="11" xfId="5" applyNumberFormat="1" applyFont="1" applyBorder="1" applyAlignment="1"/>
    <xf numFmtId="0" fontId="0" fillId="2" borderId="11" xfId="1" applyNumberFormat="1" applyFont="1" applyBorder="1" applyAlignment="1"/>
    <xf numFmtId="0" fontId="0" fillId="0" borderId="0" xfId="2" applyNumberFormat="1" applyFont="1" applyBorder="1" applyAlignment="1"/>
    <xf numFmtId="0" fontId="13" fillId="5" borderId="1" xfId="9" applyNumberFormat="1" applyFill="1" applyBorder="1" applyAlignment="1"/>
    <xf numFmtId="0" fontId="13" fillId="5" borderId="11" xfId="9" applyNumberFormat="1" applyFill="1" applyBorder="1" applyAlignment="1"/>
    <xf numFmtId="49" fontId="0" fillId="0" borderId="0" xfId="0" applyNumberFormat="1" applyAlignment="1"/>
    <xf numFmtId="0" fontId="11" fillId="5" borderId="1" xfId="4" applyNumberFormat="1" applyFont="1"/>
    <xf numFmtId="0" fontId="11" fillId="2" borderId="1" xfId="1" applyNumberFormat="1" applyFont="1"/>
    <xf numFmtId="49" fontId="0" fillId="0" borderId="0" xfId="0" applyNumberFormat="1" applyFill="1" applyAlignment="1"/>
    <xf numFmtId="167" fontId="0" fillId="0" borderId="0" xfId="0" applyNumberFormat="1" applyAlignment="1"/>
    <xf numFmtId="167" fontId="0" fillId="0" borderId="0" xfId="0" quotePrefix="1" applyNumberFormat="1" applyAlignment="1"/>
    <xf numFmtId="49" fontId="5" fillId="4" borderId="1" xfId="5" applyNumberFormat="1" applyAlignment="1">
      <alignment wrapText="1"/>
    </xf>
    <xf numFmtId="0" fontId="0" fillId="0" borderId="0" xfId="3" applyFont="1" applyAlignment="1"/>
    <xf numFmtId="0" fontId="0" fillId="0" borderId="0" xfId="3" applyFont="1" applyAlignment="1">
      <alignment wrapText="1"/>
    </xf>
    <xf numFmtId="0" fontId="5" fillId="5" borderId="1" xfId="8" applyNumberFormat="1" applyAlignment="1"/>
    <xf numFmtId="1" fontId="5" fillId="4" borderId="1" xfId="5" quotePrefix="1" applyNumberFormat="1" applyAlignme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22" fontId="0" fillId="0" borderId="0" xfId="0" applyNumberFormat="1" applyAlignment="1">
      <alignment horizontal="left" indent="3"/>
    </xf>
  </cellXfs>
  <cellStyles count="10">
    <cellStyle name="Hyperlink" xfId="9" builtinId="8"/>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Normal" xfId="0" builtinId="0"/>
  </cellStyles>
  <dxfs count="543">
    <dxf>
      <numFmt numFmtId="1" formatCode="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0" formatCode="General"/>
      <alignment horizontal="general" vertical="bottom" textRotation="0" wrapText="0" indent="0" justifyLastLine="0" shrinkToFit="0" readingOrder="0"/>
      <border outline="0">
        <right style="thin">
          <color theme="0"/>
        </right>
      </border>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numFmt numFmtId="1" formatCode="0"/>
      <alignment horizontal="general" vertical="bottom" textRotation="0" wrapText="0"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numFmt numFmtId="1" formatCode="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left style="thin">
          <color theme="0"/>
        </lef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left style="thin">
          <color theme="0"/>
        </left>
        <right style="thin">
          <color theme="0"/>
        </right>
      </border>
    </dxf>
    <dxf>
      <numFmt numFmtId="1" formatCode="0"/>
      <alignment horizontal="general" vertical="bottom" textRotation="0" wrapText="0" indent="0" justifyLastLine="0" shrinkToFit="0" readingOrder="0"/>
      <border outline="0">
        <right style="thin">
          <color theme="0"/>
        </right>
      </border>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left style="thin">
          <color theme="0"/>
        </left>
        <right style="thin">
          <color theme="0"/>
        </right>
      </border>
    </dxf>
    <dxf>
      <numFmt numFmtId="167" formatCode="0.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0" formatCode="General"/>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0" formatCode="General"/>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0" formatCode="General"/>
      <border outline="0">
        <right style="thin">
          <color theme="0"/>
        </right>
      </border>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border outline="0">
        <left style="thin">
          <color theme="0"/>
        </left>
      </border>
    </dxf>
    <dxf>
      <numFmt numFmtId="0" formatCode="General"/>
      <alignment horizontal="general" vertical="bottom" textRotation="0" wrapText="0" indent="0" justifyLastLine="0" shrinkToFit="0" readingOrder="0"/>
      <border outline="0">
        <right style="thin">
          <color theme="0"/>
        </right>
      </border>
    </dxf>
    <dxf>
      <numFmt numFmtId="30" formatCode="@"/>
      <alignment horizontal="general" vertical="bottom" textRotation="0" wrapText="0" indent="0" justifyLastLine="0" shrinkToFit="0" readingOrder="0"/>
      <border outline="0">
        <right style="thin">
          <color theme="0"/>
        </right>
      </border>
    </dxf>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numFmt numFmtId="30" formatCode="@"/>
    </dxf>
    <dxf>
      <numFmt numFmtId="30" formatCode="@"/>
    </dxf>
    <dxf>
      <font>
        <b val="0"/>
        <i val="0"/>
        <strike val="0"/>
        <condense val="0"/>
        <extend val="0"/>
        <outline val="0"/>
        <shadow val="0"/>
        <u val="none"/>
        <vertAlign val="baseline"/>
        <sz val="11"/>
        <color theme="1"/>
        <name val="Calibri"/>
        <scheme val="minor"/>
      </font>
      <numFmt numFmtId="0" formatCode="General"/>
    </dxf>
    <dxf>
      <numFmt numFmtId="30" formatCode="@"/>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xr9:uid="{00000000-0011-0000-FFFF-FFFF00000000}">
      <tableStyleElement type="wholeTable" dxfId="542"/>
      <tableStyleElement type="headerRow" dxfId="541"/>
    </tableStyle>
    <tableStyle name="NodeXL Table" pivot="0" count="1" xr9:uid="{00000000-0011-0000-FFFF-FFFF01000000}">
      <tableStyleElement type="headerRow" dxfId="54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Metrics'!$E$2:$E$41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303E-44C3-80C7-B91732636469}"/>
            </c:ext>
          </c:extLst>
        </c:ser>
        <c:dLbls>
          <c:showLegendKey val="0"/>
          <c:showVal val="0"/>
          <c:showCatName val="0"/>
          <c:showSerName val="0"/>
          <c:showPercent val="0"/>
          <c:showBubbleSize val="0"/>
        </c:dLbls>
        <c:gapWidth val="0"/>
        <c:axId val="1190537248"/>
        <c:axId val="1190542144"/>
      </c:barChart>
      <c:catAx>
        <c:axId val="1190537248"/>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90542144"/>
        <c:crosses val="autoZero"/>
        <c:auto val="1"/>
        <c:lblAlgn val="ctr"/>
        <c:lblOffset val="100"/>
        <c:noMultiLvlLbl val="0"/>
      </c:catAx>
      <c:valAx>
        <c:axId val="11905421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372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AEJMC 11-5-2023.xlsx]Time Series!TimeSeries</c:name>
    <c:fmtId val="0"/>
  </c:pivotSource>
  <c:chart>
    <c:title>
      <c:tx>
        <c:rich>
          <a:bodyPr/>
          <a:lstStyle/>
          <a:p>
            <a:pPr>
              <a:defRPr/>
            </a:pPr>
            <a:r>
              <a:rPr lang="en-US"/>
              <a:t>AEJMC from NodeXL X(formerly Twitter) Search Network</a:t>
            </a:r>
          </a:p>
        </c:rich>
      </c:tx>
      <c:overlay val="0"/>
    </c:title>
    <c:autoTitleDeleted val="0"/>
    <c:pivotFmts>
      <c:pivotFmt>
        <c:idx val="0"/>
        <c:marker>
          <c:symbol val="none"/>
        </c:marker>
      </c:pivotFmt>
    </c:pivotFmts>
    <c:plotArea>
      <c:layout/>
      <c:barChart>
        <c:barDir val="col"/>
        <c:grouping val="clustered"/>
        <c:varyColors val="0"/>
        <c:ser>
          <c:idx val="0"/>
          <c:order val="0"/>
          <c:tx>
            <c:strRef>
              <c:f>'Time Series'!$B$25</c:f>
              <c:strCache>
                <c:ptCount val="1"/>
                <c:pt idx="0">
                  <c:v>Total</c:v>
                </c:pt>
              </c:strCache>
            </c:strRef>
          </c:tx>
          <c:invertIfNegative val="0"/>
          <c:cat>
            <c:multiLvlStrRef>
              <c:f>'Time Series'!$A$26:$A$120</c:f>
              <c:multiLvlStrCache>
                <c:ptCount val="73"/>
                <c:lvl>
                  <c:pt idx="0">
                    <c:v>8 AM</c:v>
                  </c:pt>
                  <c:pt idx="1">
                    <c:v>5 PM</c:v>
                  </c:pt>
                  <c:pt idx="2">
                    <c:v>12 AM</c:v>
                  </c:pt>
                  <c:pt idx="3">
                    <c:v>4 PM</c:v>
                  </c:pt>
                  <c:pt idx="4">
                    <c:v>10 AM</c:v>
                  </c:pt>
                  <c:pt idx="5">
                    <c:v>3 PM</c:v>
                  </c:pt>
                  <c:pt idx="6">
                    <c:v>6 PM</c:v>
                  </c:pt>
                  <c:pt idx="7">
                    <c:v>1 AM</c:v>
                  </c:pt>
                  <c:pt idx="8">
                    <c:v>6 PM</c:v>
                  </c:pt>
                  <c:pt idx="9">
                    <c:v>3 PM</c:v>
                  </c:pt>
                  <c:pt idx="10">
                    <c:v>4 PM</c:v>
                  </c:pt>
                  <c:pt idx="11">
                    <c:v>7 PM</c:v>
                  </c:pt>
                  <c:pt idx="12">
                    <c:v>2 PM</c:v>
                  </c:pt>
                  <c:pt idx="13">
                    <c:v>5 PM</c:v>
                  </c:pt>
                  <c:pt idx="14">
                    <c:v>8 PM</c:v>
                  </c:pt>
                  <c:pt idx="15">
                    <c:v>11 PM</c:v>
                  </c:pt>
                  <c:pt idx="16">
                    <c:v>3 AM</c:v>
                  </c:pt>
                  <c:pt idx="17">
                    <c:v>6 AM</c:v>
                  </c:pt>
                  <c:pt idx="18">
                    <c:v>7 AM</c:v>
                  </c:pt>
                  <c:pt idx="19">
                    <c:v>1 PM</c:v>
                  </c:pt>
                  <c:pt idx="20">
                    <c:v>2 PM</c:v>
                  </c:pt>
                  <c:pt idx="21">
                    <c:v>3 PM</c:v>
                  </c:pt>
                  <c:pt idx="22">
                    <c:v>5 PM</c:v>
                  </c:pt>
                  <c:pt idx="23">
                    <c:v>8 PM</c:v>
                  </c:pt>
                  <c:pt idx="24">
                    <c:v>10 PM</c:v>
                  </c:pt>
                  <c:pt idx="25">
                    <c:v>7 AM</c:v>
                  </c:pt>
                  <c:pt idx="26">
                    <c:v>1 PM</c:v>
                  </c:pt>
                  <c:pt idx="27">
                    <c:v>2 PM</c:v>
                  </c:pt>
                  <c:pt idx="28">
                    <c:v>3 PM</c:v>
                  </c:pt>
                  <c:pt idx="29">
                    <c:v>4 PM</c:v>
                  </c:pt>
                  <c:pt idx="30">
                    <c:v>5 PM</c:v>
                  </c:pt>
                  <c:pt idx="31">
                    <c:v>6 PM</c:v>
                  </c:pt>
                  <c:pt idx="32">
                    <c:v>7 PM</c:v>
                  </c:pt>
                  <c:pt idx="33">
                    <c:v>8 PM</c:v>
                  </c:pt>
                  <c:pt idx="34">
                    <c:v>10 PM</c:v>
                  </c:pt>
                  <c:pt idx="35">
                    <c:v>11 PM</c:v>
                  </c:pt>
                  <c:pt idx="36">
                    <c:v>1 AM</c:v>
                  </c:pt>
                  <c:pt idx="37">
                    <c:v>2 AM</c:v>
                  </c:pt>
                  <c:pt idx="38">
                    <c:v>3 AM</c:v>
                  </c:pt>
                  <c:pt idx="39">
                    <c:v>5 AM</c:v>
                  </c:pt>
                  <c:pt idx="40">
                    <c:v>12 PM</c:v>
                  </c:pt>
                  <c:pt idx="41">
                    <c:v>1 PM</c:v>
                  </c:pt>
                  <c:pt idx="42">
                    <c:v>4 PM</c:v>
                  </c:pt>
                  <c:pt idx="43">
                    <c:v>7 PM</c:v>
                  </c:pt>
                  <c:pt idx="44">
                    <c:v>11 PM</c:v>
                  </c:pt>
                  <c:pt idx="45">
                    <c:v>12 AM</c:v>
                  </c:pt>
                  <c:pt idx="46">
                    <c:v>1 AM</c:v>
                  </c:pt>
                  <c:pt idx="47">
                    <c:v>8 AM</c:v>
                  </c:pt>
                  <c:pt idx="48">
                    <c:v>2 PM</c:v>
                  </c:pt>
                  <c:pt idx="49">
                    <c:v>3 PM</c:v>
                  </c:pt>
                  <c:pt idx="50">
                    <c:v>5 PM</c:v>
                  </c:pt>
                  <c:pt idx="51">
                    <c:v>7 PM</c:v>
                  </c:pt>
                  <c:pt idx="52">
                    <c:v>9 PM</c:v>
                  </c:pt>
                  <c:pt idx="53">
                    <c:v>10 PM</c:v>
                  </c:pt>
                  <c:pt idx="54">
                    <c:v>1 AM</c:v>
                  </c:pt>
                  <c:pt idx="55">
                    <c:v>8 AM</c:v>
                  </c:pt>
                  <c:pt idx="56">
                    <c:v>12 PM</c:v>
                  </c:pt>
                  <c:pt idx="57">
                    <c:v>1 PM</c:v>
                  </c:pt>
                  <c:pt idx="58">
                    <c:v>2 PM</c:v>
                  </c:pt>
                  <c:pt idx="59">
                    <c:v>4 PM</c:v>
                  </c:pt>
                  <c:pt idx="60">
                    <c:v>5 PM</c:v>
                  </c:pt>
                  <c:pt idx="61">
                    <c:v>7 PM</c:v>
                  </c:pt>
                  <c:pt idx="62">
                    <c:v>8 PM</c:v>
                  </c:pt>
                  <c:pt idx="63">
                    <c:v>9 PM</c:v>
                  </c:pt>
                  <c:pt idx="64">
                    <c:v>1 AM</c:v>
                  </c:pt>
                  <c:pt idx="65">
                    <c:v>1 PM</c:v>
                  </c:pt>
                  <c:pt idx="66">
                    <c:v>3 PM</c:v>
                  </c:pt>
                  <c:pt idx="67">
                    <c:v>7 PM</c:v>
                  </c:pt>
                  <c:pt idx="68">
                    <c:v>8 PM</c:v>
                  </c:pt>
                  <c:pt idx="69">
                    <c:v>9 PM</c:v>
                  </c:pt>
                  <c:pt idx="70">
                    <c:v>11 PM</c:v>
                  </c:pt>
                  <c:pt idx="71">
                    <c:v>1 AM</c:v>
                  </c:pt>
                  <c:pt idx="72">
                    <c:v>9 AM</c:v>
                  </c:pt>
                </c:lvl>
                <c:lvl>
                  <c:pt idx="0">
                    <c:v>8-Mar</c:v>
                  </c:pt>
                  <c:pt idx="1">
                    <c:v>6-Oct</c:v>
                  </c:pt>
                  <c:pt idx="2">
                    <c:v>15-Oct</c:v>
                  </c:pt>
                  <c:pt idx="3">
                    <c:v>17-Oct</c:v>
                  </c:pt>
                  <c:pt idx="4">
                    <c:v>23-Oct</c:v>
                  </c:pt>
                  <c:pt idx="7">
                    <c:v>24-Oct</c:v>
                  </c:pt>
                  <c:pt idx="8">
                    <c:v>26-Oct</c:v>
                  </c:pt>
                  <c:pt idx="9">
                    <c:v>27-Oct</c:v>
                  </c:pt>
                  <c:pt idx="12">
                    <c:v>28-Oct</c:v>
                  </c:pt>
                  <c:pt idx="13">
                    <c:v>29-Oct</c:v>
                  </c:pt>
                  <c:pt idx="16">
                    <c:v>30-Oct</c:v>
                  </c:pt>
                  <c:pt idx="25">
                    <c:v>31-Oct</c:v>
                  </c:pt>
                  <c:pt idx="36">
                    <c:v>1-Nov</c:v>
                  </c:pt>
                  <c:pt idx="45">
                    <c:v>2-Nov</c:v>
                  </c:pt>
                  <c:pt idx="54">
                    <c:v>3-Nov</c:v>
                  </c:pt>
                  <c:pt idx="64">
                    <c:v>4-Nov</c:v>
                  </c:pt>
                  <c:pt idx="71">
                    <c:v>5-Nov</c:v>
                  </c:pt>
                </c:lvl>
                <c:lvl>
                  <c:pt idx="0">
                    <c:v>Mar</c:v>
                  </c:pt>
                  <c:pt idx="1">
                    <c:v>Oct</c:v>
                  </c:pt>
                  <c:pt idx="36">
                    <c:v>Nov</c:v>
                  </c:pt>
                </c:lvl>
                <c:lvl>
                  <c:pt idx="0">
                    <c:v>2023</c:v>
                  </c:pt>
                </c:lvl>
              </c:multiLvlStrCache>
            </c:multiLvlStrRef>
          </c:cat>
          <c:val>
            <c:numRef>
              <c:f>'Time Series'!$B$26:$B$120</c:f>
              <c:numCache>
                <c:formatCode>General</c:formatCode>
                <c:ptCount val="73"/>
                <c:pt idx="0">
                  <c:v>1</c:v>
                </c:pt>
                <c:pt idx="1">
                  <c:v>1</c:v>
                </c:pt>
                <c:pt idx="2">
                  <c:v>1</c:v>
                </c:pt>
                <c:pt idx="3">
                  <c:v>1</c:v>
                </c:pt>
                <c:pt idx="4">
                  <c:v>1</c:v>
                </c:pt>
                <c:pt idx="5">
                  <c:v>1</c:v>
                </c:pt>
                <c:pt idx="6">
                  <c:v>2</c:v>
                </c:pt>
                <c:pt idx="7">
                  <c:v>1</c:v>
                </c:pt>
                <c:pt idx="8">
                  <c:v>1</c:v>
                </c:pt>
                <c:pt idx="9">
                  <c:v>1</c:v>
                </c:pt>
                <c:pt idx="10">
                  <c:v>1</c:v>
                </c:pt>
                <c:pt idx="11">
                  <c:v>1</c:v>
                </c:pt>
                <c:pt idx="12">
                  <c:v>1</c:v>
                </c:pt>
                <c:pt idx="13">
                  <c:v>2</c:v>
                </c:pt>
                <c:pt idx="14">
                  <c:v>1</c:v>
                </c:pt>
                <c:pt idx="15">
                  <c:v>1</c:v>
                </c:pt>
                <c:pt idx="16">
                  <c:v>1</c:v>
                </c:pt>
                <c:pt idx="17">
                  <c:v>1</c:v>
                </c:pt>
                <c:pt idx="18">
                  <c:v>1</c:v>
                </c:pt>
                <c:pt idx="19">
                  <c:v>2</c:v>
                </c:pt>
                <c:pt idx="20">
                  <c:v>1</c:v>
                </c:pt>
                <c:pt idx="21">
                  <c:v>5</c:v>
                </c:pt>
                <c:pt idx="22">
                  <c:v>1</c:v>
                </c:pt>
                <c:pt idx="23">
                  <c:v>4</c:v>
                </c:pt>
                <c:pt idx="24">
                  <c:v>1</c:v>
                </c:pt>
                <c:pt idx="25">
                  <c:v>1</c:v>
                </c:pt>
                <c:pt idx="26">
                  <c:v>1</c:v>
                </c:pt>
                <c:pt idx="27">
                  <c:v>2</c:v>
                </c:pt>
                <c:pt idx="28">
                  <c:v>3</c:v>
                </c:pt>
                <c:pt idx="29">
                  <c:v>1</c:v>
                </c:pt>
                <c:pt idx="30">
                  <c:v>1</c:v>
                </c:pt>
                <c:pt idx="31">
                  <c:v>2</c:v>
                </c:pt>
                <c:pt idx="32">
                  <c:v>9</c:v>
                </c:pt>
                <c:pt idx="33">
                  <c:v>3</c:v>
                </c:pt>
                <c:pt idx="34">
                  <c:v>1</c:v>
                </c:pt>
                <c:pt idx="35">
                  <c:v>1</c:v>
                </c:pt>
                <c:pt idx="36">
                  <c:v>2</c:v>
                </c:pt>
                <c:pt idx="37">
                  <c:v>2</c:v>
                </c:pt>
                <c:pt idx="38">
                  <c:v>1</c:v>
                </c:pt>
                <c:pt idx="39">
                  <c:v>1</c:v>
                </c:pt>
                <c:pt idx="40">
                  <c:v>1</c:v>
                </c:pt>
                <c:pt idx="41">
                  <c:v>2</c:v>
                </c:pt>
                <c:pt idx="42">
                  <c:v>3</c:v>
                </c:pt>
                <c:pt idx="43">
                  <c:v>1</c:v>
                </c:pt>
                <c:pt idx="44">
                  <c:v>3</c:v>
                </c:pt>
                <c:pt idx="45">
                  <c:v>3</c:v>
                </c:pt>
                <c:pt idx="46">
                  <c:v>1</c:v>
                </c:pt>
                <c:pt idx="47">
                  <c:v>1</c:v>
                </c:pt>
                <c:pt idx="48">
                  <c:v>1</c:v>
                </c:pt>
                <c:pt idx="49">
                  <c:v>2</c:v>
                </c:pt>
                <c:pt idx="50">
                  <c:v>1</c:v>
                </c:pt>
                <c:pt idx="51">
                  <c:v>1</c:v>
                </c:pt>
                <c:pt idx="52">
                  <c:v>1</c:v>
                </c:pt>
                <c:pt idx="53">
                  <c:v>1</c:v>
                </c:pt>
                <c:pt idx="54">
                  <c:v>5</c:v>
                </c:pt>
                <c:pt idx="55">
                  <c:v>3</c:v>
                </c:pt>
                <c:pt idx="56">
                  <c:v>2</c:v>
                </c:pt>
                <c:pt idx="57">
                  <c:v>2</c:v>
                </c:pt>
                <c:pt idx="58">
                  <c:v>1</c:v>
                </c:pt>
                <c:pt idx="59">
                  <c:v>6</c:v>
                </c:pt>
                <c:pt idx="60">
                  <c:v>8</c:v>
                </c:pt>
                <c:pt idx="61">
                  <c:v>2</c:v>
                </c:pt>
                <c:pt idx="62">
                  <c:v>1</c:v>
                </c:pt>
                <c:pt idx="63">
                  <c:v>1</c:v>
                </c:pt>
                <c:pt idx="64">
                  <c:v>1</c:v>
                </c:pt>
                <c:pt idx="65">
                  <c:v>1</c:v>
                </c:pt>
                <c:pt idx="66">
                  <c:v>1</c:v>
                </c:pt>
                <c:pt idx="67">
                  <c:v>1</c:v>
                </c:pt>
                <c:pt idx="68">
                  <c:v>1</c:v>
                </c:pt>
                <c:pt idx="69">
                  <c:v>1</c:v>
                </c:pt>
                <c:pt idx="70">
                  <c:v>2</c:v>
                </c:pt>
                <c:pt idx="71">
                  <c:v>1</c:v>
                </c:pt>
                <c:pt idx="72">
                  <c:v>1</c:v>
                </c:pt>
              </c:numCache>
            </c:numRef>
          </c:val>
          <c:extLst>
            <c:ext xmlns:c16="http://schemas.microsoft.com/office/drawing/2014/chart" uri="{C3380CC4-5D6E-409C-BE32-E72D297353CC}">
              <c16:uniqueId val="{00000000-6AE1-44CB-AF8C-D112C4DDBB02}"/>
            </c:ext>
          </c:extLst>
        </c:ser>
        <c:dLbls>
          <c:showLegendKey val="0"/>
          <c:showVal val="0"/>
          <c:showCatName val="0"/>
          <c:showSerName val="0"/>
          <c:showPercent val="0"/>
          <c:showBubbleSize val="0"/>
        </c:dLbls>
        <c:gapWidth val="150"/>
        <c:axId val="1604146319"/>
        <c:axId val="1756107007"/>
      </c:barChart>
      <c:catAx>
        <c:axId val="1604146319"/>
        <c:scaling>
          <c:orientation val="minMax"/>
        </c:scaling>
        <c:delete val="0"/>
        <c:axPos val="b"/>
        <c:numFmt formatCode="General" sourceLinked="1"/>
        <c:majorTickMark val="out"/>
        <c:minorTickMark val="none"/>
        <c:tickLblPos val="nextTo"/>
        <c:crossAx val="1756107007"/>
        <c:crosses val="autoZero"/>
        <c:auto val="1"/>
        <c:lblAlgn val="ctr"/>
        <c:lblOffset val="100"/>
        <c:noMultiLvlLbl val="0"/>
      </c:catAx>
      <c:valAx>
        <c:axId val="1756107007"/>
        <c:scaling>
          <c:orientation val="minMax"/>
        </c:scaling>
        <c:delete val="0"/>
        <c:axPos val="l"/>
        <c:majorGridlines/>
        <c:numFmt formatCode="General" sourceLinked="1"/>
        <c:majorTickMark val="out"/>
        <c:minorTickMark val="none"/>
        <c:tickLblPos val="nextTo"/>
        <c:crossAx val="1604146319"/>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28</c:v>
                </c:pt>
              </c:strCache>
            </c:strRef>
          </c:tx>
          <c:spPr>
            <a:solidFill>
              <a:schemeClr val="accent1"/>
            </a:solidFill>
          </c:spPr>
          <c:invertIfNegative val="0"/>
          <c:cat>
            <c:numRef>
              <c:f>'Overall Metrics'!$F$2:$F$41</c:f>
              <c:numCache>
                <c:formatCode>#,##0.00</c:formatCode>
                <c:ptCount val="40"/>
                <c:pt idx="0">
                  <c:v>0</c:v>
                </c:pt>
                <c:pt idx="1">
                  <c:v>0.73529411764705888</c:v>
                </c:pt>
                <c:pt idx="2">
                  <c:v>1.4705882352941178</c:v>
                </c:pt>
                <c:pt idx="3">
                  <c:v>2.2058823529411766</c:v>
                </c:pt>
                <c:pt idx="4">
                  <c:v>2.9411764705882355</c:v>
                </c:pt>
                <c:pt idx="5">
                  <c:v>3.6764705882352944</c:v>
                </c:pt>
                <c:pt idx="6">
                  <c:v>4.4117647058823533</c:v>
                </c:pt>
                <c:pt idx="7">
                  <c:v>5.1470588235294121</c:v>
                </c:pt>
                <c:pt idx="8">
                  <c:v>5.882352941176471</c:v>
                </c:pt>
                <c:pt idx="9">
                  <c:v>6.6176470588235299</c:v>
                </c:pt>
                <c:pt idx="10">
                  <c:v>7.3529411764705888</c:v>
                </c:pt>
                <c:pt idx="11">
                  <c:v>8.0882352941176485</c:v>
                </c:pt>
                <c:pt idx="12">
                  <c:v>8.8235294117647065</c:v>
                </c:pt>
                <c:pt idx="13">
                  <c:v>9.5588235294117645</c:v>
                </c:pt>
                <c:pt idx="14">
                  <c:v>10.294117647058822</c:v>
                </c:pt>
                <c:pt idx="15">
                  <c:v>11.02941176470588</c:v>
                </c:pt>
                <c:pt idx="16">
                  <c:v>11.764705882352938</c:v>
                </c:pt>
                <c:pt idx="17">
                  <c:v>12.499999999999996</c:v>
                </c:pt>
                <c:pt idx="18">
                  <c:v>13.235294117647054</c:v>
                </c:pt>
                <c:pt idx="19">
                  <c:v>13.970588235294112</c:v>
                </c:pt>
                <c:pt idx="20">
                  <c:v>14.70588235294117</c:v>
                </c:pt>
                <c:pt idx="21">
                  <c:v>15.441176470588228</c:v>
                </c:pt>
                <c:pt idx="22">
                  <c:v>16.176470588235286</c:v>
                </c:pt>
                <c:pt idx="23">
                  <c:v>16.911764705882344</c:v>
                </c:pt>
                <c:pt idx="24">
                  <c:v>17.647058823529402</c:v>
                </c:pt>
                <c:pt idx="25">
                  <c:v>18.38235294117646</c:v>
                </c:pt>
                <c:pt idx="26">
                  <c:v>19.117647058823518</c:v>
                </c:pt>
                <c:pt idx="27">
                  <c:v>19.852941176470576</c:v>
                </c:pt>
                <c:pt idx="28">
                  <c:v>20.588235294117634</c:v>
                </c:pt>
                <c:pt idx="29">
                  <c:v>21.323529411764692</c:v>
                </c:pt>
                <c:pt idx="30">
                  <c:v>22.05882352941175</c:v>
                </c:pt>
                <c:pt idx="31">
                  <c:v>22.794117647058808</c:v>
                </c:pt>
                <c:pt idx="32">
                  <c:v>23.529411764705866</c:v>
                </c:pt>
                <c:pt idx="33">
                  <c:v>24.264705882352924</c:v>
                </c:pt>
                <c:pt idx="34">
                  <c:v>25</c:v>
                </c:pt>
              </c:numCache>
            </c:numRef>
          </c:cat>
          <c:val>
            <c:numRef>
              <c:f>'Overall Metrics'!$G$2:$G$41</c:f>
              <c:numCache>
                <c:formatCode>General</c:formatCode>
                <c:ptCount val="40"/>
                <c:pt idx="0">
                  <c:v>28</c:v>
                </c:pt>
                <c:pt idx="1">
                  <c:v>55</c:v>
                </c:pt>
                <c:pt idx="2">
                  <c:v>24</c:v>
                </c:pt>
                <c:pt idx="3">
                  <c:v>0</c:v>
                </c:pt>
                <c:pt idx="4">
                  <c:v>5</c:v>
                </c:pt>
                <c:pt idx="5">
                  <c:v>5</c:v>
                </c:pt>
                <c:pt idx="6">
                  <c:v>0</c:v>
                </c:pt>
                <c:pt idx="7">
                  <c:v>0</c:v>
                </c:pt>
                <c:pt idx="8">
                  <c:v>2</c:v>
                </c:pt>
                <c:pt idx="9">
                  <c:v>1</c:v>
                </c:pt>
                <c:pt idx="10">
                  <c:v>1</c:v>
                </c:pt>
                <c:pt idx="11">
                  <c:v>0</c:v>
                </c:pt>
                <c:pt idx="12">
                  <c:v>1</c:v>
                </c:pt>
                <c:pt idx="13">
                  <c:v>0</c:v>
                </c:pt>
                <c:pt idx="14">
                  <c:v>1</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1</c:v>
                </c:pt>
              </c:numCache>
            </c:numRef>
          </c:val>
          <c:extLst>
            <c:ext xmlns:c16="http://schemas.microsoft.com/office/drawing/2014/chart" uri="{C3380CC4-5D6E-409C-BE32-E72D297353CC}">
              <c16:uniqueId val="{00000000-85DF-42D8-BC79-ACB3DCB0C86A}"/>
            </c:ext>
          </c:extLst>
        </c:ser>
        <c:dLbls>
          <c:showLegendKey val="0"/>
          <c:showVal val="0"/>
          <c:showCatName val="0"/>
          <c:showSerName val="0"/>
          <c:showPercent val="0"/>
          <c:showBubbleSize val="0"/>
        </c:dLbls>
        <c:gapWidth val="0"/>
        <c:axId val="1190542688"/>
        <c:axId val="1190537792"/>
      </c:barChart>
      <c:catAx>
        <c:axId val="1190542688"/>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90537792"/>
        <c:crosses val="autoZero"/>
        <c:auto val="1"/>
        <c:lblAlgn val="ctr"/>
        <c:lblOffset val="100"/>
        <c:noMultiLvlLbl val="0"/>
      </c:catAx>
      <c:valAx>
        <c:axId val="11905377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26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56</c:v>
                </c:pt>
              </c:strCache>
            </c:strRef>
          </c:tx>
          <c:spPr>
            <a:solidFill>
              <a:schemeClr val="accent1"/>
            </a:solidFill>
          </c:spPr>
          <c:invertIfNegative val="0"/>
          <c:cat>
            <c:numRef>
              <c:f>'Overall Metrics'!$H$2:$H$41</c:f>
              <c:numCache>
                <c:formatCode>#,##0.00</c:formatCode>
                <c:ptCount val="40"/>
                <c:pt idx="0">
                  <c:v>0</c:v>
                </c:pt>
                <c:pt idx="1">
                  <c:v>0.52941176470588236</c:v>
                </c:pt>
                <c:pt idx="2">
                  <c:v>1.0588235294117647</c:v>
                </c:pt>
                <c:pt idx="3">
                  <c:v>1.5882352941176472</c:v>
                </c:pt>
                <c:pt idx="4">
                  <c:v>2.1176470588235294</c:v>
                </c:pt>
                <c:pt idx="5">
                  <c:v>2.6470588235294117</c:v>
                </c:pt>
                <c:pt idx="6">
                  <c:v>3.1764705882352939</c:v>
                </c:pt>
                <c:pt idx="7">
                  <c:v>3.7058823529411762</c:v>
                </c:pt>
                <c:pt idx="8">
                  <c:v>4.2352941176470589</c:v>
                </c:pt>
                <c:pt idx="9">
                  <c:v>4.7647058823529411</c:v>
                </c:pt>
                <c:pt idx="10">
                  <c:v>5.2941176470588234</c:v>
                </c:pt>
                <c:pt idx="11">
                  <c:v>5.8235294117647056</c:v>
                </c:pt>
                <c:pt idx="12">
                  <c:v>6.3529411764705879</c:v>
                </c:pt>
                <c:pt idx="13">
                  <c:v>6.8823529411764701</c:v>
                </c:pt>
                <c:pt idx="14">
                  <c:v>7.4117647058823524</c:v>
                </c:pt>
                <c:pt idx="15">
                  <c:v>7.9411764705882346</c:v>
                </c:pt>
                <c:pt idx="16">
                  <c:v>8.4705882352941178</c:v>
                </c:pt>
                <c:pt idx="17">
                  <c:v>9</c:v>
                </c:pt>
                <c:pt idx="18">
                  <c:v>9.5294117647058822</c:v>
                </c:pt>
                <c:pt idx="19">
                  <c:v>10.058823529411764</c:v>
                </c:pt>
                <c:pt idx="20">
                  <c:v>10.588235294117647</c:v>
                </c:pt>
                <c:pt idx="21">
                  <c:v>11.117647058823529</c:v>
                </c:pt>
                <c:pt idx="22">
                  <c:v>11.647058823529411</c:v>
                </c:pt>
                <c:pt idx="23">
                  <c:v>12.176470588235293</c:v>
                </c:pt>
                <c:pt idx="24">
                  <c:v>12.705882352941176</c:v>
                </c:pt>
                <c:pt idx="25">
                  <c:v>13.235294117647058</c:v>
                </c:pt>
                <c:pt idx="26">
                  <c:v>13.76470588235294</c:v>
                </c:pt>
                <c:pt idx="27">
                  <c:v>14.294117647058822</c:v>
                </c:pt>
                <c:pt idx="28">
                  <c:v>14.823529411764705</c:v>
                </c:pt>
                <c:pt idx="29">
                  <c:v>15.352941176470587</c:v>
                </c:pt>
                <c:pt idx="30">
                  <c:v>15.882352941176469</c:v>
                </c:pt>
                <c:pt idx="31">
                  <c:v>16.411764705882351</c:v>
                </c:pt>
                <c:pt idx="32">
                  <c:v>16.941176470588236</c:v>
                </c:pt>
                <c:pt idx="33">
                  <c:v>17.47058823529412</c:v>
                </c:pt>
                <c:pt idx="34">
                  <c:v>18</c:v>
                </c:pt>
              </c:numCache>
            </c:numRef>
          </c:cat>
          <c:val>
            <c:numRef>
              <c:f>'Overall Metrics'!$I$2:$I$41</c:f>
              <c:numCache>
                <c:formatCode>General</c:formatCode>
                <c:ptCount val="40"/>
                <c:pt idx="0">
                  <c:v>56</c:v>
                </c:pt>
                <c:pt idx="1">
                  <c:v>24</c:v>
                </c:pt>
                <c:pt idx="2">
                  <c:v>0</c:v>
                </c:pt>
                <c:pt idx="3">
                  <c:v>19</c:v>
                </c:pt>
                <c:pt idx="4">
                  <c:v>0</c:v>
                </c:pt>
                <c:pt idx="5">
                  <c:v>9</c:v>
                </c:pt>
                <c:pt idx="6">
                  <c:v>0</c:v>
                </c:pt>
                <c:pt idx="7">
                  <c:v>2</c:v>
                </c:pt>
                <c:pt idx="8">
                  <c:v>0</c:v>
                </c:pt>
                <c:pt idx="9">
                  <c:v>3</c:v>
                </c:pt>
                <c:pt idx="10">
                  <c:v>0</c:v>
                </c:pt>
                <c:pt idx="11">
                  <c:v>3</c:v>
                </c:pt>
                <c:pt idx="12">
                  <c:v>0</c:v>
                </c:pt>
                <c:pt idx="13">
                  <c:v>3</c:v>
                </c:pt>
                <c:pt idx="14">
                  <c:v>0</c:v>
                </c:pt>
                <c:pt idx="15">
                  <c:v>1</c:v>
                </c:pt>
                <c:pt idx="16">
                  <c:v>0</c:v>
                </c:pt>
                <c:pt idx="17">
                  <c:v>0</c:v>
                </c:pt>
                <c:pt idx="18">
                  <c:v>1</c:v>
                </c:pt>
                <c:pt idx="19">
                  <c:v>0</c:v>
                </c:pt>
                <c:pt idx="20">
                  <c:v>1</c:v>
                </c:pt>
                <c:pt idx="21">
                  <c:v>0</c:v>
                </c:pt>
                <c:pt idx="22">
                  <c:v>1</c:v>
                </c:pt>
                <c:pt idx="23">
                  <c:v>0</c:v>
                </c:pt>
                <c:pt idx="24">
                  <c:v>0</c:v>
                </c:pt>
                <c:pt idx="25">
                  <c:v>0</c:v>
                </c:pt>
                <c:pt idx="26">
                  <c:v>0</c:v>
                </c:pt>
                <c:pt idx="27">
                  <c:v>0</c:v>
                </c:pt>
                <c:pt idx="28">
                  <c:v>0</c:v>
                </c:pt>
                <c:pt idx="29">
                  <c:v>0</c:v>
                </c:pt>
                <c:pt idx="30">
                  <c:v>0</c:v>
                </c:pt>
                <c:pt idx="31">
                  <c:v>0</c:v>
                </c:pt>
                <c:pt idx="32">
                  <c:v>0</c:v>
                </c:pt>
                <c:pt idx="33">
                  <c:v>0</c:v>
                </c:pt>
                <c:pt idx="34">
                  <c:v>1</c:v>
                </c:pt>
              </c:numCache>
            </c:numRef>
          </c:val>
          <c:extLst>
            <c:ext xmlns:c16="http://schemas.microsoft.com/office/drawing/2014/chart" uri="{C3380CC4-5D6E-409C-BE32-E72D297353CC}">
              <c16:uniqueId val="{00000000-AC73-42C7-9DB7-2DA0A0A427A7}"/>
            </c:ext>
          </c:extLst>
        </c:ser>
        <c:dLbls>
          <c:showLegendKey val="0"/>
          <c:showVal val="0"/>
          <c:showCatName val="0"/>
          <c:showSerName val="0"/>
          <c:showPercent val="0"/>
          <c:showBubbleSize val="0"/>
        </c:dLbls>
        <c:gapWidth val="0"/>
        <c:axId val="1190539424"/>
        <c:axId val="1190543232"/>
      </c:barChart>
      <c:catAx>
        <c:axId val="1190539424"/>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190543232"/>
        <c:crosses val="autoZero"/>
        <c:auto val="1"/>
        <c:lblAlgn val="ctr"/>
        <c:lblOffset val="100"/>
        <c:noMultiLvlLbl val="0"/>
      </c:catAx>
      <c:valAx>
        <c:axId val="119054323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394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106</c:v>
                </c:pt>
              </c:strCache>
            </c:strRef>
          </c:tx>
          <c:spPr>
            <a:solidFill>
              <a:schemeClr val="accent1"/>
            </a:solidFill>
          </c:spPr>
          <c:invertIfNegative val="0"/>
          <c:cat>
            <c:numRef>
              <c:f>'Overall Metrics'!$J$2:$J$41</c:f>
              <c:numCache>
                <c:formatCode>#,##0.00</c:formatCode>
                <c:ptCount val="40"/>
                <c:pt idx="0">
                  <c:v>0</c:v>
                </c:pt>
                <c:pt idx="1">
                  <c:v>271.34705882352938</c:v>
                </c:pt>
                <c:pt idx="2">
                  <c:v>542.69411764705876</c:v>
                </c:pt>
                <c:pt idx="3">
                  <c:v>814.0411764705882</c:v>
                </c:pt>
                <c:pt idx="4">
                  <c:v>1085.3882352941175</c:v>
                </c:pt>
                <c:pt idx="5">
                  <c:v>1356.7352941176468</c:v>
                </c:pt>
                <c:pt idx="6">
                  <c:v>1628.0823529411762</c:v>
                </c:pt>
                <c:pt idx="7">
                  <c:v>1899.4294117647055</c:v>
                </c:pt>
                <c:pt idx="8">
                  <c:v>2170.776470588235</c:v>
                </c:pt>
                <c:pt idx="9">
                  <c:v>2442.1235294117646</c:v>
                </c:pt>
                <c:pt idx="10">
                  <c:v>2713.4705882352941</c:v>
                </c:pt>
                <c:pt idx="11">
                  <c:v>2984.8176470588237</c:v>
                </c:pt>
                <c:pt idx="12">
                  <c:v>3256.1647058823532</c:v>
                </c:pt>
                <c:pt idx="13">
                  <c:v>3527.5117647058828</c:v>
                </c:pt>
                <c:pt idx="14">
                  <c:v>3798.8588235294123</c:v>
                </c:pt>
                <c:pt idx="15">
                  <c:v>4070.2058823529419</c:v>
                </c:pt>
                <c:pt idx="16">
                  <c:v>4341.552941176471</c:v>
                </c:pt>
                <c:pt idx="17">
                  <c:v>4612.9000000000005</c:v>
                </c:pt>
                <c:pt idx="18">
                  <c:v>4884.2470588235301</c:v>
                </c:pt>
                <c:pt idx="19">
                  <c:v>5155.5941176470596</c:v>
                </c:pt>
                <c:pt idx="20">
                  <c:v>5426.9411764705892</c:v>
                </c:pt>
                <c:pt idx="21">
                  <c:v>5698.2882352941187</c:v>
                </c:pt>
                <c:pt idx="22">
                  <c:v>5969.6352941176483</c:v>
                </c:pt>
                <c:pt idx="23">
                  <c:v>6240.9823529411779</c:v>
                </c:pt>
                <c:pt idx="24">
                  <c:v>6512.3294117647074</c:v>
                </c:pt>
                <c:pt idx="25">
                  <c:v>6783.676470588237</c:v>
                </c:pt>
                <c:pt idx="26">
                  <c:v>7055.0235294117665</c:v>
                </c:pt>
                <c:pt idx="27">
                  <c:v>7326.3705882352961</c:v>
                </c:pt>
                <c:pt idx="28">
                  <c:v>7597.7176470588256</c:v>
                </c:pt>
                <c:pt idx="29">
                  <c:v>7869.0647058823552</c:v>
                </c:pt>
                <c:pt idx="30">
                  <c:v>8140.4117647058847</c:v>
                </c:pt>
                <c:pt idx="31">
                  <c:v>8411.7588235294133</c:v>
                </c:pt>
                <c:pt idx="32">
                  <c:v>8683.105882352942</c:v>
                </c:pt>
                <c:pt idx="33">
                  <c:v>8954.4529411764706</c:v>
                </c:pt>
                <c:pt idx="34">
                  <c:v>9225.7999999999993</c:v>
                </c:pt>
              </c:numCache>
            </c:numRef>
          </c:cat>
          <c:val>
            <c:numRef>
              <c:f>'Overall Metrics'!$K$2:$K$41</c:f>
              <c:numCache>
                <c:formatCode>General</c:formatCode>
                <c:ptCount val="40"/>
                <c:pt idx="0">
                  <c:v>106</c:v>
                </c:pt>
                <c:pt idx="1">
                  <c:v>6</c:v>
                </c:pt>
                <c:pt idx="2">
                  <c:v>4</c:v>
                </c:pt>
                <c:pt idx="3">
                  <c:v>3</c:v>
                </c:pt>
                <c:pt idx="4">
                  <c:v>0</c:v>
                </c:pt>
                <c:pt idx="5">
                  <c:v>1</c:v>
                </c:pt>
                <c:pt idx="6">
                  <c:v>2</c:v>
                </c:pt>
                <c:pt idx="7">
                  <c:v>0</c:v>
                </c:pt>
                <c:pt idx="8">
                  <c:v>0</c:v>
                </c:pt>
                <c:pt idx="9">
                  <c:v>1</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1</c:v>
                </c:pt>
              </c:numCache>
            </c:numRef>
          </c:val>
          <c:extLst>
            <c:ext xmlns:c16="http://schemas.microsoft.com/office/drawing/2014/chart" uri="{C3380CC4-5D6E-409C-BE32-E72D297353CC}">
              <c16:uniqueId val="{00000000-7005-4832-8166-866E13497CE7}"/>
            </c:ext>
          </c:extLst>
        </c:ser>
        <c:dLbls>
          <c:showLegendKey val="0"/>
          <c:showVal val="0"/>
          <c:showCatName val="0"/>
          <c:showSerName val="0"/>
          <c:showPercent val="0"/>
          <c:showBubbleSize val="0"/>
        </c:dLbls>
        <c:gapWidth val="0"/>
        <c:axId val="1190543776"/>
        <c:axId val="1190548128"/>
      </c:barChart>
      <c:catAx>
        <c:axId val="1190543776"/>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90548128"/>
        <c:crosses val="autoZero"/>
        <c:auto val="1"/>
        <c:lblAlgn val="ctr"/>
        <c:lblOffset val="100"/>
        <c:noMultiLvlLbl val="0"/>
      </c:catAx>
      <c:valAx>
        <c:axId val="119054812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37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9</c:v>
                </c:pt>
              </c:strCache>
            </c:strRef>
          </c:tx>
          <c:spPr>
            <a:solidFill>
              <a:schemeClr val="accent1"/>
            </a:solidFill>
          </c:spPr>
          <c:invertIfNegative val="0"/>
          <c:cat>
            <c:numRef>
              <c:f>'Overall Metrics'!$L$2:$L$41</c:f>
              <c:numCache>
                <c:formatCode>#,##0.00</c:formatCode>
                <c:ptCount val="40"/>
                <c:pt idx="0">
                  <c:v>0</c:v>
                </c:pt>
                <c:pt idx="1">
                  <c:v>1.4173647058823529E-2</c:v>
                </c:pt>
                <c:pt idx="2">
                  <c:v>2.8347294117647057E-2</c:v>
                </c:pt>
                <c:pt idx="3">
                  <c:v>4.2520941176470588E-2</c:v>
                </c:pt>
                <c:pt idx="4">
                  <c:v>5.6694588235294115E-2</c:v>
                </c:pt>
                <c:pt idx="5">
                  <c:v>7.0868235294117649E-2</c:v>
                </c:pt>
                <c:pt idx="6">
                  <c:v>8.5041882352941175E-2</c:v>
                </c:pt>
                <c:pt idx="7">
                  <c:v>9.9215529411764702E-2</c:v>
                </c:pt>
                <c:pt idx="8">
                  <c:v>0.11338917647058823</c:v>
                </c:pt>
                <c:pt idx="9">
                  <c:v>0.12756282352941176</c:v>
                </c:pt>
                <c:pt idx="10">
                  <c:v>0.1417364705882353</c:v>
                </c:pt>
                <c:pt idx="11">
                  <c:v>0.15591011764705884</c:v>
                </c:pt>
                <c:pt idx="12">
                  <c:v>0.17008376470588238</c:v>
                </c:pt>
                <c:pt idx="13">
                  <c:v>0.18425741176470592</c:v>
                </c:pt>
                <c:pt idx="14">
                  <c:v>0.19843105882352946</c:v>
                </c:pt>
                <c:pt idx="15">
                  <c:v>0.212604705882353</c:v>
                </c:pt>
                <c:pt idx="16">
                  <c:v>0.22677835294117654</c:v>
                </c:pt>
                <c:pt idx="17">
                  <c:v>0.24095200000000008</c:v>
                </c:pt>
                <c:pt idx="18">
                  <c:v>0.25512564705882362</c:v>
                </c:pt>
                <c:pt idx="19">
                  <c:v>0.26929929411764714</c:v>
                </c:pt>
                <c:pt idx="20">
                  <c:v>0.28347294117647065</c:v>
                </c:pt>
                <c:pt idx="21">
                  <c:v>0.29764658823529416</c:v>
                </c:pt>
                <c:pt idx="22">
                  <c:v>0.31182023529411768</c:v>
                </c:pt>
                <c:pt idx="23">
                  <c:v>0.32599388235294119</c:v>
                </c:pt>
                <c:pt idx="24">
                  <c:v>0.3401675294117647</c:v>
                </c:pt>
                <c:pt idx="25">
                  <c:v>0.35434117647058821</c:v>
                </c:pt>
                <c:pt idx="26">
                  <c:v>0.36851482352941173</c:v>
                </c:pt>
                <c:pt idx="27">
                  <c:v>0.38268847058823524</c:v>
                </c:pt>
                <c:pt idx="28">
                  <c:v>0.39686211764705875</c:v>
                </c:pt>
                <c:pt idx="29">
                  <c:v>0.41103576470588227</c:v>
                </c:pt>
                <c:pt idx="30">
                  <c:v>0.42520941176470578</c:v>
                </c:pt>
                <c:pt idx="31">
                  <c:v>0.43938305882352929</c:v>
                </c:pt>
                <c:pt idx="32">
                  <c:v>0.45355670588235281</c:v>
                </c:pt>
                <c:pt idx="33">
                  <c:v>0.46773035294117632</c:v>
                </c:pt>
                <c:pt idx="34">
                  <c:v>0.481904</c:v>
                </c:pt>
              </c:numCache>
            </c:numRef>
          </c:cat>
          <c:val>
            <c:numRef>
              <c:f>'Overall Metrics'!$M$2:$M$41</c:f>
              <c:numCache>
                <c:formatCode>General</c:formatCode>
                <c:ptCount val="40"/>
                <c:pt idx="0">
                  <c:v>9</c:v>
                </c:pt>
                <c:pt idx="1">
                  <c:v>1</c:v>
                </c:pt>
                <c:pt idx="2">
                  <c:v>7</c:v>
                </c:pt>
                <c:pt idx="3">
                  <c:v>0</c:v>
                </c:pt>
                <c:pt idx="4">
                  <c:v>1</c:v>
                </c:pt>
                <c:pt idx="5">
                  <c:v>0</c:v>
                </c:pt>
                <c:pt idx="6">
                  <c:v>0</c:v>
                </c:pt>
                <c:pt idx="7">
                  <c:v>0</c:v>
                </c:pt>
                <c:pt idx="8">
                  <c:v>0</c:v>
                </c:pt>
                <c:pt idx="9">
                  <c:v>0</c:v>
                </c:pt>
                <c:pt idx="10">
                  <c:v>0</c:v>
                </c:pt>
                <c:pt idx="11">
                  <c:v>2</c:v>
                </c:pt>
                <c:pt idx="12">
                  <c:v>0</c:v>
                </c:pt>
                <c:pt idx="13">
                  <c:v>6</c:v>
                </c:pt>
                <c:pt idx="14">
                  <c:v>2</c:v>
                </c:pt>
                <c:pt idx="15">
                  <c:v>0</c:v>
                </c:pt>
                <c:pt idx="16">
                  <c:v>27</c:v>
                </c:pt>
                <c:pt idx="17">
                  <c:v>28</c:v>
                </c:pt>
                <c:pt idx="18">
                  <c:v>4</c:v>
                </c:pt>
                <c:pt idx="19">
                  <c:v>0</c:v>
                </c:pt>
                <c:pt idx="20">
                  <c:v>0</c:v>
                </c:pt>
                <c:pt idx="21">
                  <c:v>5</c:v>
                </c:pt>
                <c:pt idx="22">
                  <c:v>22</c:v>
                </c:pt>
                <c:pt idx="23">
                  <c:v>5</c:v>
                </c:pt>
                <c:pt idx="24">
                  <c:v>3</c:v>
                </c:pt>
                <c:pt idx="25">
                  <c:v>1</c:v>
                </c:pt>
                <c:pt idx="26">
                  <c:v>0</c:v>
                </c:pt>
                <c:pt idx="27">
                  <c:v>0</c:v>
                </c:pt>
                <c:pt idx="28">
                  <c:v>0</c:v>
                </c:pt>
                <c:pt idx="29">
                  <c:v>0</c:v>
                </c:pt>
                <c:pt idx="30">
                  <c:v>0</c:v>
                </c:pt>
                <c:pt idx="31">
                  <c:v>0</c:v>
                </c:pt>
                <c:pt idx="32">
                  <c:v>0</c:v>
                </c:pt>
                <c:pt idx="33">
                  <c:v>0</c:v>
                </c:pt>
                <c:pt idx="34">
                  <c:v>1</c:v>
                </c:pt>
              </c:numCache>
            </c:numRef>
          </c:val>
          <c:extLst>
            <c:ext xmlns:c16="http://schemas.microsoft.com/office/drawing/2014/chart" uri="{C3380CC4-5D6E-409C-BE32-E72D297353CC}">
              <c16:uniqueId val="{00000000-2B29-4FE3-B711-BA6A2A9F052A}"/>
            </c:ext>
          </c:extLst>
        </c:ser>
        <c:dLbls>
          <c:showLegendKey val="0"/>
          <c:showVal val="0"/>
          <c:showCatName val="0"/>
          <c:showSerName val="0"/>
          <c:showPercent val="0"/>
          <c:showBubbleSize val="0"/>
        </c:dLbls>
        <c:gapWidth val="0"/>
        <c:axId val="1190536704"/>
        <c:axId val="1190549760"/>
      </c:barChart>
      <c:catAx>
        <c:axId val="1190536704"/>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90549760"/>
        <c:crosses val="autoZero"/>
        <c:auto val="1"/>
        <c:lblAlgn val="ctr"/>
        <c:lblOffset val="100"/>
        <c:noMultiLvlLbl val="0"/>
      </c:catAx>
      <c:valAx>
        <c:axId val="119054976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367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61</c:v>
                </c:pt>
              </c:strCache>
            </c:strRef>
          </c:tx>
          <c:spPr>
            <a:solidFill>
              <a:schemeClr val="accent1"/>
            </a:solidFill>
          </c:spPr>
          <c:invertIfNegative val="0"/>
          <c:cat>
            <c:numRef>
              <c:f>'Overall Metrics'!$N$2:$N$41</c:f>
              <c:numCache>
                <c:formatCode>#,##0.00</c:formatCode>
                <c:ptCount val="40"/>
                <c:pt idx="0">
                  <c:v>0</c:v>
                </c:pt>
                <c:pt idx="1">
                  <c:v>1.7801264705882353E-2</c:v>
                </c:pt>
                <c:pt idx="2">
                  <c:v>3.5602529411764706E-2</c:v>
                </c:pt>
                <c:pt idx="3">
                  <c:v>5.3403794117647063E-2</c:v>
                </c:pt>
                <c:pt idx="4">
                  <c:v>7.1205058823529413E-2</c:v>
                </c:pt>
                <c:pt idx="5">
                  <c:v>8.9006323529411763E-2</c:v>
                </c:pt>
                <c:pt idx="6">
                  <c:v>0.10680758823529411</c:v>
                </c:pt>
                <c:pt idx="7">
                  <c:v>0.12460885294117646</c:v>
                </c:pt>
                <c:pt idx="8">
                  <c:v>0.14241011764705883</c:v>
                </c:pt>
                <c:pt idx="9">
                  <c:v>0.16021138235294119</c:v>
                </c:pt>
                <c:pt idx="10">
                  <c:v>0.17801264705882355</c:v>
                </c:pt>
                <c:pt idx="11">
                  <c:v>0.19581391176470592</c:v>
                </c:pt>
                <c:pt idx="12">
                  <c:v>0.21361517647058828</c:v>
                </c:pt>
                <c:pt idx="13">
                  <c:v>0.23141644117647064</c:v>
                </c:pt>
                <c:pt idx="14">
                  <c:v>0.24921770588235301</c:v>
                </c:pt>
                <c:pt idx="15">
                  <c:v>0.26701897058823537</c:v>
                </c:pt>
                <c:pt idx="16">
                  <c:v>0.28482023529411771</c:v>
                </c:pt>
                <c:pt idx="17">
                  <c:v>0.30262150000000004</c:v>
                </c:pt>
                <c:pt idx="18">
                  <c:v>0.32042276470588238</c:v>
                </c:pt>
                <c:pt idx="19">
                  <c:v>0.33822402941176472</c:v>
                </c:pt>
                <c:pt idx="20">
                  <c:v>0.35602529411764705</c:v>
                </c:pt>
                <c:pt idx="21">
                  <c:v>0.37382655882352939</c:v>
                </c:pt>
                <c:pt idx="22">
                  <c:v>0.39162782352941172</c:v>
                </c:pt>
                <c:pt idx="23">
                  <c:v>0.40942908823529406</c:v>
                </c:pt>
                <c:pt idx="24">
                  <c:v>0.42723035294117639</c:v>
                </c:pt>
                <c:pt idx="25">
                  <c:v>0.44503161764705873</c:v>
                </c:pt>
                <c:pt idx="26">
                  <c:v>0.46283288235294107</c:v>
                </c:pt>
                <c:pt idx="27">
                  <c:v>0.4806341470588234</c:v>
                </c:pt>
                <c:pt idx="28">
                  <c:v>0.49843541176470574</c:v>
                </c:pt>
                <c:pt idx="29">
                  <c:v>0.51623667647058813</c:v>
                </c:pt>
                <c:pt idx="30">
                  <c:v>0.53403794117647052</c:v>
                </c:pt>
                <c:pt idx="31">
                  <c:v>0.55183920588235291</c:v>
                </c:pt>
                <c:pt idx="32">
                  <c:v>0.5696404705882353</c:v>
                </c:pt>
                <c:pt idx="33">
                  <c:v>0.5874417352941177</c:v>
                </c:pt>
                <c:pt idx="34">
                  <c:v>0.60524299999999998</c:v>
                </c:pt>
              </c:numCache>
            </c:numRef>
          </c:cat>
          <c:val>
            <c:numRef>
              <c:f>'Overall Metrics'!$O$2:$O$41</c:f>
              <c:numCache>
                <c:formatCode>General</c:formatCode>
                <c:ptCount val="40"/>
                <c:pt idx="0">
                  <c:v>61</c:v>
                </c:pt>
                <c:pt idx="1">
                  <c:v>18</c:v>
                </c:pt>
                <c:pt idx="2">
                  <c:v>4</c:v>
                </c:pt>
                <c:pt idx="3">
                  <c:v>4</c:v>
                </c:pt>
                <c:pt idx="4">
                  <c:v>8</c:v>
                </c:pt>
                <c:pt idx="5">
                  <c:v>9</c:v>
                </c:pt>
                <c:pt idx="6">
                  <c:v>6</c:v>
                </c:pt>
                <c:pt idx="7">
                  <c:v>6</c:v>
                </c:pt>
                <c:pt idx="8">
                  <c:v>2</c:v>
                </c:pt>
                <c:pt idx="9">
                  <c:v>1</c:v>
                </c:pt>
                <c:pt idx="10">
                  <c:v>1</c:v>
                </c:pt>
                <c:pt idx="11">
                  <c:v>2</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1</c:v>
                </c:pt>
              </c:numCache>
            </c:numRef>
          </c:val>
          <c:extLst>
            <c:ext xmlns:c16="http://schemas.microsoft.com/office/drawing/2014/chart" uri="{C3380CC4-5D6E-409C-BE32-E72D297353CC}">
              <c16:uniqueId val="{00000000-9F96-4E6E-A8D0-00A7232ED2B1}"/>
            </c:ext>
          </c:extLst>
        </c:ser>
        <c:dLbls>
          <c:showLegendKey val="0"/>
          <c:showVal val="0"/>
          <c:showCatName val="0"/>
          <c:showSerName val="0"/>
          <c:showPercent val="0"/>
          <c:showBubbleSize val="0"/>
        </c:dLbls>
        <c:gapWidth val="0"/>
        <c:axId val="1190544320"/>
        <c:axId val="1190548672"/>
      </c:barChart>
      <c:catAx>
        <c:axId val="1190544320"/>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90548672"/>
        <c:crosses val="autoZero"/>
        <c:auto val="1"/>
        <c:lblAlgn val="ctr"/>
        <c:lblOffset val="100"/>
        <c:noMultiLvlLbl val="0"/>
      </c:catAx>
      <c:valAx>
        <c:axId val="119054867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432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74</c:v>
                </c:pt>
              </c:strCache>
            </c:strRef>
          </c:tx>
          <c:spPr>
            <a:solidFill>
              <a:schemeClr val="accent1"/>
            </a:solidFill>
          </c:spPr>
          <c:invertIfNegative val="0"/>
          <c:cat>
            <c:numRef>
              <c:f>'Overall Metrics'!$R$2:$R$41</c:f>
              <c:numCache>
                <c:formatCode>#,##0.00</c:formatCode>
                <c:ptCount val="40"/>
                <c:pt idx="0">
                  <c:v>0</c:v>
                </c:pt>
                <c:pt idx="1">
                  <c:v>2.9411764705882353E-2</c:v>
                </c:pt>
                <c:pt idx="2">
                  <c:v>5.8823529411764705E-2</c:v>
                </c:pt>
                <c:pt idx="3">
                  <c:v>8.8235294117647051E-2</c:v>
                </c:pt>
                <c:pt idx="4">
                  <c:v>0.11764705882352941</c:v>
                </c:pt>
                <c:pt idx="5">
                  <c:v>0.14705882352941177</c:v>
                </c:pt>
                <c:pt idx="6">
                  <c:v>0.17647058823529413</c:v>
                </c:pt>
                <c:pt idx="7">
                  <c:v>0.20588235294117649</c:v>
                </c:pt>
                <c:pt idx="8">
                  <c:v>0.23529411764705885</c:v>
                </c:pt>
                <c:pt idx="9">
                  <c:v>0.26470588235294118</c:v>
                </c:pt>
                <c:pt idx="10">
                  <c:v>0.29411764705882354</c:v>
                </c:pt>
                <c:pt idx="11">
                  <c:v>0.3235294117647059</c:v>
                </c:pt>
                <c:pt idx="12">
                  <c:v>0.35294117647058826</c:v>
                </c:pt>
                <c:pt idx="13">
                  <c:v>0.38235294117647062</c:v>
                </c:pt>
                <c:pt idx="14">
                  <c:v>0.41176470588235298</c:v>
                </c:pt>
                <c:pt idx="15">
                  <c:v>0.44117647058823534</c:v>
                </c:pt>
                <c:pt idx="16">
                  <c:v>0.4705882352941177</c:v>
                </c:pt>
                <c:pt idx="17">
                  <c:v>0.5</c:v>
                </c:pt>
                <c:pt idx="18">
                  <c:v>0.52941176470588236</c:v>
                </c:pt>
                <c:pt idx="19">
                  <c:v>0.55882352941176472</c:v>
                </c:pt>
                <c:pt idx="20">
                  <c:v>0.58823529411764708</c:v>
                </c:pt>
                <c:pt idx="21">
                  <c:v>0.61764705882352944</c:v>
                </c:pt>
                <c:pt idx="22">
                  <c:v>0.6470588235294118</c:v>
                </c:pt>
                <c:pt idx="23">
                  <c:v>0.67647058823529416</c:v>
                </c:pt>
                <c:pt idx="24">
                  <c:v>0.70588235294117652</c:v>
                </c:pt>
                <c:pt idx="25">
                  <c:v>0.73529411764705888</c:v>
                </c:pt>
                <c:pt idx="26">
                  <c:v>0.76470588235294124</c:v>
                </c:pt>
                <c:pt idx="27">
                  <c:v>0.79411764705882359</c:v>
                </c:pt>
                <c:pt idx="28">
                  <c:v>0.82352941176470595</c:v>
                </c:pt>
                <c:pt idx="29">
                  <c:v>0.85294117647058831</c:v>
                </c:pt>
                <c:pt idx="30">
                  <c:v>0.88235294117647067</c:v>
                </c:pt>
                <c:pt idx="31">
                  <c:v>0.91176470588235303</c:v>
                </c:pt>
                <c:pt idx="32">
                  <c:v>0.94117647058823539</c:v>
                </c:pt>
                <c:pt idx="33">
                  <c:v>0.97058823529411775</c:v>
                </c:pt>
                <c:pt idx="34">
                  <c:v>1</c:v>
                </c:pt>
              </c:numCache>
            </c:numRef>
          </c:cat>
          <c:val>
            <c:numRef>
              <c:f>'Overall Metrics'!$S$2:$S$41</c:f>
              <c:numCache>
                <c:formatCode>General</c:formatCode>
                <c:ptCount val="40"/>
                <c:pt idx="0">
                  <c:v>74</c:v>
                </c:pt>
                <c:pt idx="1">
                  <c:v>2</c:v>
                </c:pt>
                <c:pt idx="2">
                  <c:v>3</c:v>
                </c:pt>
                <c:pt idx="3">
                  <c:v>1</c:v>
                </c:pt>
                <c:pt idx="4">
                  <c:v>1</c:v>
                </c:pt>
                <c:pt idx="5">
                  <c:v>7</c:v>
                </c:pt>
                <c:pt idx="6">
                  <c:v>0</c:v>
                </c:pt>
                <c:pt idx="7">
                  <c:v>0</c:v>
                </c:pt>
                <c:pt idx="8">
                  <c:v>0</c:v>
                </c:pt>
                <c:pt idx="9">
                  <c:v>2</c:v>
                </c:pt>
                <c:pt idx="10">
                  <c:v>0</c:v>
                </c:pt>
                <c:pt idx="11">
                  <c:v>9</c:v>
                </c:pt>
                <c:pt idx="12">
                  <c:v>0</c:v>
                </c:pt>
                <c:pt idx="13">
                  <c:v>0</c:v>
                </c:pt>
                <c:pt idx="14">
                  <c:v>0</c:v>
                </c:pt>
                <c:pt idx="15">
                  <c:v>0</c:v>
                </c:pt>
                <c:pt idx="16">
                  <c:v>0</c:v>
                </c:pt>
                <c:pt idx="17">
                  <c:v>11</c:v>
                </c:pt>
                <c:pt idx="18">
                  <c:v>0</c:v>
                </c:pt>
                <c:pt idx="19">
                  <c:v>0</c:v>
                </c:pt>
                <c:pt idx="20">
                  <c:v>0</c:v>
                </c:pt>
                <c:pt idx="21">
                  <c:v>0</c:v>
                </c:pt>
                <c:pt idx="22">
                  <c:v>1</c:v>
                </c:pt>
                <c:pt idx="23">
                  <c:v>0</c:v>
                </c:pt>
                <c:pt idx="24">
                  <c:v>0</c:v>
                </c:pt>
                <c:pt idx="25">
                  <c:v>0</c:v>
                </c:pt>
                <c:pt idx="26">
                  <c:v>0</c:v>
                </c:pt>
                <c:pt idx="27">
                  <c:v>0</c:v>
                </c:pt>
                <c:pt idx="28">
                  <c:v>2</c:v>
                </c:pt>
                <c:pt idx="29">
                  <c:v>0</c:v>
                </c:pt>
                <c:pt idx="30">
                  <c:v>0</c:v>
                </c:pt>
                <c:pt idx="31">
                  <c:v>0</c:v>
                </c:pt>
                <c:pt idx="32">
                  <c:v>0</c:v>
                </c:pt>
                <c:pt idx="33">
                  <c:v>0</c:v>
                </c:pt>
                <c:pt idx="34">
                  <c:v>11</c:v>
                </c:pt>
              </c:numCache>
            </c:numRef>
          </c:val>
          <c:extLst>
            <c:ext xmlns:c16="http://schemas.microsoft.com/office/drawing/2014/chart" uri="{C3380CC4-5D6E-409C-BE32-E72D297353CC}">
              <c16:uniqueId val="{00000000-100C-405C-B4AE-E641E0FC56FB}"/>
            </c:ext>
          </c:extLst>
        </c:ser>
        <c:dLbls>
          <c:showLegendKey val="0"/>
          <c:showVal val="0"/>
          <c:showCatName val="0"/>
          <c:showSerName val="0"/>
          <c:showPercent val="0"/>
          <c:showBubbleSize val="0"/>
        </c:dLbls>
        <c:gapWidth val="0"/>
        <c:axId val="1190545408"/>
        <c:axId val="1190545952"/>
      </c:barChart>
      <c:catAx>
        <c:axId val="1190545408"/>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90545952"/>
        <c:crosses val="autoZero"/>
        <c:auto val="1"/>
        <c:lblAlgn val="ctr"/>
        <c:lblOffset val="100"/>
        <c:noMultiLvlLbl val="0"/>
      </c:catAx>
      <c:valAx>
        <c:axId val="119054595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540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71</c:v>
                </c:pt>
              </c:strCache>
            </c:strRef>
          </c:tx>
          <c:spPr>
            <a:solidFill>
              <a:schemeClr val="accent1"/>
            </a:solidFill>
          </c:spPr>
          <c:invertIfNegative val="0"/>
          <c:cat>
            <c:numRef>
              <c:f>'Overall Metrics'!$R$2:$R$41</c:f>
              <c:numCache>
                <c:formatCode>#,##0.00</c:formatCode>
                <c:ptCount val="40"/>
                <c:pt idx="0">
                  <c:v>0</c:v>
                </c:pt>
                <c:pt idx="1">
                  <c:v>2.9411764705882353E-2</c:v>
                </c:pt>
                <c:pt idx="2">
                  <c:v>5.8823529411764705E-2</c:v>
                </c:pt>
                <c:pt idx="3">
                  <c:v>8.8235294117647051E-2</c:v>
                </c:pt>
                <c:pt idx="4">
                  <c:v>0.11764705882352941</c:v>
                </c:pt>
                <c:pt idx="5">
                  <c:v>0.14705882352941177</c:v>
                </c:pt>
                <c:pt idx="6">
                  <c:v>0.17647058823529413</c:v>
                </c:pt>
                <c:pt idx="7">
                  <c:v>0.20588235294117649</c:v>
                </c:pt>
                <c:pt idx="8">
                  <c:v>0.23529411764705885</c:v>
                </c:pt>
                <c:pt idx="9">
                  <c:v>0.26470588235294118</c:v>
                </c:pt>
                <c:pt idx="10">
                  <c:v>0.29411764705882354</c:v>
                </c:pt>
                <c:pt idx="11">
                  <c:v>0.3235294117647059</c:v>
                </c:pt>
                <c:pt idx="12">
                  <c:v>0.35294117647058826</c:v>
                </c:pt>
                <c:pt idx="13">
                  <c:v>0.38235294117647062</c:v>
                </c:pt>
                <c:pt idx="14">
                  <c:v>0.41176470588235298</c:v>
                </c:pt>
                <c:pt idx="15">
                  <c:v>0.44117647058823534</c:v>
                </c:pt>
                <c:pt idx="16">
                  <c:v>0.4705882352941177</c:v>
                </c:pt>
                <c:pt idx="17">
                  <c:v>0.5</c:v>
                </c:pt>
                <c:pt idx="18">
                  <c:v>0.52941176470588236</c:v>
                </c:pt>
                <c:pt idx="19">
                  <c:v>0.55882352941176472</c:v>
                </c:pt>
                <c:pt idx="20">
                  <c:v>0.58823529411764708</c:v>
                </c:pt>
                <c:pt idx="21">
                  <c:v>0.61764705882352944</c:v>
                </c:pt>
                <c:pt idx="22">
                  <c:v>0.6470588235294118</c:v>
                </c:pt>
                <c:pt idx="23">
                  <c:v>0.67647058823529416</c:v>
                </c:pt>
                <c:pt idx="24">
                  <c:v>0.70588235294117652</c:v>
                </c:pt>
                <c:pt idx="25">
                  <c:v>0.73529411764705888</c:v>
                </c:pt>
                <c:pt idx="26">
                  <c:v>0.76470588235294124</c:v>
                </c:pt>
                <c:pt idx="27">
                  <c:v>0.79411764705882359</c:v>
                </c:pt>
                <c:pt idx="28">
                  <c:v>0.82352941176470595</c:v>
                </c:pt>
                <c:pt idx="29">
                  <c:v>0.85294117647058831</c:v>
                </c:pt>
                <c:pt idx="30">
                  <c:v>0.88235294117647067</c:v>
                </c:pt>
                <c:pt idx="31">
                  <c:v>0.91176470588235303</c:v>
                </c:pt>
                <c:pt idx="32">
                  <c:v>0.94117647058823539</c:v>
                </c:pt>
                <c:pt idx="33">
                  <c:v>0.97058823529411775</c:v>
                </c:pt>
                <c:pt idx="34">
                  <c:v>1</c:v>
                </c:pt>
              </c:numCache>
            </c:numRef>
          </c:cat>
          <c:val>
            <c:numRef>
              <c:f>'Overall Metrics'!$Q$2:$Q$41</c:f>
              <c:numCache>
                <c:formatCode>General</c:formatCode>
                <c:ptCount val="40"/>
                <c:pt idx="0">
                  <c:v>71</c:v>
                </c:pt>
                <c:pt idx="1">
                  <c:v>16</c:v>
                </c:pt>
                <c:pt idx="2">
                  <c:v>7</c:v>
                </c:pt>
                <c:pt idx="3">
                  <c:v>5</c:v>
                </c:pt>
                <c:pt idx="4">
                  <c:v>5</c:v>
                </c:pt>
                <c:pt idx="5">
                  <c:v>4</c:v>
                </c:pt>
                <c:pt idx="6">
                  <c:v>4</c:v>
                </c:pt>
                <c:pt idx="7">
                  <c:v>1</c:v>
                </c:pt>
                <c:pt idx="8">
                  <c:v>2</c:v>
                </c:pt>
                <c:pt idx="9">
                  <c:v>0</c:v>
                </c:pt>
                <c:pt idx="10">
                  <c:v>1</c:v>
                </c:pt>
                <c:pt idx="11">
                  <c:v>0</c:v>
                </c:pt>
                <c:pt idx="12">
                  <c:v>1</c:v>
                </c:pt>
                <c:pt idx="13">
                  <c:v>1</c:v>
                </c:pt>
                <c:pt idx="14">
                  <c:v>0</c:v>
                </c:pt>
                <c:pt idx="15">
                  <c:v>1</c:v>
                </c:pt>
                <c:pt idx="16">
                  <c:v>1</c:v>
                </c:pt>
                <c:pt idx="17">
                  <c:v>0</c:v>
                </c:pt>
                <c:pt idx="18">
                  <c:v>2</c:v>
                </c:pt>
                <c:pt idx="19">
                  <c:v>0</c:v>
                </c:pt>
                <c:pt idx="20">
                  <c:v>0</c:v>
                </c:pt>
                <c:pt idx="21">
                  <c:v>1</c:v>
                </c:pt>
                <c:pt idx="22">
                  <c:v>0</c:v>
                </c:pt>
                <c:pt idx="23">
                  <c:v>0</c:v>
                </c:pt>
                <c:pt idx="24">
                  <c:v>0</c:v>
                </c:pt>
                <c:pt idx="25">
                  <c:v>0</c:v>
                </c:pt>
                <c:pt idx="26">
                  <c:v>0</c:v>
                </c:pt>
                <c:pt idx="27">
                  <c:v>0</c:v>
                </c:pt>
                <c:pt idx="28">
                  <c:v>0</c:v>
                </c:pt>
                <c:pt idx="29">
                  <c:v>0</c:v>
                </c:pt>
                <c:pt idx="30">
                  <c:v>0</c:v>
                </c:pt>
                <c:pt idx="31">
                  <c:v>0</c:v>
                </c:pt>
                <c:pt idx="32">
                  <c:v>0</c:v>
                </c:pt>
                <c:pt idx="33">
                  <c:v>0</c:v>
                </c:pt>
                <c:pt idx="34">
                  <c:v>1</c:v>
                </c:pt>
              </c:numCache>
            </c:numRef>
          </c:val>
          <c:extLst>
            <c:ext xmlns:c16="http://schemas.microsoft.com/office/drawing/2014/chart" uri="{C3380CC4-5D6E-409C-BE32-E72D297353CC}">
              <c16:uniqueId val="{00000000-EA44-47D1-BBF9-97DC8435F040}"/>
            </c:ext>
          </c:extLst>
        </c:ser>
        <c:dLbls>
          <c:showLegendKey val="0"/>
          <c:showVal val="0"/>
          <c:showCatName val="0"/>
          <c:showSerName val="0"/>
          <c:showPercent val="0"/>
          <c:showBubbleSize val="0"/>
        </c:dLbls>
        <c:gapWidth val="0"/>
        <c:axId val="1190546496"/>
        <c:axId val="1190547040"/>
      </c:barChart>
      <c:catAx>
        <c:axId val="1190546496"/>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90547040"/>
        <c:crosses val="autoZero"/>
        <c:auto val="1"/>
        <c:lblAlgn val="ctr"/>
        <c:lblOffset val="100"/>
        <c:noMultiLvlLbl val="0"/>
      </c:catAx>
      <c:valAx>
        <c:axId val="119054704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649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Metrics'!$U$2:$U$41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F08B-4814-B0A9-395FF6D560FA}"/>
            </c:ext>
          </c:extLst>
        </c:ser>
        <c:dLbls>
          <c:showLegendKey val="0"/>
          <c:showVal val="0"/>
          <c:showCatName val="0"/>
          <c:showSerName val="0"/>
          <c:showPercent val="0"/>
          <c:showBubbleSize val="0"/>
        </c:dLbls>
        <c:gapWidth val="0"/>
        <c:axId val="1190549216"/>
        <c:axId val="1190550304"/>
      </c:barChart>
      <c:catAx>
        <c:axId val="1190549216"/>
        <c:scaling>
          <c:orientation val="minMax"/>
        </c:scaling>
        <c:delete val="1"/>
        <c:axPos val="b"/>
        <c:numFmt formatCode="#,##0.00" sourceLinked="1"/>
        <c:majorTickMark val="out"/>
        <c:minorTickMark val="none"/>
        <c:tickLblPos val="none"/>
        <c:crossAx val="1190550304"/>
        <c:crosses val="autoZero"/>
        <c:auto val="1"/>
        <c:lblAlgn val="ctr"/>
        <c:lblOffset val="100"/>
        <c:noMultiLvlLbl val="0"/>
      </c:catAx>
      <c:valAx>
        <c:axId val="1190550304"/>
        <c:scaling>
          <c:orientation val="minMax"/>
        </c:scaling>
        <c:delete val="1"/>
        <c:axPos val="l"/>
        <c:numFmt formatCode="General" sourceLinked="1"/>
        <c:majorTickMark val="out"/>
        <c:minorTickMark val="none"/>
        <c:tickLblPos val="none"/>
        <c:crossAx val="1190549216"/>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-1</xdr:colOff>
      <xdr:row>65</xdr:row>
      <xdr:rowOff>38100</xdr:rowOff>
    </xdr:from>
    <xdr:to>
      <xdr:col>1</xdr:col>
      <xdr:colOff>918209</xdr:colOff>
      <xdr:row>72</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79</xdr:row>
      <xdr:rowOff>38100</xdr:rowOff>
    </xdr:from>
    <xdr:to>
      <xdr:col>1</xdr:col>
      <xdr:colOff>918209</xdr:colOff>
      <xdr:row>86</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93</xdr:row>
      <xdr:rowOff>28575</xdr:rowOff>
    </xdr:from>
    <xdr:to>
      <xdr:col>1</xdr:col>
      <xdr:colOff>918209</xdr:colOff>
      <xdr:row>100</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107</xdr:row>
      <xdr:rowOff>9525</xdr:rowOff>
    </xdr:from>
    <xdr:to>
      <xdr:col>1</xdr:col>
      <xdr:colOff>918210</xdr:colOff>
      <xdr:row>114</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121</xdr:row>
      <xdr:rowOff>19050</xdr:rowOff>
    </xdr:from>
    <xdr:to>
      <xdr:col>2</xdr:col>
      <xdr:colOff>0</xdr:colOff>
      <xdr:row>128</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135</xdr:row>
      <xdr:rowOff>19050</xdr:rowOff>
    </xdr:from>
    <xdr:to>
      <xdr:col>1</xdr:col>
      <xdr:colOff>918210</xdr:colOff>
      <xdr:row>142</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163</xdr:row>
      <xdr:rowOff>9525</xdr:rowOff>
    </xdr:from>
    <xdr:to>
      <xdr:col>1</xdr:col>
      <xdr:colOff>918210</xdr:colOff>
      <xdr:row>170</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149</xdr:row>
      <xdr:rowOff>0</xdr:rowOff>
    </xdr:from>
    <xdr:to>
      <xdr:col>1</xdr:col>
      <xdr:colOff>918210</xdr:colOff>
      <xdr:row>156</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127000</xdr:colOff>
      <xdr:row>0</xdr:row>
      <xdr:rowOff>127000</xdr:rowOff>
    </xdr:from>
    <xdr:to>
      <xdr:col>14</xdr:col>
      <xdr:colOff>381000</xdr:colOff>
      <xdr:row>20</xdr:row>
      <xdr:rowOff>127000</xdr:rowOff>
    </xdr:to>
    <xdr:graphicFrame macro="">
      <xdr:nvGraphicFramePr>
        <xdr:cNvPr id="2" name="Chart 1">
          <a:extLst>
            <a:ext uri="{FF2B5EF4-FFF2-40B4-BE49-F238E27FC236}">
              <a16:creationId xmlns:a16="http://schemas.microsoft.com/office/drawing/2014/main" id="{1E58ADF2-3F67-44DC-894E-AF8C84C4CD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25400</xdr:colOff>
      <xdr:row>22</xdr:row>
      <xdr:rowOff>0</xdr:rowOff>
    </xdr:from>
    <xdr:to>
      <xdr:col>7</xdr:col>
      <xdr:colOff>76200</xdr:colOff>
      <xdr:row>28</xdr:row>
      <xdr:rowOff>127000</xdr:rowOff>
    </xdr:to>
    <mc:AlternateContent xmlns:mc="http://schemas.openxmlformats.org/markup-compatibility/2006">
      <mc:Choice xmlns:a14="http://schemas.microsoft.com/office/drawing/2010/main" Requires="a14">
        <xdr:graphicFrame macro="">
          <xdr:nvGraphicFramePr>
            <xdr:cNvPr id="3" name="Relationship">
              <a:extLst>
                <a:ext uri="{FF2B5EF4-FFF2-40B4-BE49-F238E27FC236}">
                  <a16:creationId xmlns:a16="http://schemas.microsoft.com/office/drawing/2014/main" id="{831A1A09-4A4B-422E-B4E5-03E4F2CC964D}"/>
                </a:ext>
              </a:extLst>
            </xdr:cNvPr>
            <xdr:cNvGraphicFramePr/>
          </xdr:nvGraphicFramePr>
          <xdr:xfrm>
            <a:off x="0" y="0"/>
            <a:ext cx="0" cy="0"/>
          </xdr:xfrm>
          <a:graphic>
            <a:graphicData uri="http://schemas.microsoft.com/office/drawing/2010/slicer">
              <sle:slicer xmlns:sle="http://schemas.microsoft.com/office/drawing/2010/slicer" name="Relationship"/>
            </a:graphicData>
          </a:graphic>
        </xdr:graphicFrame>
      </mc:Choice>
      <mc:Fallback>
        <xdr:sp macro="" textlink="">
          <xdr:nvSpPr>
            <xdr:cNvPr id="0" name=""/>
            <xdr:cNvSpPr>
              <a:spLocks noTextEdit="1"/>
            </xdr:cNvSpPr>
          </xdr:nvSpPr>
          <xdr:spPr>
            <a:xfrm>
              <a:off x="4445000" y="4191000"/>
              <a:ext cx="1270000" cy="127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139700</xdr:colOff>
      <xdr:row>22</xdr:row>
      <xdr:rowOff>0</xdr:rowOff>
    </xdr:from>
    <xdr:to>
      <xdr:col>9</xdr:col>
      <xdr:colOff>190500</xdr:colOff>
      <xdr:row>28</xdr:row>
      <xdr:rowOff>127000</xdr:rowOff>
    </xdr:to>
    <mc:AlternateContent xmlns:mc="http://schemas.openxmlformats.org/markup-compatibility/2006">
      <mc:Choice xmlns:a14="http://schemas.microsoft.com/office/drawing/2010/main" Requires="a14">
        <xdr:graphicFrame macro="">
          <xdr:nvGraphicFramePr>
            <xdr:cNvPr id="4" name="Hashtags in Tweet">
              <a:extLst>
                <a:ext uri="{FF2B5EF4-FFF2-40B4-BE49-F238E27FC236}">
                  <a16:creationId xmlns:a16="http://schemas.microsoft.com/office/drawing/2014/main" id="{9C216681-1483-4033-9516-14D5CC9E83A1}"/>
                </a:ext>
              </a:extLst>
            </xdr:cNvPr>
            <xdr:cNvGraphicFramePr/>
          </xdr:nvGraphicFramePr>
          <xdr:xfrm>
            <a:off x="0" y="0"/>
            <a:ext cx="0" cy="0"/>
          </xdr:xfrm>
          <a:graphic>
            <a:graphicData uri="http://schemas.microsoft.com/office/drawing/2010/slicer">
              <sle:slicer xmlns:sle="http://schemas.microsoft.com/office/drawing/2010/slicer" name="Hashtags in Tweet"/>
            </a:graphicData>
          </a:graphic>
        </xdr:graphicFrame>
      </mc:Choice>
      <mc:Fallback>
        <xdr:sp macro="" textlink="">
          <xdr:nvSpPr>
            <xdr:cNvPr id="0" name=""/>
            <xdr:cNvSpPr>
              <a:spLocks noTextEdit="1"/>
            </xdr:cNvSpPr>
          </xdr:nvSpPr>
          <xdr:spPr>
            <a:xfrm>
              <a:off x="5778500" y="4191000"/>
              <a:ext cx="1270000" cy="127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faultProfileUser" refreshedDate="45235.707405208334" createdVersion="3" refreshedVersion="6" minRefreshableVersion="3" recordCount="129" xr:uid="{D93B18EF-9C01-41AB-8D68-B5070B61AB62}">
  <cacheSource type="worksheet">
    <worksheetSource ref="A2:BU131" sheet="Time Series Edges"/>
  </cacheSource>
  <cacheFields count="76">
    <cacheField name="Vertex 1" numFmtId="49">
      <sharedItems/>
    </cacheField>
    <cacheField name="Vertex 2" numFmtId="49">
      <sharedItems/>
    </cacheField>
    <cacheField name="Color" numFmtId="0">
      <sharedItems containsNonDate="0" containsString="0" containsBlank="1"/>
    </cacheField>
    <cacheField name="Width" numFmtId="164">
      <sharedItems containsNonDate="0" containsString="0" containsBlank="1"/>
    </cacheField>
    <cacheField name="Style" numFmtId="0">
      <sharedItems containsNonDate="0" containsString="0" containsBlank="1"/>
    </cacheField>
    <cacheField name="Opacity" numFmtId="1">
      <sharedItems containsNonDate="0" containsString="0" containsBlank="1"/>
    </cacheField>
    <cacheField name="Visibility" numFmtId="0">
      <sharedItems containsNonDate="0" containsString="0" containsBlank="1"/>
    </cacheField>
    <cacheField name="Label" numFmtId="49">
      <sharedItems containsNonDate="0" containsString="0" containsBlank="1"/>
    </cacheField>
    <cacheField name="Label Text Color" numFmtId="0">
      <sharedItems containsNonDate="0" containsString="0" containsBlank="1"/>
    </cacheField>
    <cacheField name="Label Font Size" numFmtId="0">
      <sharedItems containsNonDate="0" containsString="0" containsBlank="1"/>
    </cacheField>
    <cacheField name="Reciprocated?" numFmtId="0">
      <sharedItems/>
    </cacheField>
    <cacheField name="ID" numFmtId="0">
      <sharedItems containsSemiMixedTypes="0" containsString="0" containsNumber="1" containsInteger="1" minValue="3" maxValue="294"/>
    </cacheField>
    <cacheField name="Dynamic Filter" numFmtId="0">
      <sharedItems containsNonDate="0" containsString="0" containsBlank="1"/>
    </cacheField>
    <cacheField name="Add Your Own Columns Here" numFmtId="0">
      <sharedItems containsNonDate="0" containsString="0" containsBlank="1"/>
    </cacheField>
    <cacheField name="Relationship" numFmtId="0">
      <sharedItems count="7">
        <s v="MentionsInQuote"/>
        <s v="Retweet"/>
        <s v="MentionsInRetweet"/>
        <s v="Mentions"/>
        <s v="MentionsInReplyTo"/>
        <s v="Tweet"/>
        <s v="Replies to"/>
      </sharedItems>
    </cacheField>
    <cacheField name="Relationship Date (UTC)" numFmtId="22">
      <sharedItems containsSemiMixedTypes="0" containsNonDate="0" containsDate="1" containsString="0" minDate="2023-03-08T08:54:52" maxDate="2023-11-05T09:55:12"/>
    </cacheField>
    <cacheField name="Tweet" numFmtId="0">
      <sharedItems longText="1"/>
    </cacheField>
    <cacheField name="Retweet Count" numFmtId="0">
      <sharedItems containsSemiMixedTypes="0" containsString="0" containsNumber="1" containsInteger="1" minValue="0" maxValue="57571"/>
    </cacheField>
    <cacheField name="Favorite Count" numFmtId="0">
      <sharedItems containsSemiMixedTypes="0" containsString="0" containsNumber="1" containsInteger="1" minValue="0" maxValue="134613"/>
    </cacheField>
    <cacheField name="Reply Count" numFmtId="0">
      <sharedItems containsSemiMixedTypes="0" containsString="0" containsNumber="1" containsInteger="1" minValue="0" maxValue="474"/>
    </cacheField>
    <cacheField name="Quote Count" numFmtId="0">
      <sharedItems containsSemiMixedTypes="0" containsString="0" containsNumber="1" containsInteger="1" minValue="0" maxValue="2433"/>
    </cacheField>
    <cacheField name="Impression Count" numFmtId="0">
      <sharedItems containsString="0" containsBlank="1" containsNumber="1" containsInteger="1" minValue="3" maxValue="20869064"/>
    </cacheField>
    <cacheField name="Hashtags in Tweet" numFmtId="0">
      <sharedItems containsBlank="1" count="28">
        <m/>
        <s v="ica24"/>
        <s v="teamnewhouse"/>
        <s v="flagship"/>
        <s v="ica24 peerreview"/>
        <s v="jobalerts"/>
        <s v="prprofchatcoffeetalk"/>
        <s v="jobalert"/>
        <s v="prprofchatcoffeetalk prprofchat prprof smprof aejmc aejmcprd"/>
        <s v="prprofchat"/>
        <s v="newsletter aejmc2023 aejmcprd"/>
        <s v="prprofs prprofchat"/>
        <s v="teachingtips prprofchat academicexcellence feedbackforstudent"/>
        <s v="aejmcjobs ad jobad"/>
        <s v="medialiteracy"/>
        <s v="toppaper brutality racial"/>
        <s v="toppaper"/>
        <s v="accuracy trust news spoiler"/>
        <s v="toppaper brutality racial georgefloyd alternativemetrics"/>
        <s v="muslim"/>
        <s v="ica2024"/>
        <s v="medialiteracy101"/>
        <s v="jmcqreview"/>
        <s v="smc2024 smprofs prprofs"/>
        <s v="smprofs smpc2023 prprofs smle2022 ff aejmc21 aejmc22 aejmc2021 shoutmgb"/>
        <s v="journalism"/>
        <s v="myieca"/>
        <s v="journalism hispanicheritagemonth"/>
      </sharedItems>
    </cacheField>
    <cacheField name="URLs in Tweet" numFmtId="0">
      <sharedItems containsBlank="1"/>
    </cacheField>
    <cacheField name="Domains in Tweet" numFmtId="0">
      <sharedItems containsBlank="1"/>
    </cacheField>
    <cacheField name="Mentions in Tweet" numFmtId="0">
      <sharedItems containsBlank="1"/>
    </cacheField>
    <cacheField name="Media in Tweet" numFmtId="0">
      <sharedItems containsBlank="1"/>
    </cacheField>
    <cacheField name="Media Type" numFmtId="0">
      <sharedItems containsBlank="1"/>
    </cacheField>
    <cacheField name="Source" numFmtId="0">
      <sharedItems/>
    </cacheField>
    <cacheField name="Language" numFmtId="0">
      <sharedItems/>
    </cacheField>
    <cacheField name="Twitter Page for Tweet" numFmtId="0">
      <sharedItems/>
    </cacheField>
    <cacheField name="Tweet Date (UTC)" numFmtId="22">
      <sharedItems containsSemiMixedTypes="0" containsNonDate="0" containsDate="1" containsString="0" minDate="2023-03-08T08:54:52" maxDate="2023-11-05T09:55:12" count="129">
        <d v="2023-10-23T18:26:01"/>
        <d v="2023-10-31T22:12:21"/>
        <d v="2023-11-02T22:05:39"/>
        <d v="2023-11-04T15:43:44"/>
        <d v="2023-11-02T17:45:02"/>
        <d v="2023-11-02T19:16:05"/>
        <d v="2023-11-04T01:55:36"/>
        <d v="2023-11-02T15:06:49"/>
        <d v="2023-11-01T23:33:41"/>
        <d v="2023-11-03T08:19:47"/>
        <d v="2023-10-15T00:29:09"/>
        <d v="2023-11-03T08:06:14"/>
        <d v="2023-11-05T09:55:12"/>
        <d v="2023-11-02T21:55:55"/>
        <d v="2023-11-01T23:09:07"/>
        <d v="2023-10-31T20:20:14"/>
        <d v="2023-11-04T20:01:57"/>
        <d v="2023-11-01T02:00:47"/>
        <d v="2023-11-03T01:47:23"/>
        <d v="2023-11-01T23:51:32"/>
        <d v="2023-10-29T23:24:47"/>
        <d v="2023-10-30T13:25:47"/>
        <d v="2023-10-30T03:06:51"/>
        <d v="2023-11-01T01:09:42"/>
        <d v="2023-11-01T01:35:49"/>
        <d v="2023-11-01T05:49:39"/>
        <d v="2023-10-29T17:58:25"/>
        <d v="2023-11-04T19:38:06"/>
        <d v="2023-10-23T18:47:04"/>
        <d v="2023-11-03T19:26:00"/>
        <d v="2023-10-31T15:44:17"/>
        <d v="2023-10-30T22:10:00"/>
        <d v="2023-10-30T20:13:35"/>
        <d v="2023-10-31T19:02:09"/>
        <d v="2023-11-05T01:42:11"/>
        <d v="2023-11-02T00:24:32"/>
        <d v="2023-11-03T21:33:19"/>
        <d v="2023-11-03T16:38:08"/>
        <d v="2023-11-03T16:18:48"/>
        <d v="2023-11-02T15:45:19"/>
        <d v="2023-11-03T17:35:11"/>
        <d v="2023-10-30T15:27:43"/>
        <d v="2023-11-03T20:56:51"/>
        <d v="2023-11-03T17:12:44"/>
        <d v="2023-11-03T17:46:57"/>
        <d v="2023-11-01T19:58:32"/>
        <d v="2023-10-30T06:43:24"/>
        <d v="2023-10-30T15:28:03"/>
        <d v="2023-10-23T10:00:00"/>
        <d v="2023-10-31T20:17:07"/>
        <d v="2023-10-30T13:31:27"/>
        <d v="2023-11-01T12:07:25"/>
        <d v="2023-10-30T17:47:41"/>
        <d v="2023-10-31T19:36:35"/>
        <d v="2023-11-01T13:22:02"/>
        <d v="2023-11-03T17:35:22"/>
        <d v="2023-11-02T00:37:13"/>
        <d v="2023-10-30T14:30:15"/>
        <d v="2023-11-02T08:30:00"/>
        <d v="2023-10-30T07:55:48"/>
        <d v="2023-11-02T14:18:43"/>
        <d v="2023-11-03T12:37:31"/>
        <d v="2023-10-31T20:25:38"/>
        <d v="2023-11-03T17:46:49"/>
        <d v="2023-10-31T19:35:32"/>
        <d v="2023-10-30T15:27:55"/>
        <d v="2023-11-03T13:03:28"/>
        <d v="2023-11-03T01:11:43"/>
        <d v="2023-11-03T01:12:45"/>
        <d v="2023-11-03T01:12:16"/>
        <d v="2023-11-03T01:11:33"/>
        <d v="2023-11-03T12:44:22"/>
        <d v="2023-11-01T13:19:33"/>
        <d v="2023-10-31T07:46:17"/>
        <d v="2023-10-24T01:37:33"/>
        <d v="2023-10-31T19:40:29"/>
        <d v="2023-10-31T19:37:41"/>
        <d v="2023-10-23T15:17:45"/>
        <d v="2023-11-03T19:11:08"/>
        <d v="2023-10-27T16:47:58"/>
        <d v="2023-10-31T15:46:00"/>
        <d v="2023-10-17T16:48:10"/>
        <d v="2023-10-30T20:15:52"/>
        <d v="2023-10-30T20:13:40"/>
        <d v="2023-10-30T15:28:54"/>
        <d v="2023-10-30T20:15:06"/>
        <d v="2023-11-03T17:58:05"/>
        <d v="2023-11-03T17:46:39"/>
        <d v="2023-11-04T13:00:15"/>
        <d v="2023-10-31T13:18:59"/>
        <d v="2023-11-03T17:53:09"/>
        <d v="2023-11-04T23:28:47"/>
        <d v="2023-10-27T19:39:05"/>
        <d v="2023-10-31T19:37:34"/>
        <d v="2023-10-27T15:43:54"/>
        <d v="2023-10-31T16:59:17"/>
        <d v="2023-10-31T19:35:08"/>
        <d v="2023-11-01T02:33:28"/>
        <d v="2023-11-02T00:17:06"/>
        <d v="2023-10-29T17:48:01"/>
        <d v="2023-10-31T14:25:40"/>
        <d v="2023-11-01T16:04:56"/>
        <d v="2023-11-03T13:03:24"/>
        <d v="2023-11-01T16:15:29"/>
        <d v="2023-11-03T14:10:14"/>
        <d v="2023-10-31T14:31:04"/>
        <d v="2023-10-31T18:18:49"/>
        <d v="2023-10-31T15:54:55"/>
        <d v="2023-11-04T23:09:43"/>
        <d v="2023-10-29T20:56:21"/>
        <d v="2023-11-02T01:01:08"/>
        <d v="2023-11-01T03:08:53"/>
        <d v="2023-11-03T16:16:31"/>
        <d v="2023-11-03T16:17:37"/>
        <d v="2023-11-03T16:17:09"/>
        <d v="2023-10-28T14:55:52"/>
        <d v="2023-03-08T08:54:52"/>
        <d v="2023-10-30T15:27:28"/>
        <d v="2023-11-03T16:48:06"/>
        <d v="2023-10-31T19:26:08"/>
        <d v="2023-10-31T18:29:53"/>
        <d v="2023-10-26T18:40:26"/>
        <d v="2023-10-31T17:00:00"/>
        <d v="2023-11-03T08:57:47"/>
        <d v="2023-10-31T19:37:27"/>
        <d v="2023-10-31T23:23:08"/>
        <d v="2023-11-04T21:34:12"/>
        <d v="2023-11-01T16:05:28"/>
        <d v="2023-10-06T17:56:52"/>
      </sharedItems>
      <fieldGroup par="75" base="31">
        <rangePr groupBy="hours" startDate="2023-03-08T08:54:52" endDate="2023-11-05T09:55:12"/>
        <groupItems count="26">
          <s v="&lt;3/8/2023"/>
          <s v="12 AM"/>
          <s v="1 AM"/>
          <s v="2 AM"/>
          <s v="3 AM"/>
          <s v="4 AM"/>
          <s v="5 AM"/>
          <s v="6 AM"/>
          <s v="7 AM"/>
          <s v="8 AM"/>
          <s v="9 AM"/>
          <s v="10 AM"/>
          <s v="11 AM"/>
          <s v="12 PM"/>
          <s v="1 PM"/>
          <s v="2 PM"/>
          <s v="3 PM"/>
          <s v="4 PM"/>
          <s v="5 PM"/>
          <s v="6 PM"/>
          <s v="7 PM"/>
          <s v="8 PM"/>
          <s v="9 PM"/>
          <s v="10 PM"/>
          <s v="11 PM"/>
          <s v="&gt;11/5/2023"/>
        </groupItems>
      </fieldGroup>
    </cacheField>
    <cacheField name="Date" numFmtId="14">
      <sharedItems containsSemiMixedTypes="0" containsNonDate="0" containsDate="1" containsString="0" minDate="2023-03-08T00:00:00" maxDate="2023-11-06T00:00:00"/>
    </cacheField>
    <cacheField name="Time" numFmtId="0">
      <sharedItems/>
    </cacheField>
    <cacheField name="Possibly Sensitive" numFmtId="0">
      <sharedItems containsBlank="1"/>
    </cacheField>
    <cacheField name="Place Bounding Box" numFmtId="0">
      <sharedItems containsBlank="1"/>
    </cacheField>
    <cacheField name="Place Country" numFmtId="0">
      <sharedItems containsBlank="1"/>
    </cacheField>
    <cacheField name="Place Country Code" numFmtId="0">
      <sharedItems containsBlank="1"/>
    </cacheField>
    <cacheField name="Place Full Name" numFmtId="0">
      <sharedItems containsBlank="1"/>
    </cacheField>
    <cacheField name="Place ID" numFmtId="0">
      <sharedItems containsBlank="1"/>
    </cacheField>
    <cacheField name="Place Name" numFmtId="0">
      <sharedItems containsBlank="1"/>
    </cacheField>
    <cacheField name="Place Type" numFmtId="0">
      <sharedItems containsBlank="1"/>
    </cacheField>
    <cacheField name="Media Key" numFmtId="0">
      <sharedItems containsBlank="1"/>
    </cacheField>
    <cacheField name="Media Duration (ms)" numFmtId="0">
      <sharedItems containsString="0" containsBlank="1" containsNumber="1" containsInteger="1" minValue="22173" maxValue="83382"/>
    </cacheField>
    <cacheField name="Media Height" numFmtId="0">
      <sharedItems containsNonDate="0" containsString="0" containsBlank="1"/>
    </cacheField>
    <cacheField name="Media Width" numFmtId="0">
      <sharedItems containsNonDate="0" containsString="0" containsBlank="1"/>
    </cacheField>
    <cacheField name="Media View Count" numFmtId="0">
      <sharedItems containsNonDate="0" containsString="0" containsBlank="1"/>
    </cacheField>
    <cacheField name="Tweet Image File" numFmtId="0">
      <sharedItems/>
    </cacheField>
    <cacheField name="Imported ID" numFmtId="0">
      <sharedItems/>
    </cacheField>
    <cacheField name="Conversation ID" numFmtId="0">
      <sharedItems/>
    </cacheField>
    <cacheField name="In Reply To User ID" numFmtId="0">
      <sharedItems containsBlank="1"/>
    </cacheField>
    <cacheField name="In Reply To Tweet ID" numFmtId="0">
      <sharedItems/>
    </cacheField>
    <cacheField name="Quoted Status ID" numFmtId="0">
      <sharedItems/>
    </cacheField>
    <cacheField name="Retweet ID" numFmtId="0">
      <sharedItems/>
    </cacheField>
    <cacheField name="Unified Twitter ID" numFmtId="0">
      <sharedItems/>
    </cacheField>
    <cacheField name="Author ID" numFmtId="0">
      <sharedItems containsMixedTypes="1" containsNumber="1" containsInteger="1" minValue="6819732" maxValue="3307384609"/>
    </cacheField>
    <cacheField name="Poll ID" numFmtId="0">
      <sharedItems containsNonDate="0" containsString="0" containsBlank="1"/>
    </cacheField>
    <cacheField name="Poll Options" numFmtId="0">
      <sharedItems containsNonDate="0" containsString="0" containsBlank="1"/>
    </cacheField>
    <cacheField name="Poll Duration" numFmtId="0">
      <sharedItems containsNonDate="0" containsString="0" containsBlank="1"/>
    </cacheField>
    <cacheField name="Poll End Date" numFmtId="0">
      <sharedItems containsNonDate="0" containsString="0" containsBlank="1"/>
    </cacheField>
    <cacheField name="Poll Voting Status" numFmtId="0">
      <sharedItems containsNonDate="0" containsString="0" containsBlank="1"/>
    </cacheField>
    <cacheField name="Edge Weight" numFmtId="0">
      <sharedItems containsSemiMixedTypes="0" containsString="0" containsNumber="1" containsInteger="1" minValue="1" maxValue="8"/>
    </cacheField>
    <cacheField name="Vertex 1 Group" numFmtId="0">
      <sharedItems/>
    </cacheField>
    <cacheField name="Vertex 2 Group" numFmtId="0">
      <sharedItems/>
    </cacheField>
    <cacheField name="Sentiment List #1: List1 Word Count" numFmtId="1">
      <sharedItems containsString="0" containsBlank="1" containsNumber="1" containsInteger="1" minValue="0" maxValue="7"/>
    </cacheField>
    <cacheField name="Sentiment List #1: List1 Word Percentage (%)" numFmtId="167">
      <sharedItems containsString="0" containsBlank="1" containsNumber="1" minValue="0" maxValue="22.222222222222221"/>
    </cacheField>
    <cacheField name="Sentiment List #2: List2 Word Count" numFmtId="1">
      <sharedItems containsString="0" containsBlank="1" containsNumber="1" containsInteger="1" minValue="0" maxValue="2"/>
    </cacheField>
    <cacheField name="Sentiment List #2: List2 Word Percentage (%)" numFmtId="167">
      <sharedItems containsString="0" containsBlank="1" containsNumber="1" minValue="0" maxValue="22.222222222222221"/>
    </cacheField>
    <cacheField name="Sentiment List #3: List3 Word Count" numFmtId="1">
      <sharedItems containsString="0" containsBlank="1" containsNumber="1" containsInteger="1" minValue="0" maxValue="0"/>
    </cacheField>
    <cacheField name="Sentiment List #3: List3 Word Percentage (%)" numFmtId="167">
      <sharedItems containsString="0" containsBlank="1" containsNumber="1" containsInteger="1" minValue="0" maxValue="0"/>
    </cacheField>
    <cacheField name="Non-categorized Word Count" numFmtId="1">
      <sharedItems containsString="0" containsBlank="1" containsNumber="1" containsInteger="1" minValue="4" maxValue="26"/>
    </cacheField>
    <cacheField name="Non-categorized Word Percentage (%)" numFmtId="167">
      <sharedItems containsString="0" containsBlank="1" containsNumber="1" minValue="22.222222222222221" maxValue="100"/>
    </cacheField>
    <cacheField name="Edge Content Word Count" numFmtId="1">
      <sharedItems containsString="0" containsBlank="1" containsNumber="1" containsInteger="1" minValue="6" maxValue="44"/>
    </cacheField>
    <cacheField name="Days" numFmtId="0" databaseField="0">
      <fieldGroup base="31">
        <rangePr groupBy="days" startDate="2023-03-08T08:54:52" endDate="2023-11-05T09:55:12"/>
        <groupItems count="368">
          <s v="&lt;3/8/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5/2023"/>
        </groupItems>
      </fieldGroup>
    </cacheField>
    <cacheField name="Months" numFmtId="0" databaseField="0">
      <fieldGroup base="31">
        <rangePr groupBy="months" startDate="2023-03-08T08:54:52" endDate="2023-11-05T09:55:12"/>
        <groupItems count="14">
          <s v="&lt;3/8/2023"/>
          <s v="Jan"/>
          <s v="Feb"/>
          <s v="Mar"/>
          <s v="Apr"/>
          <s v="May"/>
          <s v="Jun"/>
          <s v="Jul"/>
          <s v="Aug"/>
          <s v="Sep"/>
          <s v="Oct"/>
          <s v="Nov"/>
          <s v="Dec"/>
          <s v="&gt;11/5/2023"/>
        </groupItems>
      </fieldGroup>
    </cacheField>
    <cacheField name="Years" numFmtId="0" databaseField="0">
      <fieldGroup base="31">
        <rangePr groupBy="years" startDate="2023-03-08T08:54:52" endDate="2023-11-05T09:55:12"/>
        <groupItems count="3">
          <s v="&lt;3/8/2023"/>
          <s v="2023"/>
          <s v="&gt;11/5/2023"/>
        </groupItems>
      </fieldGroup>
    </cacheField>
  </cacheFields>
  <extLst>
    <ext xmlns:x14="http://schemas.microsoft.com/office/spreadsheetml/2009/9/main" uri="{725AE2AE-9491-48be-B2B4-4EB974FC3084}">
      <x14:pivotCacheDefinition pivotCacheId="6269454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9">
  <r>
    <s v="aejmc_nond"/>
    <s v="lindita_camaj"/>
    <m/>
    <m/>
    <m/>
    <m/>
    <m/>
    <m/>
    <m/>
    <m/>
    <s v="No"/>
    <n v="3"/>
    <m/>
    <m/>
    <x v="0"/>
    <d v="2023-10-23T18:26:01"/>
    <s v="📅 Mark your calendars! @AEJMC Southeast Colloquium submissions are due Dec. 11! Join us March 7-9 in Lexington, KY @uk_ci. _x000a_https://t.co/OmSFgO53RC_x000a__x000a_Questions about your NOND submission? Contact @Lindita_Camaj!"/>
    <n v="2"/>
    <n v="5"/>
    <n v="0"/>
    <n v="1"/>
    <n v="1431"/>
    <x v="0"/>
    <s v="https://ci.uky.edu/about-ci/2024-aejmc-southeast-colloquium/paper-submissions"/>
    <s v="uky.edu"/>
    <s v="aejmc uk_ci lindita_camaj"/>
    <m/>
    <m/>
    <s v="Twitter Web App"/>
    <s v="en"/>
    <s v="https://twitter.com/aejmc_nond/status/1716521373886218438"/>
    <x v="0"/>
    <d v="2023-10-23T00:00:00"/>
    <s v="18:26:01"/>
    <b v="0"/>
    <m/>
    <m/>
    <m/>
    <m/>
    <m/>
    <m/>
    <m/>
    <m/>
    <m/>
    <m/>
    <m/>
    <m/>
    <s v="https://pbs.twimg.com/profile_images/884110390493425664/HGSOS2S8_normal.jpg"/>
    <s v="1716521373886218438"/>
    <s v="1716521373886218438"/>
    <m/>
    <s v=""/>
    <s v="1714322420926943611"/>
    <s v=""/>
    <s v="1714322420926943611"/>
    <n v="744265436"/>
    <m/>
    <m/>
    <m/>
    <m/>
    <m/>
    <n v="1"/>
    <s v="6"/>
    <s v="6"/>
    <m/>
    <m/>
    <m/>
    <m/>
    <m/>
    <m/>
    <m/>
    <m/>
    <m/>
  </r>
  <r>
    <s v="med_lafouairas"/>
    <s v="aejmcmmee"/>
    <m/>
    <m/>
    <m/>
    <m/>
    <m/>
    <m/>
    <m/>
    <m/>
    <s v="No"/>
    <n v="4"/>
    <m/>
    <m/>
    <x v="1"/>
    <d v="2023-10-31T22:12:21"/>
    <s v="RT @AEJMCMMEE: The paper call for 2024 AEJMC Midwinter Conference is now out. The deadline to submit extended abstracts (only 600 to 800 wo…"/>
    <n v="5"/>
    <n v="0"/>
    <n v="0"/>
    <n v="0"/>
    <m/>
    <x v="0"/>
    <m/>
    <m/>
    <s v="aejmcmmee"/>
    <m/>
    <m/>
    <s v="Twitter for Android"/>
    <s v="en"/>
    <s v="https://twitter.com/med_lafouairas/status/1719477436407021691"/>
    <x v="1"/>
    <d v="2023-10-31T00:00:00"/>
    <s v="22:12:21"/>
    <b v="0"/>
    <m/>
    <m/>
    <m/>
    <m/>
    <m/>
    <m/>
    <m/>
    <m/>
    <m/>
    <m/>
    <m/>
    <m/>
    <s v="https://pbs.twimg.com/profile_images/879370206400958464/D876GW69_normal.jpg"/>
    <s v="1719477436407021691"/>
    <s v="1719477436407021691"/>
    <m/>
    <s v=""/>
    <s v=""/>
    <s v="1719398651049726196"/>
    <s v="1719398651049726196"/>
    <s v="879156818227941376"/>
    <m/>
    <m/>
    <m/>
    <m/>
    <m/>
    <n v="1"/>
    <s v="3"/>
    <s v="10"/>
    <n v="0"/>
    <n v="0"/>
    <n v="0"/>
    <n v="0"/>
    <n v="0"/>
    <n v="0"/>
    <n v="13"/>
    <n v="54.166666666666664"/>
    <n v="24"/>
  </r>
  <r>
    <s v="med_lafouairas"/>
    <s v="prof_dimitrova"/>
    <m/>
    <m/>
    <m/>
    <m/>
    <m/>
    <m/>
    <m/>
    <m/>
    <s v="No"/>
    <n v="5"/>
    <m/>
    <m/>
    <x v="2"/>
    <d v="2023-11-02T22:05:39"/>
    <s v="RT @jmcquarterly: 🌞 Good morning! _x000a__x000a_Here's a great paper @jmcquarterly (EIC: @Prof_Dimitrova) to start your day. _x000a__x000a_It deals with the link b…"/>
    <n v="4"/>
    <n v="0"/>
    <n v="0"/>
    <n v="0"/>
    <m/>
    <x v="0"/>
    <m/>
    <m/>
    <s v="jmcquarterly jmcquarterly prof_dimitrova"/>
    <m/>
    <m/>
    <s v="Twitter for Android"/>
    <s v="en"/>
    <s v="https://twitter.com/med_lafouairas/status/1720200524060917847"/>
    <x v="2"/>
    <d v="2023-11-02T00:00:00"/>
    <s v="22:05:39"/>
    <b v="0"/>
    <m/>
    <m/>
    <m/>
    <m/>
    <m/>
    <m/>
    <m/>
    <m/>
    <m/>
    <m/>
    <m/>
    <m/>
    <s v="https://pbs.twimg.com/profile_images/879370206400958464/D876GW69_normal.jpg"/>
    <s v="1720200524060917847"/>
    <s v="1720200524060917847"/>
    <m/>
    <s v=""/>
    <s v=""/>
    <s v="1719995258149228840"/>
    <s v="1719995258149228840"/>
    <s v="879156818227941376"/>
    <m/>
    <m/>
    <m/>
    <m/>
    <m/>
    <n v="1"/>
    <s v="3"/>
    <s v="3"/>
    <m/>
    <m/>
    <m/>
    <m/>
    <m/>
    <m/>
    <m/>
    <m/>
    <m/>
  </r>
  <r>
    <s v="mahedikabir2"/>
    <s v="jmcquarterly"/>
    <m/>
    <m/>
    <m/>
    <m/>
    <m/>
    <m/>
    <m/>
    <m/>
    <s v="No"/>
    <n v="8"/>
    <m/>
    <m/>
    <x v="1"/>
    <d v="2023-11-04T15:43:44"/>
    <s v="RT @jmcquarterly: Congratulations on submitting your work to #ICA24! _x000a_Looking for a home for your paper? We'd be happy to take a look! #Pee…"/>
    <n v="4"/>
    <n v="0"/>
    <n v="0"/>
    <n v="0"/>
    <m/>
    <x v="1"/>
    <m/>
    <m/>
    <s v="jmcquarterly"/>
    <m/>
    <m/>
    <s v="Twitter for iPhone"/>
    <s v="en"/>
    <s v="https://twitter.com/mahedikabir2/status/1720829189832483273"/>
    <x v="3"/>
    <d v="2023-11-04T00:00:00"/>
    <s v="15:43:44"/>
    <m/>
    <m/>
    <m/>
    <m/>
    <m/>
    <m/>
    <m/>
    <m/>
    <m/>
    <m/>
    <m/>
    <m/>
    <m/>
    <s v="https://pbs.twimg.com/profile_images/1688156554258771969/atYOIiFN_normal.jpg"/>
    <s v="1720829189832483273"/>
    <s v="1720829189832483273"/>
    <m/>
    <s v=""/>
    <s v=""/>
    <s v="1720351664719151216"/>
    <s v="1720351664719151216"/>
    <n v="3190959720"/>
    <m/>
    <m/>
    <m/>
    <m/>
    <m/>
    <n v="1"/>
    <s v="3"/>
    <s v="3"/>
    <n v="3"/>
    <n v="12.5"/>
    <n v="0"/>
    <n v="0"/>
    <n v="0"/>
    <n v="0"/>
    <n v="9"/>
    <n v="37.5"/>
    <n v="24"/>
  </r>
  <r>
    <s v="newhousesu"/>
    <s v="collegephotog"/>
    <m/>
    <m/>
    <m/>
    <m/>
    <m/>
    <m/>
    <m/>
    <m/>
    <s v="No"/>
    <n v="9"/>
    <m/>
    <m/>
    <x v="3"/>
    <d v="2023-11-02T17:45:02"/>
    <s v="Read more about the @NewhouseSU students and their projects that were honored in the @CollegePhotog and @AEJMC National News Engagement Day competitions! https://t.co/SSFzJW6hm8 #TeamNewhouse_x000a__x000a_📸: @isaiah_photo https://t.co/8r16r1i9JD"/>
    <n v="1"/>
    <n v="4"/>
    <n v="0"/>
    <n v="0"/>
    <n v="852"/>
    <x v="2"/>
    <s v="https://newhouse.syracuse.edu/news/newhouse-students-honored-for-visual-projects-in-college-photographer-of-the-year-and-aejmc-competitions/"/>
    <s v="syracuse.edu"/>
    <s v="newhousesu collegephotog aejmc isaiah_photo"/>
    <s v="https://t.co/8r16r1i9JD https://pbs.twimg.com/media/F98lm41XkAAfs2k.jpg"/>
    <s v="photo"/>
    <s v="Buffer"/>
    <s v="en"/>
    <s v="https://twitter.com/newhousesu/status/1720134936496116148"/>
    <x v="4"/>
    <d v="2023-11-02T00:00:00"/>
    <s v="17:45:02"/>
    <b v="0"/>
    <m/>
    <m/>
    <m/>
    <m/>
    <m/>
    <m/>
    <m/>
    <s v="3_1720134932700303360"/>
    <m/>
    <m/>
    <m/>
    <m/>
    <s v="https://pbs.twimg.com/media/F98lm41XkAAfs2k.jpg"/>
    <s v="1720134936496116148"/>
    <s v="1720134936496116148"/>
    <m/>
    <s v=""/>
    <s v=""/>
    <s v=""/>
    <s v="1720134936496116148"/>
    <n v="14295896"/>
    <m/>
    <m/>
    <m/>
    <m/>
    <m/>
    <n v="1"/>
    <s v="1"/>
    <s v="1"/>
    <m/>
    <m/>
    <m/>
    <m/>
    <m/>
    <m/>
    <m/>
    <m/>
    <m/>
  </r>
  <r>
    <s v="isaiah_photo"/>
    <s v="collegephotog"/>
    <m/>
    <m/>
    <m/>
    <m/>
    <m/>
    <m/>
    <m/>
    <m/>
    <s v="No"/>
    <n v="10"/>
    <m/>
    <m/>
    <x v="2"/>
    <d v="2023-11-02T19:16:05"/>
    <s v="RT @NewhouseSU: Read more about the @NewhouseSU students and their projects that were honored in the @CollegePhotog and @AEJMC National New…"/>
    <n v="1"/>
    <n v="0"/>
    <n v="0"/>
    <n v="0"/>
    <m/>
    <x v="0"/>
    <m/>
    <m/>
    <s v="newhousesu newhousesu collegephotog aejmc"/>
    <m/>
    <m/>
    <s v="Twitter for Android"/>
    <s v="en"/>
    <s v="https://twitter.com/isaiah_photo/status/1720157850465411279"/>
    <x v="5"/>
    <d v="2023-11-02T00:00:00"/>
    <s v="19:16:05"/>
    <m/>
    <m/>
    <m/>
    <m/>
    <m/>
    <m/>
    <m/>
    <m/>
    <m/>
    <m/>
    <m/>
    <m/>
    <m/>
    <s v="https://pbs.twimg.com/profile_images/1531774008953282561/q_a9l7rN_normal.jpg"/>
    <s v="1720157850465411279"/>
    <s v="1720157850465411279"/>
    <m/>
    <s v=""/>
    <s v=""/>
    <s v="1720134936496116148"/>
    <s v="1720134936496116148"/>
    <n v="381453828"/>
    <m/>
    <m/>
    <m/>
    <m/>
    <m/>
    <n v="1"/>
    <s v="1"/>
    <s v="1"/>
    <m/>
    <m/>
    <m/>
    <m/>
    <m/>
    <m/>
    <m/>
    <m/>
    <m/>
  </r>
  <r>
    <s v="profkakie"/>
    <s v="azhanitealer"/>
    <m/>
    <m/>
    <m/>
    <m/>
    <m/>
    <m/>
    <m/>
    <m/>
    <s v="No"/>
    <n v="15"/>
    <m/>
    <m/>
    <x v="4"/>
    <d v="2023-11-04T01:55:36"/>
    <s v="@ShannonScovel @AzhaniTealer @ShannonScovel (I saw your presentation in Detroit at AEJMC.)"/>
    <n v="0"/>
    <n v="1"/>
    <n v="0"/>
    <n v="0"/>
    <n v="20"/>
    <x v="0"/>
    <m/>
    <m/>
    <s v="shannonscovel azhanitealer shannonscovel"/>
    <m/>
    <m/>
    <s v="Twitter Web App"/>
    <s v="en"/>
    <s v="https://twitter.com/profkakie/status/1720620782651351141"/>
    <x v="6"/>
    <d v="2023-11-04T00:00:00"/>
    <s v="01:55:36"/>
    <m/>
    <m/>
    <m/>
    <m/>
    <m/>
    <m/>
    <m/>
    <m/>
    <m/>
    <m/>
    <m/>
    <m/>
    <m/>
    <s v="https://pbs.twimg.com/profile_images/506305736834428928/l7hB0YVf_normal.jpeg"/>
    <s v="1720620782651351141"/>
    <s v="1720620228999000068"/>
    <s v="360870749"/>
    <s v="1720620490870395367"/>
    <s v=""/>
    <s v=""/>
    <s v="1720620490870395367"/>
    <n v="24373764"/>
    <m/>
    <m/>
    <m/>
    <m/>
    <m/>
    <n v="1"/>
    <s v="12"/>
    <s v="12"/>
    <m/>
    <m/>
    <m/>
    <m/>
    <m/>
    <m/>
    <m/>
    <m/>
    <m/>
  </r>
  <r>
    <s v="commscholar"/>
    <s v="igs_bu"/>
    <m/>
    <m/>
    <m/>
    <m/>
    <m/>
    <m/>
    <m/>
    <m/>
    <s v="No"/>
    <n v="18"/>
    <m/>
    <m/>
    <x v="2"/>
    <d v="2023-11-02T15:06:49"/>
    <s v="RT @COMatBU: Congrats to Emma Longo (COM'24) for winning the @IGS_BU Undergraduate Student Award!_x000a__x000a_She turned her project, &quot;How Fossil Fuel…"/>
    <n v="3"/>
    <n v="0"/>
    <n v="0"/>
    <n v="0"/>
    <m/>
    <x v="0"/>
    <m/>
    <m/>
    <s v="comatbu igs_bu"/>
    <m/>
    <m/>
    <s v="Twitter Web App"/>
    <s v="en"/>
    <s v="https://twitter.com/commscholar/status/1720095122522878120"/>
    <x v="7"/>
    <d v="2023-11-02T00:00:00"/>
    <s v="15:06:49"/>
    <b v="0"/>
    <m/>
    <m/>
    <m/>
    <m/>
    <m/>
    <m/>
    <m/>
    <m/>
    <m/>
    <m/>
    <m/>
    <m/>
    <s v="https://pbs.twimg.com/profile_images/1323088857424867329/wUJsjb2M_normal.jpg"/>
    <s v="1720095122522878120"/>
    <s v="1720095122522878120"/>
    <m/>
    <s v=""/>
    <s v=""/>
    <s v="1719398831287067049"/>
    <s v="1719398831287067049"/>
    <n v="282661518"/>
    <m/>
    <m/>
    <m/>
    <m/>
    <m/>
    <n v="1"/>
    <s v="8"/>
    <s v="8"/>
    <m/>
    <m/>
    <m/>
    <m/>
    <m/>
    <m/>
    <m/>
    <m/>
    <m/>
  </r>
  <r>
    <s v="drjessmaddox"/>
    <s v="manshipschool"/>
    <m/>
    <m/>
    <m/>
    <m/>
    <m/>
    <m/>
    <m/>
    <m/>
    <s v="No"/>
    <n v="20"/>
    <m/>
    <m/>
    <x v="2"/>
    <d v="2023-11-01T23:33:41"/>
    <s v="RT @willthewordguy: Assistant Professor in Digital Advertising - HigherEdJobs — new posting from us ⁦@ManshipSchool⁩ — not on search commit…"/>
    <n v="5"/>
    <n v="0"/>
    <n v="0"/>
    <n v="0"/>
    <m/>
    <x v="0"/>
    <m/>
    <m/>
    <s v="willthewordguy manshipschool"/>
    <m/>
    <m/>
    <s v="Twitter for iPhone"/>
    <s v="en"/>
    <s v="https://twitter.com/drjessmaddox/status/1719860291825979546"/>
    <x v="8"/>
    <d v="2023-11-01T00:00:00"/>
    <s v="23:33:41"/>
    <m/>
    <m/>
    <m/>
    <m/>
    <m/>
    <m/>
    <m/>
    <m/>
    <m/>
    <m/>
    <m/>
    <m/>
    <m/>
    <s v="https://pbs.twimg.com/profile_images/1704325946344341504/RU7QjoX7_normal.jpg"/>
    <s v="1719860291825979546"/>
    <s v="1719860291825979546"/>
    <m/>
    <s v=""/>
    <s v=""/>
    <s v="1719854110231371957"/>
    <s v="1719854110231371957"/>
    <n v="747936457"/>
    <m/>
    <m/>
    <m/>
    <m/>
    <m/>
    <n v="1"/>
    <s v="2"/>
    <s v="2"/>
    <m/>
    <m/>
    <m/>
    <m/>
    <m/>
    <m/>
    <m/>
    <m/>
    <m/>
  </r>
  <r>
    <s v="vioreladan"/>
    <s v="gcsc2020"/>
    <m/>
    <m/>
    <m/>
    <m/>
    <m/>
    <m/>
    <m/>
    <m/>
    <s v="No"/>
    <n v="22"/>
    <m/>
    <m/>
    <x v="0"/>
    <d v="2023-11-03T08:19:47"/>
    <s v="🅢🅤🅑🅜🅘🅣      🅨🅞🅤🅡       🅑🅔🅢🅣 🅦🅞🅡🅚     🅣🅞     🅤🅢 ❗_x000a_ @jmcquarterly (EIC: @Prof_Dimitrova) That's what #flagship journals are for. _x000a_✺◟(ȍ◡ȍ)◞✺_x000a_@AEJMC @ICA_CAT @Journalism_ICA @ICA_PRD @poli_com @gcsc2020"/>
    <n v="0"/>
    <n v="5"/>
    <n v="0"/>
    <n v="0"/>
    <n v="625"/>
    <x v="3"/>
    <m/>
    <m/>
    <s v="jmcquarterly prof_dimitrova aejmc ica_cat journalism_ica ica_prd poli_com gcsc2020"/>
    <m/>
    <m/>
    <s v="Twitter for Android"/>
    <s v="en"/>
    <s v="https://twitter.com/vioreladan/status/1720355075653050557"/>
    <x v="9"/>
    <d v="2023-11-03T00:00:00"/>
    <s v="08:19:47"/>
    <m/>
    <m/>
    <m/>
    <m/>
    <m/>
    <m/>
    <m/>
    <m/>
    <m/>
    <m/>
    <m/>
    <m/>
    <m/>
    <s v="https://pbs.twimg.com/profile_images/1499394758606671883/eX-QPowP_normal.jpg"/>
    <s v="1720355075653050557"/>
    <s v="1720355075653050557"/>
    <m/>
    <s v=""/>
    <s v="1720351664719151216"/>
    <s v=""/>
    <s v="1720351664719151216"/>
    <s v="1499390036873121795"/>
    <m/>
    <m/>
    <m/>
    <m/>
    <m/>
    <n v="1"/>
    <s v="6"/>
    <s v="6"/>
    <m/>
    <m/>
    <m/>
    <m/>
    <m/>
    <m/>
    <m/>
    <m/>
    <m/>
  </r>
  <r>
    <s v="jmcquarterly"/>
    <s v="icahdq"/>
    <m/>
    <m/>
    <m/>
    <m/>
    <m/>
    <m/>
    <m/>
    <m/>
    <s v="No"/>
    <n v="26"/>
    <m/>
    <m/>
    <x v="3"/>
    <d v="2023-10-15T00:29:09"/>
    <s v="𝗖𝗼𝗻𝗴𝗿𝗮𝘁𝘂𝗹𝗮𝘁𝗶𝗼𝗻𝘀 to our 𝗹𝗼𝗻𝗴𝘁𝗶𝗺𝗲 𝗘𝗱𝗶𝘁𝗼𝗿𝗶𝗮𝗹 𝗕𝗼𝗮𝗿𝗱 𝗺𝗲𝗺𝗯𝗲𝗿 @jmcquarterly, 𝗧𝗵𝗼𝗺𝗮𝘀 𝗛𝗮𝗻𝗶𝘁𝘇𝘀𝗰𝗵 @THanitzsch, on being elected as 𝗜𝗖𝗔  𝗣𝗿𝗲𝘀𝗶𝗱𝗲𝗻𝘁. 🥂 @icahdq"/>
    <n v="1"/>
    <n v="10"/>
    <n v="0"/>
    <n v="1"/>
    <n v="848"/>
    <x v="0"/>
    <m/>
    <m/>
    <s v="jmcquarterly thanitzsch icahdq"/>
    <m/>
    <m/>
    <s v="Twitter for Android"/>
    <s v="en"/>
    <s v="https://twitter.com/jmcquarterly/status/1713351267106336845"/>
    <x v="10"/>
    <d v="2023-10-15T00:00:00"/>
    <s v="00:29:09"/>
    <m/>
    <m/>
    <m/>
    <m/>
    <m/>
    <m/>
    <m/>
    <m/>
    <m/>
    <m/>
    <m/>
    <m/>
    <m/>
    <s v="https://pbs.twimg.com/profile_images/1297970849820147712/3xME2yZ6_normal.jpg"/>
    <s v="1713351267106336845"/>
    <s v="1713351267106336845"/>
    <m/>
    <s v=""/>
    <s v=""/>
    <s v=""/>
    <s v="1713351267106336845"/>
    <s v="1297967885072072711"/>
    <m/>
    <m/>
    <m/>
    <m/>
    <m/>
    <n v="2"/>
    <s v="3"/>
    <s v="3"/>
    <m/>
    <m/>
    <m/>
    <m/>
    <m/>
    <m/>
    <m/>
    <m/>
    <m/>
  </r>
  <r>
    <s v="jmcquarterly"/>
    <s v="icahdq"/>
    <m/>
    <m/>
    <m/>
    <m/>
    <m/>
    <m/>
    <m/>
    <m/>
    <s v="No"/>
    <n v="27"/>
    <m/>
    <m/>
    <x v="3"/>
    <d v="2023-11-03T08:06:14"/>
    <s v="Congratulations on submitting your work to #ICA24! _x000a_Looking for a home for your paper? We'd be happy to take a look! #PeerReview_x000a__x000a_@AEJMC @AEJMCCTEC @AEJMC_PolComm @AEJMC_PRD @icahdq @Prof_Dimitrova"/>
    <n v="4"/>
    <n v="15"/>
    <n v="0"/>
    <n v="1"/>
    <n v="2001"/>
    <x v="4"/>
    <m/>
    <m/>
    <s v="aejmc aejmcctec aejmc_polcomm aejmc_prd icahdq prof_dimitrova"/>
    <m/>
    <m/>
    <s v="Twitter for Android"/>
    <s v="en"/>
    <s v="https://twitter.com/jmcquarterly/status/1720351664719151216"/>
    <x v="11"/>
    <d v="2023-11-03T00:00:00"/>
    <s v="08:06:14"/>
    <m/>
    <m/>
    <m/>
    <m/>
    <m/>
    <m/>
    <m/>
    <m/>
    <m/>
    <m/>
    <m/>
    <m/>
    <m/>
    <s v="https://pbs.twimg.com/profile_images/1297970849820147712/3xME2yZ6_normal.jpg"/>
    <s v="1720351664719151216"/>
    <s v="1720351664719151216"/>
    <m/>
    <s v=""/>
    <s v=""/>
    <s v=""/>
    <s v="1720351664719151216"/>
    <s v="1297967885072072711"/>
    <m/>
    <m/>
    <m/>
    <m/>
    <m/>
    <n v="2"/>
    <s v="3"/>
    <s v="3"/>
    <m/>
    <m/>
    <m/>
    <m/>
    <m/>
    <m/>
    <m/>
    <m/>
    <m/>
  </r>
  <r>
    <s v="profaanderson"/>
    <s v="stevedepo"/>
    <m/>
    <m/>
    <m/>
    <m/>
    <m/>
    <m/>
    <m/>
    <m/>
    <s v="No"/>
    <n v="28"/>
    <m/>
    <m/>
    <x v="1"/>
    <d v="2023-11-05T09:55:12"/>
    <s v="RT @stevedepo: Join IECA in 2024! Benefits include on-line access to ENVIRONMENTAL COMMUNICATION, discounts for 2025 COCE and on-line cours…"/>
    <n v="4"/>
    <n v="0"/>
    <n v="0"/>
    <n v="0"/>
    <m/>
    <x v="0"/>
    <m/>
    <m/>
    <s v="stevedepo"/>
    <m/>
    <m/>
    <s v="Twitter for iPhone"/>
    <s v="en"/>
    <s v="https://twitter.com/profaanderson/status/1721103866161168535"/>
    <x v="12"/>
    <d v="2023-11-05T00:00:00"/>
    <s v="09:55:12"/>
    <m/>
    <m/>
    <m/>
    <m/>
    <m/>
    <m/>
    <m/>
    <m/>
    <m/>
    <m/>
    <m/>
    <m/>
    <m/>
    <s v="https://pbs.twimg.com/profile_images/1307781872748048384/FEcShCls_normal.jpg"/>
    <s v="1721103866161168535"/>
    <s v="1721103866161168535"/>
    <m/>
    <s v=""/>
    <s v=""/>
    <s v="1720917387485020564"/>
    <s v="1720917387485020564"/>
    <n v="374648509"/>
    <m/>
    <m/>
    <m/>
    <m/>
    <m/>
    <n v="1"/>
    <s v="7"/>
    <s v="7"/>
    <n v="1"/>
    <n v="4.5454545454545459"/>
    <n v="0"/>
    <n v="0"/>
    <n v="0"/>
    <n v="0"/>
    <n v="14"/>
    <n v="63.636363636363633"/>
    <n v="22"/>
  </r>
  <r>
    <s v="suzie_bell"/>
    <s v="suzie_bell"/>
    <m/>
    <m/>
    <m/>
    <m/>
    <m/>
    <m/>
    <m/>
    <m/>
    <s v="No"/>
    <n v="29"/>
    <m/>
    <m/>
    <x v="5"/>
    <d v="2023-11-02T21:55:55"/>
    <s v="&quot;Journalism &amp;amp; Mass Communication Quarterly (JMCQ) is the flagship journal of the Association for Education in Journalism and Mass Communication (AEJMC). It is a quarterly, peer-reviewed journal ranked in the Journal Citation Reports...&quot;_x000a__x000a_AEJMC_x000a__x000a_From 1° clave + reciente pub"/>
    <n v="0"/>
    <n v="0"/>
    <n v="0"/>
    <n v="0"/>
    <n v="3"/>
    <x v="0"/>
    <m/>
    <m/>
    <m/>
    <m/>
    <m/>
    <s v="Twitter Web App"/>
    <s v="en"/>
    <s v="https://twitter.com/suzie_bell/status/1720198075702968765"/>
    <x v="13"/>
    <d v="2023-11-02T00:00:00"/>
    <s v="21:55:55"/>
    <m/>
    <m/>
    <m/>
    <m/>
    <m/>
    <m/>
    <m/>
    <m/>
    <m/>
    <m/>
    <m/>
    <m/>
    <m/>
    <s v="https://abs.twimg.com/sticky/default_profile_images/default_profile_normal.png"/>
    <s v="1720198075702968765"/>
    <s v="1720198075702968765"/>
    <m/>
    <s v=""/>
    <s v=""/>
    <s v=""/>
    <s v="1720198075702968765"/>
    <s v="1565905933141786626"/>
    <m/>
    <m/>
    <m/>
    <m/>
    <m/>
    <n v="1"/>
    <s v="13"/>
    <s v="13"/>
    <n v="0"/>
    <n v="0"/>
    <n v="0"/>
    <n v="0"/>
    <n v="0"/>
    <n v="0"/>
    <n v="25"/>
    <n v="62.5"/>
    <n v="40"/>
  </r>
  <r>
    <s v="willthewordguy"/>
    <s v="adweek"/>
    <m/>
    <m/>
    <m/>
    <m/>
    <m/>
    <m/>
    <m/>
    <m/>
    <s v="No"/>
    <n v="30"/>
    <m/>
    <m/>
    <x v="3"/>
    <d v="2023-11-01T23:09:07"/>
    <s v="Assistant Professor in Digital Advertising - HigherEdJobs — new posting from us ⁦@ManshipSchool⁩ — not on search committee but happy to answer questions ⁦@AEJMC⁩ #jobalerts ⁦@adage⁩ ⁦@Adweek⁩  https://t.co/ClCavIiwX0"/>
    <n v="5"/>
    <n v="8"/>
    <n v="0"/>
    <n v="1"/>
    <n v="1786"/>
    <x v="5"/>
    <s v="https://www.higheredjobs.com/faculty/details.cfm?JobCode=178594235"/>
    <s v="higheredjobs.com"/>
    <s v="manshipschool aejmc adage adweek"/>
    <m/>
    <m/>
    <s v="Twitter for iPhone"/>
    <s v="en"/>
    <s v="https://twitter.com/willthewordguy/status/1719854110231371957"/>
    <x v="14"/>
    <d v="2023-11-01T00:00:00"/>
    <s v="23:09:07"/>
    <b v="0"/>
    <m/>
    <m/>
    <m/>
    <m/>
    <m/>
    <m/>
    <m/>
    <m/>
    <m/>
    <m/>
    <m/>
    <m/>
    <s v="https://pbs.twimg.com/profile_images/1331376273755664384/mF7tQg3B_normal.jpg"/>
    <s v="1719854110231371957"/>
    <s v="1719854110231371957"/>
    <m/>
    <s v=""/>
    <s v=""/>
    <s v=""/>
    <s v="1719854110231371957"/>
    <n v="414179273"/>
    <m/>
    <m/>
    <m/>
    <m/>
    <m/>
    <n v="1"/>
    <s v="2"/>
    <s v="2"/>
    <m/>
    <m/>
    <m/>
    <m/>
    <m/>
    <m/>
    <m/>
    <m/>
    <m/>
  </r>
  <r>
    <s v="carabyrd"/>
    <s v="aejmcmmee"/>
    <m/>
    <m/>
    <m/>
    <m/>
    <m/>
    <m/>
    <m/>
    <m/>
    <s v="No"/>
    <n v="32"/>
    <m/>
    <m/>
    <x v="1"/>
    <d v="2023-10-31T20:20:14"/>
    <s v="RT @AEJMCMMEE: The paper call for 2024 AEJMC Midwinter Conference is now out. The deadline to submit extended abstracts (only 600 to 800 wo…"/>
    <n v="5"/>
    <n v="0"/>
    <n v="0"/>
    <n v="0"/>
    <m/>
    <x v="0"/>
    <m/>
    <m/>
    <s v="aejmcmmee"/>
    <m/>
    <m/>
    <s v="Twitter Web App"/>
    <s v="en"/>
    <s v="https://twitter.com/carabyrd/status/1719449220498022851"/>
    <x v="15"/>
    <d v="2023-10-31T00:00:00"/>
    <s v="20:20:14"/>
    <b v="0"/>
    <m/>
    <m/>
    <m/>
    <m/>
    <m/>
    <m/>
    <m/>
    <m/>
    <m/>
    <m/>
    <m/>
    <m/>
    <s v="https://pbs.twimg.com/profile_images/1641843825688838144/sHCTtMet_normal.jpg"/>
    <s v="1719449220498022851"/>
    <s v="1719449220498022851"/>
    <m/>
    <s v=""/>
    <s v=""/>
    <s v="1719398651049726196"/>
    <s v="1719398651049726196"/>
    <n v="17179241"/>
    <m/>
    <m/>
    <m/>
    <m/>
    <m/>
    <n v="1"/>
    <s v="10"/>
    <s v="10"/>
    <n v="0"/>
    <n v="0"/>
    <n v="0"/>
    <n v="0"/>
    <n v="0"/>
    <n v="0"/>
    <n v="13"/>
    <n v="54.166666666666664"/>
    <n v="24"/>
  </r>
  <r>
    <s v="carabyrd"/>
    <s v="aejmc_prd"/>
    <m/>
    <m/>
    <m/>
    <m/>
    <m/>
    <m/>
    <m/>
    <m/>
    <s v="No"/>
    <n v="33"/>
    <m/>
    <m/>
    <x v="2"/>
    <d v="2023-11-04T20:01:57"/>
    <s v="RT @AEJMC_PRD: Join the @AEJMC_PRD Teaching Committee on Thursday, Nov. 9 from 2-3 p.m. ET for #PRProfChatCoffeeTalk. This informal chat wi…"/>
    <n v="1"/>
    <n v="0"/>
    <n v="0"/>
    <n v="0"/>
    <m/>
    <x v="6"/>
    <m/>
    <m/>
    <s v="aejmc_prd aejmc_prd"/>
    <m/>
    <m/>
    <s v="Twitter for Android"/>
    <s v="en"/>
    <s v="https://twitter.com/carabyrd/status/1720894169428988212"/>
    <x v="16"/>
    <d v="2023-11-04T00:00:00"/>
    <s v="20:01:57"/>
    <m/>
    <m/>
    <m/>
    <m/>
    <m/>
    <m/>
    <m/>
    <m/>
    <m/>
    <m/>
    <m/>
    <m/>
    <m/>
    <s v="https://pbs.twimg.com/profile_images/1641843825688838144/sHCTtMet_normal.jpg"/>
    <s v="1720894169428988212"/>
    <s v="1720894169428988212"/>
    <m/>
    <s v=""/>
    <s v=""/>
    <s v="1720888166104592768"/>
    <s v="1720888166104592768"/>
    <n v="17179241"/>
    <m/>
    <m/>
    <m/>
    <m/>
    <m/>
    <n v="1"/>
    <s v="10"/>
    <s v="2"/>
    <m/>
    <m/>
    <m/>
    <m/>
    <m/>
    <m/>
    <m/>
    <m/>
    <m/>
  </r>
  <r>
    <s v="j_o_rawlins"/>
    <s v="aejmc_prd"/>
    <m/>
    <m/>
    <m/>
    <m/>
    <m/>
    <m/>
    <m/>
    <m/>
    <s v="No"/>
    <n v="35"/>
    <m/>
    <m/>
    <x v="2"/>
    <d v="2023-11-01T02:00:47"/>
    <s v="RT @willthewordguy: Assistant Professor - School of Media and Communication ⁦@bgsu⁩ ⁦@AEJMC⁩ ⁦@AEJMC_PRD⁩ #jobalert  https://t.co/snRcg3uWt3"/>
    <n v="2"/>
    <n v="0"/>
    <n v="0"/>
    <n v="0"/>
    <m/>
    <x v="7"/>
    <s v="https://www.schooljobs.com/careers/bgsu/jobs/4264712/assistant-professor-school-of-media-and-communication?page=3&amp;pagetype=jobOpportunitiesJobs"/>
    <s v="schooljobs.com"/>
    <s v="willthewordguy bgsu aejmc aejmc_prd"/>
    <m/>
    <m/>
    <s v="Twitter Web App"/>
    <s v="en"/>
    <s v="https://twitter.com/j_o_rawlins/status/1719534921486901428"/>
    <x v="17"/>
    <d v="2023-11-01T00:00:00"/>
    <s v="02:00:47"/>
    <b v="0"/>
    <m/>
    <m/>
    <m/>
    <m/>
    <m/>
    <m/>
    <m/>
    <m/>
    <m/>
    <m/>
    <m/>
    <m/>
    <s v="https://pbs.twimg.com/profile_images/1380239699550298115/81rHaRRe_normal.jpg"/>
    <s v="1719534921486901428"/>
    <s v="1719534921486901428"/>
    <m/>
    <s v=""/>
    <s v=""/>
    <s v="1719522068411085041"/>
    <s v="1719522068411085041"/>
    <n v="445932915"/>
    <m/>
    <m/>
    <m/>
    <m/>
    <m/>
    <n v="1"/>
    <s v="2"/>
    <s v="2"/>
    <m/>
    <m/>
    <m/>
    <m/>
    <m/>
    <m/>
    <m/>
    <m/>
    <m/>
  </r>
  <r>
    <s v="workacademic"/>
    <s v="aejmc"/>
    <m/>
    <m/>
    <m/>
    <m/>
    <m/>
    <m/>
    <m/>
    <m/>
    <s v="No"/>
    <n v="39"/>
    <m/>
    <m/>
    <x v="2"/>
    <d v="2023-11-03T01:47:23"/>
    <s v="RT @willthewordguy: Marquette University | Assistant/Associate Professor in Health Communication ⁦@AEJMC⁩ #jobalert  https://t.co/Cp5gLn8QFa"/>
    <n v="2"/>
    <n v="0"/>
    <n v="0"/>
    <n v="0"/>
    <m/>
    <x v="7"/>
    <s v="https://employment.marquette.edu/postings/20457"/>
    <s v="marquette.edu"/>
    <s v="willthewordguy aejmc"/>
    <m/>
    <m/>
    <s v="Twitter Web App"/>
    <s v="en"/>
    <s v="https://twitter.com/workacademic/status/1720256325337440397"/>
    <x v="18"/>
    <d v="2023-11-03T00:00:00"/>
    <s v="01:47:23"/>
    <b v="0"/>
    <m/>
    <m/>
    <m/>
    <m/>
    <m/>
    <m/>
    <m/>
    <m/>
    <m/>
    <m/>
    <m/>
    <m/>
    <s v="https://pbs.twimg.com/profile_images/1311339449926598657/wnL-4fEN_normal.jpg"/>
    <s v="1720256325337440397"/>
    <s v="1720256325337440397"/>
    <m/>
    <s v=""/>
    <s v=""/>
    <s v="1719552058796241046"/>
    <s v="1719552058796241046"/>
    <s v="1311337818518556672"/>
    <m/>
    <m/>
    <m/>
    <m/>
    <m/>
    <n v="1"/>
    <s v="1"/>
    <s v="1"/>
    <m/>
    <m/>
    <m/>
    <m/>
    <m/>
    <m/>
    <m/>
    <m/>
    <m/>
  </r>
  <r>
    <s v="princeadugyamf6"/>
    <s v="manshipschool"/>
    <m/>
    <m/>
    <m/>
    <m/>
    <m/>
    <m/>
    <m/>
    <m/>
    <s v="No"/>
    <n v="41"/>
    <m/>
    <m/>
    <x v="2"/>
    <d v="2023-11-01T23:51:32"/>
    <s v="RT @willthewordguy: Assistant Professor in Digital Advertising - HigherEdJobs — new posting from us ⁦@ManshipSchool⁩ — not on search commit…"/>
    <n v="5"/>
    <n v="0"/>
    <n v="0"/>
    <n v="0"/>
    <m/>
    <x v="0"/>
    <m/>
    <m/>
    <s v="willthewordguy manshipschool"/>
    <m/>
    <m/>
    <s v="Twitter for iPhone"/>
    <s v="en"/>
    <s v="https://twitter.com/princeadugyamf6/status/1719864784147878315"/>
    <x v="19"/>
    <d v="2023-11-01T00:00:00"/>
    <s v="23:51:32"/>
    <m/>
    <m/>
    <m/>
    <m/>
    <m/>
    <m/>
    <m/>
    <m/>
    <m/>
    <m/>
    <m/>
    <m/>
    <m/>
    <s v="https://pbs.twimg.com/profile_images/1702778522324946944/SRV3oyhE_normal.jpg"/>
    <s v="1719864784147878315"/>
    <s v="1719864784147878315"/>
    <m/>
    <s v=""/>
    <s v=""/>
    <s v="1719854110231371957"/>
    <s v="1719854110231371957"/>
    <n v="890840216"/>
    <m/>
    <m/>
    <m/>
    <m/>
    <m/>
    <n v="1"/>
    <s v="2"/>
    <s v="2"/>
    <m/>
    <m/>
    <m/>
    <m/>
    <m/>
    <m/>
    <m/>
    <m/>
    <m/>
  </r>
  <r>
    <s v="janlaurenb"/>
    <s v="isu_gsjc"/>
    <m/>
    <m/>
    <m/>
    <m/>
    <m/>
    <m/>
    <m/>
    <m/>
    <s v="Yes"/>
    <n v="43"/>
    <m/>
    <m/>
    <x v="3"/>
    <d v="2023-10-29T23:24:47"/>
    <s v="Still time to apply, @aejmc friends! NEW JOB ALERT 📢 We're hiring for a faculty position at the Greenlee School (@ISU_GSJC)! We have an opportunity for an Asst Prof of Practice or Asst Teaching Prof in Broadcast Media &amp;amp; Video Production. Deadline: Nov. 5. https://t.co/9bfJhYo5zf"/>
    <n v="2"/>
    <n v="7"/>
    <n v="0"/>
    <n v="0"/>
    <n v="901"/>
    <x v="0"/>
    <s v="https://isu.wd1.myworkdayjobs.com/en-US/IowaStateJobs/job/Assistant-Professor-of-Practice-or-Assistant-Teaching-Professor-in-Broadcast-Media-and-Video-Production_R13235"/>
    <s v="myworkdayjobs.com"/>
    <s v="aejmc isu_gsjc"/>
    <m/>
    <m/>
    <s v="Twitter Web App"/>
    <s v="en"/>
    <s v="https://twitter.com/janlaurenb/status/1718770888999411881"/>
    <x v="20"/>
    <d v="2023-10-29T00:00:00"/>
    <s v="23:24:47"/>
    <b v="0"/>
    <m/>
    <m/>
    <m/>
    <m/>
    <m/>
    <m/>
    <m/>
    <m/>
    <m/>
    <m/>
    <m/>
    <m/>
    <s v="https://pbs.twimg.com/profile_images/1662608670343962627/AZ_wcehv_normal.jpg"/>
    <s v="1718770888999411881"/>
    <s v="1718770888999411881"/>
    <m/>
    <s v=""/>
    <s v=""/>
    <s v=""/>
    <s v="1718770888999411881"/>
    <n v="27266818"/>
    <m/>
    <m/>
    <m/>
    <m/>
    <m/>
    <n v="1"/>
    <s v="2"/>
    <s v="2"/>
    <n v="0"/>
    <n v="0"/>
    <n v="0"/>
    <n v="0"/>
    <n v="0"/>
    <n v="0"/>
    <n v="26"/>
    <n v="60.465116279069768"/>
    <n v="43"/>
  </r>
  <r>
    <s v="isu_gsjc"/>
    <s v="janlaurenb"/>
    <m/>
    <m/>
    <m/>
    <m/>
    <m/>
    <m/>
    <m/>
    <m/>
    <s v="Yes"/>
    <n v="45"/>
    <m/>
    <m/>
    <x v="1"/>
    <d v="2023-10-30T13:25:47"/>
    <s v="RT @JanLaurenB: Still time to apply, @aejmc friends! NEW JOB ALERT 📢 We're hiring for a faculty position at the Greenlee School (@ISU_GSJC)…"/>
    <n v="2"/>
    <n v="0"/>
    <n v="0"/>
    <n v="0"/>
    <m/>
    <x v="0"/>
    <m/>
    <m/>
    <s v="janlaurenb aejmc isu_gsjc"/>
    <m/>
    <m/>
    <s v="Twitter Web App"/>
    <s v="en"/>
    <s v="https://twitter.com/isu_gsjc/status/1718982530567913695"/>
    <x v="21"/>
    <d v="2023-10-30T00:00:00"/>
    <s v="13:25:47"/>
    <m/>
    <m/>
    <m/>
    <m/>
    <m/>
    <m/>
    <m/>
    <m/>
    <m/>
    <m/>
    <m/>
    <m/>
    <m/>
    <s v="https://pbs.twimg.com/profile_images/1222976911833321472/d_rRF3Kl_normal.jpg"/>
    <s v="1718982530567913695"/>
    <s v="1718982530567913695"/>
    <m/>
    <s v=""/>
    <s v=""/>
    <s v="1718770888999411881"/>
    <s v="1718770888999411881"/>
    <n v="2542104865"/>
    <m/>
    <m/>
    <m/>
    <m/>
    <m/>
    <n v="1"/>
    <s v="2"/>
    <s v="2"/>
    <m/>
    <m/>
    <m/>
    <m/>
    <m/>
    <m/>
    <m/>
    <m/>
    <m/>
  </r>
  <r>
    <s v="annefmaclennan"/>
    <s v="janlaurenb"/>
    <m/>
    <m/>
    <m/>
    <m/>
    <m/>
    <m/>
    <m/>
    <m/>
    <s v="No"/>
    <n v="46"/>
    <m/>
    <m/>
    <x v="1"/>
    <d v="2023-10-30T03:06:51"/>
    <s v="RT @JanLaurenB: Still time to apply, @aejmc friends! NEW JOB ALERT 📢 We're hiring for a faculty position at the Greenlee School (@ISU_GSJC)…"/>
    <n v="2"/>
    <n v="0"/>
    <n v="0"/>
    <n v="0"/>
    <m/>
    <x v="0"/>
    <m/>
    <m/>
    <s v="janlaurenb aejmc isu_gsjc"/>
    <m/>
    <m/>
    <s v="Twitter Web App"/>
    <s v="en"/>
    <s v="https://twitter.com/annefmaclennan/status/1718826772110676208"/>
    <x v="22"/>
    <d v="2023-10-30T00:00:00"/>
    <s v="03:06:51"/>
    <m/>
    <m/>
    <m/>
    <m/>
    <m/>
    <m/>
    <m/>
    <m/>
    <m/>
    <m/>
    <m/>
    <m/>
    <m/>
    <s v="https://pbs.twimg.com/profile_images/605544839652843521/bJuIHXNl_normal.jpg"/>
    <s v="1718826772110676208"/>
    <s v="1718826772110676208"/>
    <m/>
    <s v=""/>
    <s v=""/>
    <s v="1718770888999411881"/>
    <s v="1718770888999411881"/>
    <n v="3306005770"/>
    <m/>
    <m/>
    <m/>
    <m/>
    <m/>
    <n v="1"/>
    <s v="2"/>
    <s v="2"/>
    <m/>
    <m/>
    <m/>
    <m/>
    <m/>
    <m/>
    <m/>
    <m/>
    <m/>
  </r>
  <r>
    <s v="willthewordguy"/>
    <s v="bgsu"/>
    <m/>
    <m/>
    <m/>
    <m/>
    <m/>
    <m/>
    <m/>
    <m/>
    <s v="No"/>
    <n v="47"/>
    <m/>
    <m/>
    <x v="3"/>
    <d v="2023-11-01T01:09:42"/>
    <s v="Assistant Professor - School of Media and Communication ⁦@bgsu⁩ ⁦@AEJMC⁩ ⁦@AEJMC_PRD⁩ #jobalert  https://t.co/snRcg3uWt3"/>
    <n v="2"/>
    <n v="2"/>
    <n v="0"/>
    <n v="0"/>
    <n v="396"/>
    <x v="7"/>
    <s v="https://www.schooljobs.com/careers/bgsu/jobs/4264712/assistant-professor-school-of-media-and-communication?page=3&amp;pagetype=jobOpportunitiesJobs"/>
    <s v="schooljobs.com"/>
    <s v="bgsu aejmc aejmc_prd"/>
    <m/>
    <m/>
    <s v="Twitter for iPhone"/>
    <s v="en"/>
    <s v="https://twitter.com/willthewordguy/status/1719522068411085041"/>
    <x v="23"/>
    <d v="2023-11-01T00:00:00"/>
    <s v="01:09:42"/>
    <b v="0"/>
    <m/>
    <m/>
    <m/>
    <m/>
    <m/>
    <m/>
    <m/>
    <m/>
    <m/>
    <m/>
    <m/>
    <m/>
    <s v="https://pbs.twimg.com/profile_images/1331376273755664384/mF7tQg3B_normal.jpg"/>
    <s v="1719522068411085041"/>
    <s v="1719522068411085041"/>
    <m/>
    <s v=""/>
    <s v=""/>
    <s v=""/>
    <s v="1719522068411085041"/>
    <n v="414179273"/>
    <m/>
    <m/>
    <m/>
    <m/>
    <m/>
    <n v="1"/>
    <s v="2"/>
    <s v="2"/>
    <n v="0"/>
    <n v="0"/>
    <n v="0"/>
    <n v="0"/>
    <n v="0"/>
    <n v="0"/>
    <n v="9"/>
    <n v="81.818181818181813"/>
    <n v="11"/>
  </r>
  <r>
    <s v="annefmaclennan"/>
    <s v="bgsu"/>
    <m/>
    <m/>
    <m/>
    <m/>
    <m/>
    <m/>
    <m/>
    <m/>
    <s v="No"/>
    <n v="48"/>
    <m/>
    <m/>
    <x v="2"/>
    <d v="2023-11-01T01:35:49"/>
    <s v="RT @willthewordguy: Assistant Professor - School of Media and Communication ⁦@bgsu⁩ ⁦@AEJMC⁩ ⁦@AEJMC_PRD⁩ #jobalert  https://t.co/snRcg3uWt3"/>
    <n v="2"/>
    <n v="0"/>
    <n v="0"/>
    <n v="0"/>
    <m/>
    <x v="7"/>
    <s v="https://www.schooljobs.com/careers/bgsu/jobs/4264712/assistant-professor-school-of-media-and-communication?page=3&amp;pagetype=jobOpportunitiesJobs"/>
    <s v="schooljobs.com"/>
    <s v="willthewordguy bgsu aejmc aejmc_prd"/>
    <m/>
    <m/>
    <s v="Twitter Web App"/>
    <s v="en"/>
    <s v="https://twitter.com/annefmaclennan/status/1719528640973516901"/>
    <x v="24"/>
    <d v="2023-11-01T00:00:00"/>
    <s v="01:35:49"/>
    <b v="0"/>
    <m/>
    <m/>
    <m/>
    <m/>
    <m/>
    <m/>
    <m/>
    <m/>
    <m/>
    <m/>
    <m/>
    <m/>
    <s v="https://pbs.twimg.com/profile_images/605544839652843521/bJuIHXNl_normal.jpg"/>
    <s v="1719528640973516901"/>
    <s v="1719528640973516901"/>
    <m/>
    <s v=""/>
    <s v=""/>
    <s v="1719522068411085041"/>
    <s v="1719522068411085041"/>
    <n v="3306005770"/>
    <m/>
    <m/>
    <m/>
    <m/>
    <m/>
    <n v="1"/>
    <s v="2"/>
    <s v="2"/>
    <m/>
    <m/>
    <m/>
    <m/>
    <m/>
    <m/>
    <m/>
    <m/>
    <m/>
  </r>
  <r>
    <s v="annefmaclennan"/>
    <s v="aejmc"/>
    <m/>
    <m/>
    <m/>
    <m/>
    <m/>
    <m/>
    <m/>
    <m/>
    <s v="No"/>
    <n v="49"/>
    <m/>
    <m/>
    <x v="2"/>
    <d v="2023-11-01T05:49:39"/>
    <s v="RT @willthewordguy: Marquette University | Assistant/Associate Professor in Health Communication ⁦@AEJMC⁩ #jobalert  https://t.co/Cp5gLn8QFa"/>
    <n v="2"/>
    <n v="0"/>
    <n v="0"/>
    <n v="0"/>
    <m/>
    <x v="7"/>
    <s v="https://employment.marquette.edu/postings/20457"/>
    <s v="marquette.edu"/>
    <s v="willthewordguy aejmc"/>
    <m/>
    <m/>
    <s v="Twitter Web App"/>
    <s v="en"/>
    <s v="https://twitter.com/annefmaclennan/status/1719592518806114639"/>
    <x v="25"/>
    <d v="2023-11-01T00:00:00"/>
    <s v="05:49:39"/>
    <b v="0"/>
    <m/>
    <m/>
    <m/>
    <m/>
    <m/>
    <m/>
    <m/>
    <m/>
    <m/>
    <m/>
    <m/>
    <m/>
    <s v="https://pbs.twimg.com/profile_images/605544839652843521/bJuIHXNl_normal.jpg"/>
    <s v="1719592518806114639"/>
    <s v="1719592518806114639"/>
    <m/>
    <s v=""/>
    <s v=""/>
    <s v="1719552058796241046"/>
    <s v="1719552058796241046"/>
    <n v="3306005770"/>
    <m/>
    <m/>
    <m/>
    <m/>
    <m/>
    <n v="3"/>
    <s v="2"/>
    <s v="1"/>
    <m/>
    <m/>
    <m/>
    <m/>
    <m/>
    <m/>
    <m/>
    <m/>
    <m/>
  </r>
  <r>
    <s v="aejmc_rmig"/>
    <s v="columbiaup"/>
    <m/>
    <m/>
    <m/>
    <m/>
    <m/>
    <m/>
    <m/>
    <m/>
    <s v="No"/>
    <n v="56"/>
    <m/>
    <m/>
    <x v="1"/>
    <d v="2023-10-29T17:58:25"/>
    <s v="RT @ColumbiaUP: Now available! &quot;The long history of free enterprise in the United States cannot be understood without reckoning with the hi…"/>
    <n v="6"/>
    <n v="0"/>
    <n v="0"/>
    <n v="0"/>
    <m/>
    <x v="0"/>
    <m/>
    <m/>
    <s v="columbiaup"/>
    <m/>
    <m/>
    <s v="Twitter for iPhone"/>
    <s v="en"/>
    <s v="https://twitter.com/aejmc_rmig/status/1718688756105126073"/>
    <x v="26"/>
    <d v="2023-10-29T00:00:00"/>
    <s v="17:58:25"/>
    <m/>
    <m/>
    <m/>
    <m/>
    <m/>
    <m/>
    <m/>
    <m/>
    <m/>
    <m/>
    <m/>
    <m/>
    <m/>
    <s v="https://pbs.twimg.com/profile_images/1422692606962716672/vssCrcL1_normal.jpg"/>
    <s v="1718688756105126073"/>
    <s v="1718688756105126073"/>
    <m/>
    <s v=""/>
    <s v=""/>
    <s v="1718686137701585028"/>
    <s v="1718686137701585028"/>
    <s v="1422690579964645379"/>
    <m/>
    <m/>
    <m/>
    <m/>
    <m/>
    <n v="1"/>
    <s v="15"/>
    <s v="15"/>
    <n v="2"/>
    <n v="9.0909090909090917"/>
    <n v="0"/>
    <n v="0"/>
    <n v="0"/>
    <n v="0"/>
    <n v="10"/>
    <n v="45.454545454545453"/>
    <n v="22"/>
  </r>
  <r>
    <s v="aejmc_prd"/>
    <s v="aejmc_prd"/>
    <m/>
    <m/>
    <m/>
    <m/>
    <m/>
    <m/>
    <m/>
    <m/>
    <s v="No"/>
    <n v="59"/>
    <m/>
    <m/>
    <x v="3"/>
    <d v="2023-11-04T19:38:06"/>
    <s v="Join the @AEJMC_PRD Teaching Committee on Thursday, Nov. 9 from 2-3 p.m. ET for #PRProfChatCoffeeTalk. This informal chat will provide support for our members and build community. Everyone is welcome. _x000a__x000a_Join at https://t.co/DNi86jnk45_x000a__x000a_#PRProfChat #PRProf #SMProf #AEJMC #AEJMCPRD https://t.co/WkEwj0fxWO"/>
    <n v="1"/>
    <n v="3"/>
    <n v="0"/>
    <n v="1"/>
    <n v="580"/>
    <x v="8"/>
    <s v="https://olemiss.zoom.us/j/91781083553"/>
    <s v="zoom.us"/>
    <s v="aejmc_prd"/>
    <s v="https://t.co/WkEwj0fxWO https://pbs.twimg.com/media/F-HRsi1WMAA2DI-.jpg"/>
    <s v="photo"/>
    <s v="Twitter Web App"/>
    <s v="en"/>
    <s v="https://twitter.com/aejmc_prd/status/1720888166104592768"/>
    <x v="27"/>
    <d v="2023-11-04T00:00:00"/>
    <s v="19:38:06"/>
    <b v="0"/>
    <m/>
    <m/>
    <m/>
    <m/>
    <m/>
    <m/>
    <m/>
    <s v="3_1720887095827247104"/>
    <m/>
    <m/>
    <m/>
    <m/>
    <s v="https://pbs.twimg.com/media/F-HRsi1WMAA2DI-.jpg"/>
    <s v="1720888166104592768"/>
    <s v="1720888166104592768"/>
    <m/>
    <s v=""/>
    <s v=""/>
    <s v=""/>
    <s v="1720888166104592768"/>
    <n v="48711250"/>
    <m/>
    <m/>
    <m/>
    <m/>
    <m/>
    <n v="1"/>
    <s v="2"/>
    <s v="2"/>
    <n v="2"/>
    <n v="5.1282051282051286"/>
    <n v="0"/>
    <n v="0"/>
    <n v="0"/>
    <n v="0"/>
    <n v="20"/>
    <n v="51.282051282051285"/>
    <n v="39"/>
  </r>
  <r>
    <s v="aejmc_prd"/>
    <s v="aejmc"/>
    <m/>
    <m/>
    <m/>
    <m/>
    <m/>
    <m/>
    <m/>
    <m/>
    <s v="No"/>
    <n v="60"/>
    <m/>
    <m/>
    <x v="3"/>
    <d v="2023-10-23T18:47:04"/>
    <s v="Happy Monday!😊_x000a_Join the @AEJMCPRD Teaching Committee and @AEJMC Standing Committee on Teaching on Tuesday, Oct. 31 from 12-1 p.m. for #PRProfChat. Our October workshop will feature best practices for pedagogy research that you can submit to a conference or for publication. https://t.co/iqR3IbUZBn"/>
    <n v="2"/>
    <n v="10"/>
    <n v="1"/>
    <n v="5"/>
    <n v="2697"/>
    <x v="9"/>
    <m/>
    <m/>
    <s v="aejmc"/>
    <s v="https://t.co/iqR3IbUZBn https://pbs.twimg.com/media/F9JTS4GagAEmrtd.jpg"/>
    <s v="photo"/>
    <s v="Twitter Web App"/>
    <s v="en"/>
    <s v="https://twitter.com/aejmc_prd/status/1716526669639614760"/>
    <x v="28"/>
    <d v="2023-10-23T00:00:00"/>
    <s v="18:47:04"/>
    <b v="0"/>
    <m/>
    <m/>
    <m/>
    <m/>
    <m/>
    <m/>
    <m/>
    <s v="3_1716525991743619073"/>
    <m/>
    <m/>
    <m/>
    <m/>
    <s v="https://pbs.twimg.com/media/F9JTS4GagAEmrtd.jpg"/>
    <s v="1716526669639614760"/>
    <s v="1716526669639614760"/>
    <m/>
    <s v=""/>
    <s v=""/>
    <s v=""/>
    <s v="1716526669639614760"/>
    <n v="48711250"/>
    <m/>
    <m/>
    <m/>
    <m/>
    <m/>
    <n v="1"/>
    <s v="2"/>
    <s v="1"/>
    <n v="2"/>
    <n v="4.5454545454545459"/>
    <n v="0"/>
    <n v="0"/>
    <n v="0"/>
    <n v="0"/>
    <n v="23"/>
    <n v="52.272727272727273"/>
    <n v="44"/>
  </r>
  <r>
    <s v="aejmc_prd"/>
    <s v="aejmc_prd"/>
    <m/>
    <m/>
    <m/>
    <m/>
    <m/>
    <m/>
    <m/>
    <m/>
    <s v="No"/>
    <n v="61"/>
    <m/>
    <m/>
    <x v="5"/>
    <d v="2023-11-03T19:26:00"/>
    <s v="Take a look at this information-packed issue of PRD update! ACEJMC accreditation advice, PRD committee updates, 2023 conference recap, and more! #newsletter #aejmc2023 #AEJMCPRD https://t.co/jT4Lbl1GNG https://t.co/b5M9PPaI6p"/>
    <n v="0"/>
    <n v="1"/>
    <n v="0"/>
    <n v="0"/>
    <n v="100"/>
    <x v="10"/>
    <s v="https://community.aejmc.org/publi.../publications/newsletter"/>
    <s v="aejmc.org"/>
    <m/>
    <s v="https://t.co/b5M9PPaI6p https://pbs.twimg.com/media/F9tgJw4XIAAbXgn.jpg"/>
    <s v="photo"/>
    <s v="Twitter Web App"/>
    <s v="en"/>
    <s v="https://twitter.com/aejmc_prd/status/1720522733946093576"/>
    <x v="29"/>
    <d v="2023-11-03T00:00:00"/>
    <s v="19:26:00"/>
    <b v="0"/>
    <m/>
    <m/>
    <m/>
    <m/>
    <m/>
    <m/>
    <m/>
    <s v="3_1719073403628363776"/>
    <m/>
    <m/>
    <m/>
    <m/>
    <s v="https://pbs.twimg.com/media/F9tgJw4XIAAbXgn.jpg"/>
    <s v="1720522733946093576"/>
    <s v="1720522733946093576"/>
    <m/>
    <s v=""/>
    <s v=""/>
    <s v=""/>
    <s v="1720522733946093576"/>
    <n v="48711250"/>
    <m/>
    <m/>
    <m/>
    <m/>
    <m/>
    <n v="3"/>
    <s v="2"/>
    <s v="2"/>
    <n v="0"/>
    <n v="0"/>
    <n v="1"/>
    <n v="4"/>
    <n v="0"/>
    <n v="0"/>
    <n v="19"/>
    <n v="76"/>
    <n v="25"/>
  </r>
  <r>
    <s v="aejmc_prd"/>
    <s v="aejmc_prd"/>
    <m/>
    <m/>
    <m/>
    <m/>
    <m/>
    <m/>
    <m/>
    <m/>
    <s v="No"/>
    <n v="62"/>
    <m/>
    <m/>
    <x v="5"/>
    <d v="2023-10-31T15:44:17"/>
    <s v="A Halloween treat for #PRProfs 🍬Last chance to catch this #PRProfChat Workshop about pedagogy research! Starting at 12 p.m. ET today. Register at https://t.co/StEp46U0JS https://t.co/ob5oLwlupS"/>
    <n v="0"/>
    <n v="4"/>
    <n v="0"/>
    <n v="1"/>
    <n v="336"/>
    <x v="11"/>
    <s v="https://kennesaw-edu.zoom.us/meeting/register/tZcpd-GurD0vHtOBt6ciqEa1hWY15Dijyo3R#/registration"/>
    <s v="zoom.us"/>
    <m/>
    <s v="https://t.co/ob5oLwlupS https://pbs.twimg.com/media/F9xslKgWEAAwHeM.jpg"/>
    <s v="photo"/>
    <s v="Twitter Web App"/>
    <s v="en"/>
    <s v="https://twitter.com/aejmc_prd/status/1719379773795750043"/>
    <x v="30"/>
    <d v="2023-10-31T00:00:00"/>
    <s v="15:44:17"/>
    <b v="0"/>
    <m/>
    <m/>
    <m/>
    <m/>
    <m/>
    <m/>
    <m/>
    <s v="3_1719368543479664640"/>
    <m/>
    <m/>
    <m/>
    <m/>
    <s v="https://pbs.twimg.com/media/F9xslKgWEAAwHeM.jpg"/>
    <s v="1719379773795750043"/>
    <s v="1719379773795750043"/>
    <m/>
    <s v=""/>
    <s v=""/>
    <s v=""/>
    <s v="1719379773795750043"/>
    <n v="48711250"/>
    <m/>
    <m/>
    <m/>
    <m/>
    <m/>
    <n v="3"/>
    <s v="2"/>
    <s v="2"/>
    <n v="0"/>
    <n v="0"/>
    <n v="0"/>
    <n v="0"/>
    <n v="0"/>
    <n v="0"/>
    <n v="14"/>
    <n v="58.333333333333336"/>
    <n v="24"/>
  </r>
  <r>
    <s v="aejmc_prd"/>
    <s v="aejmc_prd"/>
    <m/>
    <m/>
    <m/>
    <m/>
    <m/>
    <m/>
    <m/>
    <m/>
    <s v="No"/>
    <n v="63"/>
    <m/>
    <m/>
    <x v="5"/>
    <d v="2023-10-30T22:10:00"/>
    <s v="Student names can reinforce an instructor's commitment to assignment feedback._x000a_#TeachingTips #PRProfChat #AcademicExcellence #feedbackforstudent https://t.co/jLzeMxqRfo"/>
    <n v="1"/>
    <n v="4"/>
    <n v="0"/>
    <n v="0"/>
    <n v="253"/>
    <x v="12"/>
    <m/>
    <m/>
    <m/>
    <s v="https://t.co/jLzeMxqRfo https://pbs.twimg.com/media/F9tcXGJXEAAOUf6.jpg"/>
    <s v="photo"/>
    <s v="Twitter Web App"/>
    <s v="en"/>
    <s v="https://twitter.com/aejmc_prd/status/1719114454913446213"/>
    <x v="31"/>
    <d v="2023-10-30T00:00:00"/>
    <s v="22:10:00"/>
    <b v="0"/>
    <m/>
    <m/>
    <m/>
    <m/>
    <m/>
    <m/>
    <m/>
    <s v="3_1719069234628595712"/>
    <m/>
    <m/>
    <m/>
    <m/>
    <s v="https://pbs.twimg.com/media/F9tcXGJXEAAOUf6.jpg"/>
    <s v="1719114454913446213"/>
    <s v="1719114454913446213"/>
    <m/>
    <s v=""/>
    <s v=""/>
    <s v=""/>
    <s v="1719114454913446213"/>
    <n v="48711250"/>
    <m/>
    <m/>
    <m/>
    <m/>
    <m/>
    <n v="3"/>
    <s v="2"/>
    <s v="2"/>
    <n v="1"/>
    <n v="7.1428571428571432"/>
    <n v="0"/>
    <n v="0"/>
    <n v="0"/>
    <n v="0"/>
    <n v="10"/>
    <n v="71.428571428571431"/>
    <n v="14"/>
  </r>
  <r>
    <s v="jpreprd"/>
    <s v="aejmc_prd"/>
    <m/>
    <m/>
    <m/>
    <m/>
    <m/>
    <m/>
    <m/>
    <m/>
    <s v="No"/>
    <n v="64"/>
    <m/>
    <m/>
    <x v="1"/>
    <d v="2023-10-30T20:13:35"/>
    <s v="RT @AEJMC_PRD: Happy Monday!😊_x000a_Join the @AEJMCPRD Teaching Committee and @AEJMC Standing Committee on Teaching on Tuesday, Oct. 31 from 12-1…"/>
    <n v="2"/>
    <n v="0"/>
    <n v="0"/>
    <n v="0"/>
    <m/>
    <x v="0"/>
    <m/>
    <m/>
    <s v="aejmc_prd"/>
    <m/>
    <m/>
    <s v="Twitter Web App"/>
    <s v="en"/>
    <s v="https://twitter.com/jpreprd/status/1719085160015229016"/>
    <x v="32"/>
    <d v="2023-10-30T00:00:00"/>
    <s v="20:13:35"/>
    <m/>
    <m/>
    <m/>
    <m/>
    <m/>
    <m/>
    <m/>
    <m/>
    <m/>
    <m/>
    <m/>
    <m/>
    <m/>
    <s v="https://pbs.twimg.com/profile_images/1436489393309683718/NZYg-bsj_normal.png"/>
    <s v="1719085160015229016"/>
    <s v="1719085160015229016"/>
    <m/>
    <s v=""/>
    <s v=""/>
    <s v="1716526669639614760"/>
    <s v="1716526669639614760"/>
    <s v="1423714664651935746"/>
    <m/>
    <m/>
    <m/>
    <m/>
    <m/>
    <n v="1"/>
    <s v="2"/>
    <s v="2"/>
    <n v="1"/>
    <n v="4.5454545454545459"/>
    <n v="0"/>
    <n v="0"/>
    <n v="0"/>
    <n v="0"/>
    <n v="14"/>
    <n v="63.636363636363633"/>
    <n v="22"/>
  </r>
  <r>
    <s v="icd_aejmc"/>
    <s v="icd_aejmc"/>
    <m/>
    <m/>
    <m/>
    <m/>
    <m/>
    <m/>
    <m/>
    <m/>
    <s v="No"/>
    <n v="65"/>
    <m/>
    <m/>
    <x v="5"/>
    <d v="2023-10-31T19:02:09"/>
    <s v="Department of Communication at the University of South Alabama invites applicants for a full-time (9-month), tenure-track assistant professor position in Advertising and Public Relations to begin August 15, 2024. https://t.co/QaY1j5uFmz"/>
    <n v="0"/>
    <n v="0"/>
    <n v="0"/>
    <n v="0"/>
    <n v="98"/>
    <x v="0"/>
    <m/>
    <m/>
    <m/>
    <s v="https://t.co/QaY1j5uFmz https://t.co/QaY1j5uFmz https://pbs.twimg.com/media/F9ykDLJX0AAhAKG.jpg https://pbs.twimg.com/media/F9ykDr9WwAAH0xl.png"/>
    <s v="photo photo"/>
    <s v="Twitter Web App"/>
    <s v="en"/>
    <s v="https://twitter.com/icd_aejmc/status/1719429570024091940"/>
    <x v="33"/>
    <d v="2023-10-31T00:00:00"/>
    <s v="19:02:09"/>
    <b v="0"/>
    <m/>
    <m/>
    <m/>
    <m/>
    <m/>
    <m/>
    <m/>
    <s v="3_1719429532187348992 3_1719429540995317760"/>
    <m/>
    <m/>
    <m/>
    <m/>
    <s v="https://pbs.twimg.com/media/F9ykDLJX0AAhAKG.jpg"/>
    <s v="1719429570024091940"/>
    <s v="1719429570024091940"/>
    <m/>
    <s v=""/>
    <s v=""/>
    <s v=""/>
    <s v="1719429570024091940"/>
    <n v="1636606320"/>
    <m/>
    <m/>
    <m/>
    <m/>
    <m/>
    <n v="1"/>
    <s v="13"/>
    <s v="13"/>
    <n v="0"/>
    <n v="0"/>
    <n v="0"/>
    <n v="0"/>
    <n v="0"/>
    <n v="0"/>
    <n v="22"/>
    <n v="68.75"/>
    <n v="32"/>
  </r>
  <r>
    <s v="drefb1"/>
    <s v="stevedepo"/>
    <m/>
    <m/>
    <m/>
    <m/>
    <m/>
    <m/>
    <m/>
    <m/>
    <s v="No"/>
    <n v="66"/>
    <m/>
    <m/>
    <x v="1"/>
    <d v="2023-11-05T01:42:11"/>
    <s v="RT @stevedepo: Join IECA in 2024! Benefits include on-line access to ENVIRONMENTAL COMMUNICATION, discounts for 2025 COCE and on-line cours…"/>
    <n v="4"/>
    <n v="0"/>
    <n v="0"/>
    <n v="0"/>
    <m/>
    <x v="0"/>
    <m/>
    <m/>
    <s v="stevedepo"/>
    <m/>
    <m/>
    <s v="Twitter for iPhone"/>
    <s v="en"/>
    <s v="https://twitter.com/drefb1/status/1720979792630370409"/>
    <x v="34"/>
    <d v="2023-11-05T00:00:00"/>
    <s v="01:42:11"/>
    <m/>
    <m/>
    <m/>
    <m/>
    <m/>
    <m/>
    <m/>
    <m/>
    <m/>
    <m/>
    <m/>
    <m/>
    <m/>
    <s v="https://pbs.twimg.com/profile_images/1250098700296175618/S-7T9ZM4_normal.jpg"/>
    <s v="1720979792630370409"/>
    <s v="1720979792630370409"/>
    <m/>
    <s v=""/>
    <s v=""/>
    <s v="1720917387485020564"/>
    <s v="1720917387485020564"/>
    <s v="1072188111625568257"/>
    <m/>
    <m/>
    <m/>
    <m/>
    <m/>
    <n v="1"/>
    <s v="7"/>
    <s v="7"/>
    <n v="1"/>
    <n v="4.5454545454545459"/>
    <n v="0"/>
    <n v="0"/>
    <n v="0"/>
    <n v="0"/>
    <n v="14"/>
    <n v="63.636363636363633"/>
    <n v="22"/>
  </r>
  <r>
    <s v="dave_parisi"/>
    <s v="manshipschool"/>
    <m/>
    <m/>
    <m/>
    <m/>
    <m/>
    <m/>
    <m/>
    <m/>
    <s v="No"/>
    <n v="67"/>
    <m/>
    <m/>
    <x v="2"/>
    <d v="2023-11-02T00:24:32"/>
    <s v="RT @willthewordguy: Assistant Professor in Digital Advertising - HigherEdJobs — new posting from us ⁦@ManshipSchool⁩ — not on search commit…"/>
    <n v="5"/>
    <n v="0"/>
    <n v="0"/>
    <n v="0"/>
    <m/>
    <x v="0"/>
    <m/>
    <m/>
    <s v="willthewordguy manshipschool"/>
    <m/>
    <m/>
    <s v="Twitter for Android"/>
    <s v="en"/>
    <s v="https://twitter.com/dave_parisi/status/1719873085816369246"/>
    <x v="35"/>
    <d v="2023-11-02T00:00:00"/>
    <s v="00:24:32"/>
    <m/>
    <m/>
    <m/>
    <m/>
    <m/>
    <m/>
    <m/>
    <m/>
    <m/>
    <m/>
    <m/>
    <m/>
    <m/>
    <s v="https://pbs.twimg.com/profile_images/1495073752341782540/tSJocytd_normal.jpg"/>
    <s v="1719873085816369246"/>
    <s v="1719873085816369246"/>
    <m/>
    <s v=""/>
    <s v=""/>
    <s v="1719854110231371957"/>
    <s v="1719854110231371957"/>
    <n v="438476687"/>
    <m/>
    <m/>
    <m/>
    <m/>
    <m/>
    <n v="1"/>
    <s v="2"/>
    <s v="2"/>
    <m/>
    <m/>
    <m/>
    <m/>
    <m/>
    <m/>
    <m/>
    <m/>
    <m/>
  </r>
  <r>
    <s v="llassabe"/>
    <s v="aejmc"/>
    <m/>
    <m/>
    <m/>
    <m/>
    <m/>
    <m/>
    <m/>
    <m/>
    <s v="No"/>
    <n v="69"/>
    <m/>
    <m/>
    <x v="2"/>
    <d v="2023-11-03T21:33:19"/>
    <s v="RT @willthewordguy: Assistant Professor of Communication - HigherEdJobs ⁦@AEJMC⁩ #jobalerts  https://t.co/zZoCxbW5b6"/>
    <n v="1"/>
    <n v="0"/>
    <n v="0"/>
    <n v="0"/>
    <m/>
    <x v="5"/>
    <s v="https://www.higheredjobs.com/faculty/details.cfm?JobCode=178596886"/>
    <s v="higheredjobs.com"/>
    <s v="willthewordguy aejmc"/>
    <m/>
    <m/>
    <s v="Twitter for iPhone"/>
    <s v="en"/>
    <s v="https://twitter.com/llassabe/status/1720554776251838636"/>
    <x v="36"/>
    <d v="2023-11-03T00:00:00"/>
    <s v="21:33:19"/>
    <b v="0"/>
    <m/>
    <m/>
    <m/>
    <m/>
    <m/>
    <m/>
    <m/>
    <m/>
    <m/>
    <m/>
    <m/>
    <m/>
    <s v="https://pbs.twimg.com/profile_images/1695196813077237760/dUrkZteM_normal.jpg"/>
    <s v="1720554776251838636"/>
    <s v="1720554776251838636"/>
    <m/>
    <s v=""/>
    <s v=""/>
    <s v="1720475048329228593"/>
    <s v="1720475048329228593"/>
    <n v="48086979"/>
    <m/>
    <m/>
    <m/>
    <m/>
    <m/>
    <n v="1"/>
    <s v="2"/>
    <s v="1"/>
    <m/>
    <m/>
    <m/>
    <m/>
    <m/>
    <m/>
    <m/>
    <m/>
    <m/>
  </r>
  <r>
    <s v="willthewordguy"/>
    <s v="aejmcviscom"/>
    <m/>
    <m/>
    <m/>
    <m/>
    <m/>
    <m/>
    <m/>
    <m/>
    <s v="No"/>
    <n v="71"/>
    <m/>
    <m/>
    <x v="3"/>
    <d v="2023-11-03T16:38:08"/>
    <s v="Assistant Professor - Communication &amp;amp; Journalism (Visual Communication in the Environment) - UW Candidate Experience Careers ⁦@AEJMC⁩ ⁦@aejmcviscom⁩ #jobalerts https://t.co/u0e9Myy11i"/>
    <n v="0"/>
    <n v="1"/>
    <n v="0"/>
    <n v="0"/>
    <n v="148"/>
    <x v="5"/>
    <s v="https://eeik.fa.us2.oraclecloud.com/hcmUI/CandidateExperience/en/sites/CX_1/requisitions/preview/233303/?keyword=Professor&amp;mode=location"/>
    <s v="oraclecloud.com"/>
    <s v="aejmc aejmcviscom"/>
    <m/>
    <m/>
    <s v="Twitter for iPhone"/>
    <s v="en"/>
    <s v="https://twitter.com/willthewordguy/status/1720480491709534567"/>
    <x v="37"/>
    <d v="2023-11-03T00:00:00"/>
    <s v="16:38:08"/>
    <b v="0"/>
    <m/>
    <m/>
    <m/>
    <m/>
    <m/>
    <m/>
    <m/>
    <m/>
    <m/>
    <m/>
    <m/>
    <m/>
    <s v="https://pbs.twimg.com/profile_images/1331376273755664384/mF7tQg3B_normal.jpg"/>
    <s v="1720480491709534567"/>
    <s v="1720480491709534567"/>
    <m/>
    <s v=""/>
    <s v=""/>
    <s v=""/>
    <s v="1720480491709534567"/>
    <n v="414179273"/>
    <m/>
    <m/>
    <m/>
    <m/>
    <m/>
    <n v="2"/>
    <s v="2"/>
    <s v="2"/>
    <n v="0"/>
    <n v="0"/>
    <n v="0"/>
    <n v="0"/>
    <n v="0"/>
    <n v="0"/>
    <n v="14"/>
    <n v="82.352941176470594"/>
    <n v="17"/>
  </r>
  <r>
    <s v="willthewordguy"/>
    <s v="aejmcviscom"/>
    <m/>
    <m/>
    <m/>
    <m/>
    <m/>
    <m/>
    <m/>
    <m/>
    <s v="No"/>
    <n v="72"/>
    <m/>
    <m/>
    <x v="3"/>
    <d v="2023-11-03T16:18:48"/>
    <s v="Assistant Professor of Art, Media, and Design - HigherEdJobs ⁦@AEJMC⁩ ⁦@aejmcviscom⁩ #jobalerts https://t.co/c6hvAUWNnn"/>
    <n v="0"/>
    <n v="1"/>
    <n v="0"/>
    <n v="0"/>
    <n v="104"/>
    <x v="5"/>
    <s v="https://www.higheredjobs.com/faculty/details.cfm?JobCode=178595177"/>
    <s v="higheredjobs.com"/>
    <s v="aejmc aejmcviscom"/>
    <m/>
    <m/>
    <s v="Twitter for iPhone"/>
    <s v="en"/>
    <s v="https://twitter.com/willthewordguy/status/1720475626551881857"/>
    <x v="38"/>
    <d v="2023-11-03T00:00:00"/>
    <s v="16:18:48"/>
    <b v="0"/>
    <m/>
    <m/>
    <m/>
    <m/>
    <m/>
    <m/>
    <m/>
    <m/>
    <m/>
    <m/>
    <m/>
    <m/>
    <s v="https://pbs.twimg.com/profile_images/1331376273755664384/mF7tQg3B_normal.jpg"/>
    <s v="1720475626551881857"/>
    <s v="1720475626551881857"/>
    <m/>
    <s v=""/>
    <s v=""/>
    <s v=""/>
    <s v="1720475626551881857"/>
    <n v="414179273"/>
    <m/>
    <m/>
    <m/>
    <m/>
    <m/>
    <n v="2"/>
    <s v="2"/>
    <s v="2"/>
    <n v="0"/>
    <n v="0"/>
    <n v="0"/>
    <n v="0"/>
    <n v="0"/>
    <n v="0"/>
    <n v="9"/>
    <n v="81.818181818181813"/>
    <n v="11"/>
  </r>
  <r>
    <s v="aejmcviscom"/>
    <s v="aejmcviscom"/>
    <m/>
    <m/>
    <m/>
    <m/>
    <m/>
    <m/>
    <m/>
    <m/>
    <s v="No"/>
    <n v="73"/>
    <m/>
    <m/>
    <x v="5"/>
    <d v="2023-11-02T15:45:19"/>
    <s v="Our fall newsletter is here and it's just as good as getting a full size candy bar on Halloween! Find it in your email or read it online: https://t.co/8AnyWJ9WU8"/>
    <n v="3"/>
    <n v="4"/>
    <n v="0"/>
    <n v="0"/>
    <n v="491"/>
    <x v="0"/>
    <s v="https://bit.ly/3FJt4WK"/>
    <s v="bit.ly"/>
    <m/>
    <m/>
    <m/>
    <s v="Twitter Web App"/>
    <s v="en"/>
    <s v="https://twitter.com/aejmcviscom/status/1720104809574109277"/>
    <x v="39"/>
    <d v="2023-11-02T00:00:00"/>
    <s v="15:45:19"/>
    <b v="0"/>
    <m/>
    <m/>
    <m/>
    <m/>
    <m/>
    <m/>
    <m/>
    <m/>
    <m/>
    <m/>
    <m/>
    <m/>
    <s v="https://pbs.twimg.com/profile_images/378800000281230339/6ad02fea0dccd5f899ccdd79092deb23_normal.jpeg"/>
    <s v="1720104809574109277"/>
    <s v="1720104809574109277"/>
    <m/>
    <s v=""/>
    <s v=""/>
    <s v=""/>
    <s v="1720104809574109277"/>
    <n v="1663878439"/>
    <m/>
    <m/>
    <m/>
    <m/>
    <m/>
    <n v="1"/>
    <s v="2"/>
    <s v="2"/>
    <n v="1"/>
    <n v="3.5714285714285716"/>
    <n v="1"/>
    <n v="3.5714285714285716"/>
    <n v="0"/>
    <n v="0"/>
    <n v="11"/>
    <n v="39.285714285714285"/>
    <n v="28"/>
  </r>
  <r>
    <s v="aejmc"/>
    <s v="aejmcviscom"/>
    <m/>
    <m/>
    <m/>
    <m/>
    <m/>
    <m/>
    <m/>
    <m/>
    <s v="No"/>
    <n v="74"/>
    <m/>
    <m/>
    <x v="1"/>
    <d v="2023-11-03T17:35:11"/>
    <s v="RT @aejmcviscom: Our fall newsletter is here and it's just as good as getting a full size candy bar on Halloween! Find it in your email or…"/>
    <n v="3"/>
    <n v="0"/>
    <n v="0"/>
    <n v="0"/>
    <m/>
    <x v="0"/>
    <m/>
    <m/>
    <s v="aejmcviscom"/>
    <m/>
    <m/>
    <s v="Twitter Web App"/>
    <s v="en"/>
    <s v="https://twitter.com/aejmc/status/1720494848510206134"/>
    <x v="40"/>
    <d v="2023-11-03T00:00:00"/>
    <s v="17:35:11"/>
    <b v="0"/>
    <m/>
    <m/>
    <m/>
    <m/>
    <m/>
    <m/>
    <m/>
    <m/>
    <m/>
    <m/>
    <m/>
    <m/>
    <s v="https://pbs.twimg.com/profile_images/1559584982439444482/vOVkFGh3_normal.png"/>
    <s v="1720494848510206134"/>
    <s v="1720494848510206134"/>
    <m/>
    <s v=""/>
    <s v=""/>
    <s v="1720104809574109277"/>
    <s v="1720104809574109277"/>
    <n v="8442592"/>
    <m/>
    <m/>
    <m/>
    <m/>
    <m/>
    <n v="1"/>
    <s v="1"/>
    <s v="2"/>
    <n v="1"/>
    <n v="3.7037037037037037"/>
    <n v="1"/>
    <n v="3.7037037037037037"/>
    <n v="0"/>
    <n v="0"/>
    <n v="10"/>
    <n v="37.037037037037038"/>
    <n v="27"/>
  </r>
  <r>
    <s v="aejmc"/>
    <s v="thanitzsch"/>
    <m/>
    <m/>
    <m/>
    <m/>
    <m/>
    <m/>
    <m/>
    <m/>
    <s v="No"/>
    <n v="76"/>
    <m/>
    <m/>
    <x v="2"/>
    <d v="2023-10-30T15:27:43"/>
    <s v="RT @jmcquarterly: 𝗖𝗼𝗻𝗴𝗿𝗮𝘁𝘂𝗹𝗮𝘁𝗶𝗼𝗻𝘀 to our 𝗹𝗼𝗻𝗴𝘁𝗶𝗺𝗲 𝗘𝗱𝗶𝘁𝗼𝗿𝗶𝗮𝗹 𝗕𝗼𝗮𝗿𝗱 𝗺𝗲𝗺𝗯𝗲𝗿 @jmcquarterly, 𝗧𝗵𝗼𝗺𝗮𝘀 𝗛𝗮𝗻𝗶𝘁𝘇𝘀𝗰𝗵 @THanitzsch, on being elected as 𝗜…"/>
    <n v="1"/>
    <n v="0"/>
    <n v="0"/>
    <n v="0"/>
    <m/>
    <x v="0"/>
    <m/>
    <m/>
    <s v="jmcquarterly jmcquarterly thanitzsch"/>
    <m/>
    <m/>
    <s v="Twitter Web App"/>
    <s v="en"/>
    <s v="https://twitter.com/aejmc/status/1719013216028676245"/>
    <x v="41"/>
    <d v="2023-10-30T00:00:00"/>
    <s v="15:27:43"/>
    <m/>
    <m/>
    <m/>
    <m/>
    <m/>
    <m/>
    <m/>
    <m/>
    <m/>
    <m/>
    <m/>
    <m/>
    <m/>
    <s v="https://pbs.twimg.com/profile_images/1559584982439444482/vOVkFGh3_normal.png"/>
    <s v="1719013216028676245"/>
    <s v="1719013216028676245"/>
    <m/>
    <s v=""/>
    <s v=""/>
    <s v="1713351267106336845"/>
    <s v="1713351267106336845"/>
    <n v="8442592"/>
    <m/>
    <m/>
    <m/>
    <m/>
    <m/>
    <n v="1"/>
    <s v="1"/>
    <s v="3"/>
    <n v="0"/>
    <n v="0"/>
    <n v="0"/>
    <n v="0"/>
    <n v="0"/>
    <n v="0"/>
    <n v="5"/>
    <n v="50"/>
    <n v="10"/>
  </r>
  <r>
    <s v="vioreladan"/>
    <s v="aejmc"/>
    <m/>
    <m/>
    <m/>
    <m/>
    <m/>
    <m/>
    <m/>
    <m/>
    <s v="Yes"/>
    <n v="82"/>
    <m/>
    <m/>
    <x v="1"/>
    <d v="2023-11-03T20:56:51"/>
    <s v="RT @AEJMC: An AEJMC Standing Committee on Research Award,_x000a_The Blum Research Award was created to recognize people who have devoted substant…"/>
    <n v="3"/>
    <n v="0"/>
    <n v="0"/>
    <n v="0"/>
    <m/>
    <x v="0"/>
    <m/>
    <m/>
    <s v="aejmc"/>
    <m/>
    <m/>
    <s v="Twitter for Android"/>
    <s v="en"/>
    <s v="https://twitter.com/vioreladan/status/1720545599345369196"/>
    <x v="42"/>
    <d v="2023-11-03T00:00:00"/>
    <s v="20:56:51"/>
    <m/>
    <m/>
    <m/>
    <m/>
    <m/>
    <m/>
    <m/>
    <m/>
    <m/>
    <m/>
    <m/>
    <m/>
    <m/>
    <s v="https://pbs.twimg.com/profile_images/1499394758606671883/eX-QPowP_normal.jpg"/>
    <s v="1720545599345369196"/>
    <s v="1720545599345369196"/>
    <m/>
    <s v=""/>
    <s v=""/>
    <s v="1720483000461181036"/>
    <s v="1720483000461181036"/>
    <s v="1499390036873121795"/>
    <m/>
    <m/>
    <m/>
    <m/>
    <m/>
    <n v="1"/>
    <s v="6"/>
    <s v="1"/>
    <n v="2"/>
    <n v="9.0909090909090917"/>
    <n v="0"/>
    <n v="0"/>
    <n v="0"/>
    <n v="0"/>
    <n v="12"/>
    <n v="54.545454545454547"/>
    <n v="22"/>
  </r>
  <r>
    <s v="jmcquarterly"/>
    <s v="vioreladan"/>
    <m/>
    <m/>
    <m/>
    <m/>
    <m/>
    <m/>
    <m/>
    <m/>
    <s v="Yes"/>
    <n v="83"/>
    <m/>
    <m/>
    <x v="3"/>
    <d v="2023-11-03T17:12:44"/>
    <s v="Thank you for a productive meeting, dear members of the @jmcquarterly Editorial Team!  _x000a_@Prof_Dimitrova, David Atkin, Hong Cheng, @renitac Renita Coleman, Colleen Connolly-Ahern, Sei-Hill Kim, @ViorelaDan, @GregPerreault, and Shireen Baghestani! https://t.co/aTFnaqEEaY"/>
    <n v="1"/>
    <n v="32"/>
    <n v="4"/>
    <n v="4"/>
    <n v="3086"/>
    <x v="0"/>
    <m/>
    <m/>
    <s v="jmcquarterly prof_dimitrova renitac vioreladan gregperreault"/>
    <s v="https://t.co/aTFnaqEEaY https://pbs.twimg.com/media/F-BnCAIXwAA6-2j.jpg"/>
    <s v="photo"/>
    <s v="Twitter Web App"/>
    <s v="en"/>
    <s v="https://twitter.com/jmcquarterly/status/1720489199554486686"/>
    <x v="43"/>
    <d v="2023-11-03T00:00:00"/>
    <s v="17:12:44"/>
    <b v="0"/>
    <m/>
    <m/>
    <m/>
    <m/>
    <m/>
    <m/>
    <m/>
    <s v="3_1720488341748039680"/>
    <m/>
    <m/>
    <m/>
    <m/>
    <s v="https://pbs.twimg.com/media/F-BnCAIXwAA6-2j.jpg"/>
    <s v="1720489199554486686"/>
    <s v="1720489199554486686"/>
    <m/>
    <s v=""/>
    <s v=""/>
    <s v=""/>
    <s v="1720489199554486686"/>
    <s v="1297967885072072711"/>
    <m/>
    <m/>
    <m/>
    <m/>
    <m/>
    <n v="1"/>
    <s v="3"/>
    <s v="6"/>
    <m/>
    <m/>
    <m/>
    <m/>
    <m/>
    <m/>
    <m/>
    <m/>
    <m/>
  </r>
  <r>
    <s v="aejmc"/>
    <s v="vioreladan"/>
    <m/>
    <m/>
    <m/>
    <m/>
    <m/>
    <m/>
    <m/>
    <m/>
    <s v="Yes"/>
    <n v="84"/>
    <m/>
    <m/>
    <x v="4"/>
    <d v="2023-11-03T17:46:57"/>
    <s v="@jmcquarterly @Prof_Dimitrova @renitac @ViorelaDan @GregPerreault 👏💙"/>
    <n v="0"/>
    <n v="2"/>
    <n v="0"/>
    <n v="0"/>
    <n v="80"/>
    <x v="0"/>
    <m/>
    <m/>
    <s v="jmcquarterly prof_dimitrova renitac vioreladan gregperreault"/>
    <m/>
    <m/>
    <s v="Twitter Web App"/>
    <s v="qme"/>
    <s v="https://twitter.com/aejmc/status/1720497808719942028"/>
    <x v="44"/>
    <d v="2023-11-03T00:00:00"/>
    <s v="17:46:57"/>
    <m/>
    <m/>
    <m/>
    <m/>
    <m/>
    <m/>
    <m/>
    <m/>
    <m/>
    <m/>
    <m/>
    <m/>
    <m/>
    <s v="https://pbs.twimg.com/profile_images/1559584982439444482/vOVkFGh3_normal.png"/>
    <s v="1720497808719942028"/>
    <s v="1720489199554486686"/>
    <s v="1297967885072072711"/>
    <s v="1720489199554486686"/>
    <s v=""/>
    <s v=""/>
    <s v="1720489199554486686"/>
    <n v="8442592"/>
    <m/>
    <m/>
    <m/>
    <m/>
    <m/>
    <n v="1"/>
    <s v="1"/>
    <s v="6"/>
    <m/>
    <m/>
    <m/>
    <m/>
    <m/>
    <m/>
    <m/>
    <m/>
    <m/>
  </r>
  <r>
    <s v="aejmc"/>
    <s v="sunyplattsburgh"/>
    <m/>
    <m/>
    <m/>
    <m/>
    <m/>
    <m/>
    <m/>
    <m/>
    <s v="No"/>
    <n v="87"/>
    <m/>
    <m/>
    <x v="3"/>
    <d v="2023-11-01T19:58:32"/>
    <s v="Job Alert 👇_x000a_School: SUNY Plattsburgh @SUNYPlattsburgh _x000a_Position:  Assistant Professor, Multimedia Production_x000a_https://t.co/cc7G4njXJT_x000a_#AejmcJobs #Ad #JobAd"/>
    <n v="3"/>
    <n v="0"/>
    <n v="0"/>
    <n v="0"/>
    <n v="829"/>
    <x v="13"/>
    <s v="https://www.aejmc.org/jobads/?p=19459"/>
    <s v="aejmc.org"/>
    <s v="sunyplattsburgh"/>
    <m/>
    <m/>
    <s v="Twitter Web App"/>
    <s v="en"/>
    <s v="https://twitter.com/aejmc/status/1719806146536444240"/>
    <x v="45"/>
    <d v="2023-11-01T00:00:00"/>
    <s v="19:58:32"/>
    <b v="0"/>
    <m/>
    <m/>
    <m/>
    <m/>
    <m/>
    <m/>
    <m/>
    <m/>
    <m/>
    <m/>
    <m/>
    <m/>
    <s v="https://pbs.twimg.com/profile_images/1559584982439444482/vOVkFGh3_normal.png"/>
    <s v="1719806146536444240"/>
    <s v="1719806146536444240"/>
    <m/>
    <s v=""/>
    <s v=""/>
    <s v=""/>
    <s v="1719806146536444240"/>
    <n v="8442592"/>
    <m/>
    <m/>
    <m/>
    <m/>
    <m/>
    <n v="1"/>
    <s v="1"/>
    <s v="1"/>
    <n v="0"/>
    <n v="0"/>
    <n v="0"/>
    <n v="0"/>
    <n v="0"/>
    <n v="0"/>
    <n v="14"/>
    <n v="100"/>
    <n v="14"/>
  </r>
  <r>
    <s v="joccjournal"/>
    <s v="un"/>
    <m/>
    <m/>
    <m/>
    <m/>
    <m/>
    <m/>
    <m/>
    <m/>
    <s v="No"/>
    <n v="88"/>
    <m/>
    <m/>
    <x v="0"/>
    <d v="2023-10-30T06:43:24"/>
    <s v="🌏 We're nearing the end of Global Media and Information Literacy Week!_x000a__x000a_💡 Mark the occasion with us by reading 'Media Literacy and Education in India During Times of Communication Abundance' by Jesna Jayachandran_x000a__x000a_👇 Read now!_x000a__x000a_https://t.co/BXol9CpIjh_x000a__x000a_@UN @AEJMC"/>
    <n v="1"/>
    <n v="0"/>
    <n v="0"/>
    <n v="0"/>
    <n v="552"/>
    <x v="0"/>
    <s v="https://journals.sagepub.com/doi/abs/10.1177/0973258617743625"/>
    <s v="sagepub.com"/>
    <s v="un aejmc"/>
    <m/>
    <m/>
    <s v="Twitter Web App"/>
    <s v="en"/>
    <s v="https://twitter.com/joccjournal/status/1718881270619627729"/>
    <x v="46"/>
    <d v="2023-10-30T00:00:00"/>
    <s v="06:43:24"/>
    <b v="0"/>
    <m/>
    <m/>
    <m/>
    <m/>
    <m/>
    <m/>
    <m/>
    <m/>
    <m/>
    <m/>
    <m/>
    <m/>
    <s v="https://pbs.twimg.com/profile_images/1306278808039780352/Wk3HPqPR_normal.jpg"/>
    <s v="1718881270619627729"/>
    <s v="1718881270619627729"/>
    <m/>
    <s v=""/>
    <s v="1716394030886428900"/>
    <s v=""/>
    <s v="1716394030886428900"/>
    <s v="1306263867429855232"/>
    <m/>
    <m/>
    <m/>
    <m/>
    <m/>
    <n v="1"/>
    <s v="1"/>
    <s v="1"/>
    <n v="0"/>
    <n v="0"/>
    <n v="0"/>
    <n v="0"/>
    <n v="0"/>
    <n v="0"/>
    <n v="22"/>
    <n v="61.111111111111114"/>
    <n v="36"/>
  </r>
  <r>
    <s v="aejmc"/>
    <s v="joccjournal"/>
    <m/>
    <m/>
    <m/>
    <m/>
    <m/>
    <m/>
    <m/>
    <m/>
    <s v="Yes"/>
    <n v="89"/>
    <m/>
    <m/>
    <x v="1"/>
    <d v="2023-10-30T15:28:03"/>
    <s v="RT @JOCCJournal: 🌏 We're nearing the end of Global Media and Information Literacy Week!_x000a__x000a_💡 Mark the occasion with us by reading 'Media Lite…"/>
    <n v="1"/>
    <n v="0"/>
    <n v="0"/>
    <n v="0"/>
    <m/>
    <x v="0"/>
    <m/>
    <m/>
    <s v="joccjournal"/>
    <m/>
    <m/>
    <s v="Twitter Web App"/>
    <s v="en"/>
    <s v="https://twitter.com/aejmc/status/1719013300917153948"/>
    <x v="47"/>
    <d v="2023-10-30T00:00:00"/>
    <s v="15:28:03"/>
    <b v="0"/>
    <m/>
    <m/>
    <m/>
    <m/>
    <m/>
    <m/>
    <m/>
    <m/>
    <m/>
    <m/>
    <m/>
    <m/>
    <s v="https://pbs.twimg.com/profile_images/1559584982439444482/vOVkFGh3_normal.png"/>
    <s v="1719013300917153948"/>
    <s v="1719013300917153948"/>
    <m/>
    <s v=""/>
    <s v="1716394030886428900"/>
    <s v="1718881270619627729"/>
    <s v="1718881270619627729"/>
    <n v="8442592"/>
    <m/>
    <m/>
    <m/>
    <m/>
    <m/>
    <n v="1"/>
    <s v="1"/>
    <s v="1"/>
    <n v="0"/>
    <n v="0"/>
    <n v="0"/>
    <n v="0"/>
    <n v="0"/>
    <n v="0"/>
    <n v="13"/>
    <n v="59.090909090909093"/>
    <n v="22"/>
  </r>
  <r>
    <s v="joccjournal"/>
    <s v="joccjournal"/>
    <m/>
    <m/>
    <m/>
    <m/>
    <m/>
    <m/>
    <m/>
    <m/>
    <s v="No"/>
    <n v="90"/>
    <m/>
    <m/>
    <x v="5"/>
    <d v="2023-10-23T10:00:00"/>
    <s v="🌏 Tomorrow marks the start of Global Media and Information Literacy Week!_x000a__x000a_📘 Celebrate this occasion with us by reading 'Media Literacy and Education in India During Times of Communication Abundance' by Jesna Jayachandran._x000a__x000a_👇Read Now _x000a_https://t.co/BXol9CpatJ_x000a__x000a_#medialiteracy https://t.co/6uGOMD5Lv2"/>
    <n v="0"/>
    <n v="0"/>
    <n v="0"/>
    <n v="1"/>
    <n v="585"/>
    <x v="14"/>
    <s v="https://journals.sagepub.com/doi/abs/10.1177/0973258617743625"/>
    <s v="sagepub.com"/>
    <m/>
    <s v="https://t.co/6uGOMD5Lv2 https://pbs.twimg.com/media/F8JmwXcaMAA_W3l.jpg"/>
    <s v="photo"/>
    <s v="Twitter Web App"/>
    <s v="en"/>
    <s v="https://twitter.com/joccjournal/status/1716394030886428900"/>
    <x v="48"/>
    <d v="2023-10-23T00:00:00"/>
    <s v="10:00:00"/>
    <b v="0"/>
    <m/>
    <m/>
    <m/>
    <m/>
    <m/>
    <m/>
    <m/>
    <s v="3_1712043789467136000"/>
    <m/>
    <m/>
    <m/>
    <m/>
    <s v="https://pbs.twimg.com/media/F8JmwXcaMAA_W3l.jpg"/>
    <s v="1716394030886428900"/>
    <s v="1716394030886428900"/>
    <m/>
    <s v=""/>
    <s v=""/>
    <s v=""/>
    <s v="1716394030886428900"/>
    <s v="1306263867429855232"/>
    <m/>
    <m/>
    <m/>
    <m/>
    <m/>
    <n v="1"/>
    <s v="1"/>
    <s v="1"/>
    <n v="1"/>
    <n v="2.8571428571428572"/>
    <n v="0"/>
    <n v="0"/>
    <n v="0"/>
    <n v="0"/>
    <n v="22"/>
    <n v="62.857142857142854"/>
    <n v="35"/>
  </r>
  <r>
    <s v="brcreech"/>
    <s v="aejmcmmee"/>
    <m/>
    <m/>
    <m/>
    <m/>
    <m/>
    <m/>
    <m/>
    <m/>
    <s v="No"/>
    <n v="93"/>
    <m/>
    <m/>
    <x v="1"/>
    <d v="2023-10-31T20:17:07"/>
    <s v="RT @AEJMCMMEE: The paper call for 2024 AEJMC Midwinter Conference is now out. The deadline to submit extended abstracts (only 600 to 800 wo…"/>
    <n v="5"/>
    <n v="0"/>
    <n v="0"/>
    <n v="0"/>
    <m/>
    <x v="0"/>
    <m/>
    <m/>
    <s v="aejmcmmee"/>
    <m/>
    <m/>
    <s v="Twitter Web App"/>
    <s v="en"/>
    <s v="https://twitter.com/brcreech/status/1719448434405474801"/>
    <x v="49"/>
    <d v="2023-10-31T00:00:00"/>
    <s v="20:17:07"/>
    <b v="0"/>
    <m/>
    <m/>
    <m/>
    <m/>
    <m/>
    <m/>
    <m/>
    <m/>
    <m/>
    <m/>
    <m/>
    <m/>
    <s v="https://pbs.twimg.com/profile_images/1696925506875146242/pEF-JeE5_normal.jpg"/>
    <s v="1719448434405474801"/>
    <s v="1719448434405474801"/>
    <m/>
    <s v=""/>
    <s v=""/>
    <s v="1719398651049726196"/>
    <s v="1719398651049726196"/>
    <n v="21871717"/>
    <m/>
    <m/>
    <m/>
    <m/>
    <m/>
    <n v="1"/>
    <s v="10"/>
    <s v="10"/>
    <n v="0"/>
    <n v="0"/>
    <n v="0"/>
    <n v="0"/>
    <n v="0"/>
    <n v="0"/>
    <n v="13"/>
    <n v="54.166666666666664"/>
    <n v="24"/>
  </r>
  <r>
    <s v="miamoodyramirez"/>
    <s v="prof_dimitrova"/>
    <m/>
    <m/>
    <m/>
    <m/>
    <m/>
    <m/>
    <m/>
    <m/>
    <s v="No"/>
    <n v="94"/>
    <m/>
    <m/>
    <x v="2"/>
    <d v="2023-10-30T13:31:27"/>
    <s v="RT @jmcquarterly: Here's a #TopPaper in @jmcquarterly (EIC: @Prof_Dimitrova):_x000a_https://t.co/0b3CKt99rD_x000a__x000a_Police #Brutality and #Racial Justic…"/>
    <n v="5"/>
    <n v="0"/>
    <n v="0"/>
    <n v="0"/>
    <m/>
    <x v="15"/>
    <s v="https://journals.sagepub.com/doi/abs/10.1177/10776990221108722"/>
    <s v="sagepub.com"/>
    <s v="jmcquarterly jmcquarterly prof_dimitrova"/>
    <m/>
    <m/>
    <s v="Twitter for iPhone"/>
    <s v="en"/>
    <s v="https://twitter.com/miamoodyramirez/status/1718983958925324776"/>
    <x v="50"/>
    <d v="2023-10-30T00:00:00"/>
    <s v="13:31:27"/>
    <b v="0"/>
    <m/>
    <m/>
    <m/>
    <m/>
    <m/>
    <m/>
    <m/>
    <m/>
    <m/>
    <m/>
    <m/>
    <m/>
    <s v="https://pbs.twimg.com/profile_images/1715489205248212992/bWPSimqD_normal.jpg"/>
    <s v="1718983958925324776"/>
    <s v="1718983958925324776"/>
    <m/>
    <s v=""/>
    <s v=""/>
    <s v="1718899489916727435"/>
    <s v="1718899489916727435"/>
    <n v="72942893"/>
    <m/>
    <m/>
    <m/>
    <m/>
    <m/>
    <n v="1"/>
    <s v="3"/>
    <s v="3"/>
    <m/>
    <m/>
    <m/>
    <m/>
    <m/>
    <m/>
    <m/>
    <m/>
    <m/>
  </r>
  <r>
    <s v="miamoodyramirez"/>
    <s v="aejmc"/>
    <m/>
    <m/>
    <m/>
    <m/>
    <m/>
    <m/>
    <m/>
    <m/>
    <s v="No"/>
    <n v="97"/>
    <m/>
    <m/>
    <x v="1"/>
    <d v="2023-11-01T12:07:25"/>
    <s v="RT @AEJMC: AEJMC members approved a recent resolution: Recommitment to College/University Diversity Programs and Minority Faculty Hiring Re…"/>
    <n v="1"/>
    <n v="0"/>
    <n v="0"/>
    <n v="0"/>
    <m/>
    <x v="0"/>
    <m/>
    <m/>
    <s v="aejmc"/>
    <m/>
    <m/>
    <s v="Twitter for iPhone"/>
    <s v="en"/>
    <s v="https://twitter.com/miamoodyramirez/status/1719687588036890846"/>
    <x v="51"/>
    <d v="2023-11-01T00:00:00"/>
    <s v="12:07:25"/>
    <m/>
    <m/>
    <m/>
    <m/>
    <m/>
    <m/>
    <m/>
    <m/>
    <m/>
    <m/>
    <m/>
    <m/>
    <m/>
    <s v="https://pbs.twimg.com/profile_images/1715489205248212992/bWPSimqD_normal.jpg"/>
    <s v="1719687588036890846"/>
    <s v="1719687588036890846"/>
    <m/>
    <s v=""/>
    <s v=""/>
    <s v="1719435606160265633"/>
    <s v="1719435606160265633"/>
    <n v="72942893"/>
    <m/>
    <m/>
    <m/>
    <m/>
    <m/>
    <n v="1"/>
    <s v="3"/>
    <s v="1"/>
    <n v="0"/>
    <n v="0"/>
    <n v="0"/>
    <n v="0"/>
    <n v="0"/>
    <n v="0"/>
    <n v="15"/>
    <n v="78.94736842105263"/>
    <n v="19"/>
  </r>
  <r>
    <s v="tjohnson1960"/>
    <s v="prof_dimitrova"/>
    <m/>
    <m/>
    <m/>
    <m/>
    <m/>
    <m/>
    <m/>
    <m/>
    <s v="No"/>
    <n v="98"/>
    <m/>
    <m/>
    <x v="2"/>
    <d v="2023-10-30T17:47:41"/>
    <s v="RT @jmcquarterly: Here's a #TopPaper in @jmcquarterly (EIC: @Prof_Dimitrova):_x000a_https://t.co/0b3CKt99rD_x000a__x000a_Police #Brutality and #Racial Justic…"/>
    <n v="5"/>
    <n v="0"/>
    <n v="0"/>
    <n v="0"/>
    <m/>
    <x v="15"/>
    <s v="https://journals.sagepub.com/doi/abs/10.1177/10776990221108722"/>
    <s v="sagepub.com"/>
    <s v="jmcquarterly jmcquarterly prof_dimitrova"/>
    <m/>
    <m/>
    <s v="Twitter for iPhone"/>
    <s v="en"/>
    <s v="https://twitter.com/tjohnson1960/status/1719048441324560404"/>
    <x v="52"/>
    <d v="2023-10-30T00:00:00"/>
    <s v="17:47:41"/>
    <b v="0"/>
    <m/>
    <m/>
    <m/>
    <m/>
    <m/>
    <m/>
    <m/>
    <m/>
    <m/>
    <m/>
    <m/>
    <m/>
    <s v="https://pbs.twimg.com/profile_images/968887826912657408/7MXRHf7p_normal.jpg"/>
    <s v="1719048441324560404"/>
    <s v="1719048441324560404"/>
    <m/>
    <s v=""/>
    <s v=""/>
    <s v="1718899489916727435"/>
    <s v="1718899489916727435"/>
    <n v="15246868"/>
    <m/>
    <m/>
    <m/>
    <m/>
    <m/>
    <n v="1"/>
    <s v="3"/>
    <s v="3"/>
    <m/>
    <m/>
    <m/>
    <m/>
    <m/>
    <m/>
    <m/>
    <m/>
    <m/>
  </r>
  <r>
    <s v="ldeshan"/>
    <s v="aejmc"/>
    <m/>
    <m/>
    <m/>
    <m/>
    <m/>
    <m/>
    <m/>
    <m/>
    <s v="No"/>
    <n v="101"/>
    <m/>
    <m/>
    <x v="6"/>
    <d v="2023-10-31T19:36:35"/>
    <s v="@AEJMC Claiming you will challenge programs to support DEI without offering any plan for what that pressure looks like doesn’t mean much of anything."/>
    <n v="0"/>
    <n v="0"/>
    <n v="0"/>
    <n v="0"/>
    <n v="13"/>
    <x v="0"/>
    <m/>
    <m/>
    <s v="aejmc"/>
    <m/>
    <m/>
    <s v="Twitter for iPhone"/>
    <s v="en"/>
    <s v="https://twitter.com/ldeshan/status/1719438236919972213"/>
    <x v="53"/>
    <d v="2023-10-31T00:00:00"/>
    <s v="19:36:35"/>
    <m/>
    <m/>
    <m/>
    <m/>
    <m/>
    <m/>
    <m/>
    <m/>
    <m/>
    <m/>
    <m/>
    <m/>
    <m/>
    <s v="https://pbs.twimg.com/profile_images/1372971351145918465/tQ9YixpU_normal.jpg"/>
    <s v="1719438236919972213"/>
    <s v="1719435606160265633"/>
    <s v="8442592"/>
    <s v="1719435606160265633"/>
    <s v=""/>
    <s v=""/>
    <s v="1719435606160265633"/>
    <n v="167501580"/>
    <m/>
    <m/>
    <m/>
    <m/>
    <m/>
    <n v="1"/>
    <s v="1"/>
    <s v="1"/>
    <n v="1"/>
    <n v="4"/>
    <n v="0"/>
    <n v="0"/>
    <n v="0"/>
    <n v="0"/>
    <n v="14"/>
    <n v="56"/>
    <n v="25"/>
  </r>
  <r>
    <s v="csw_aejmc"/>
    <s v="kimhong4thewin"/>
    <m/>
    <m/>
    <m/>
    <m/>
    <m/>
    <m/>
    <m/>
    <m/>
    <s v="No"/>
    <n v="102"/>
    <m/>
    <m/>
    <x v="3"/>
    <d v="2023-11-01T13:22:02"/>
    <s v="New book alert: Mean Girl Feminism by @KimHong4thewin. Available in Jan 2024. https://t.co/ZWsLnJXnjf https://t.co/zvDDWdHuPM"/>
    <n v="0"/>
    <n v="3"/>
    <n v="0"/>
    <n v="0"/>
    <n v="130"/>
    <x v="0"/>
    <s v="https://buff.ly/40jBiyi"/>
    <s v="buff.ly"/>
    <s v="kimhong4thewin"/>
    <s v="https://t.co/zvDDWdHuPM https://pbs.twimg.com/media/F92f0g6WQAAZrQ8.jpg"/>
    <s v="photo"/>
    <s v="Buffer"/>
    <s v="en"/>
    <s v="https://twitter.com/csw_aejmc/status/1719706362714747328"/>
    <x v="54"/>
    <d v="2023-11-01T00:00:00"/>
    <s v="13:22:02"/>
    <b v="0"/>
    <m/>
    <m/>
    <m/>
    <m/>
    <m/>
    <m/>
    <m/>
    <s v="3_1719706357262073856"/>
    <m/>
    <m/>
    <m/>
    <m/>
    <s v="https://pbs.twimg.com/media/F92f0g6WQAAZrQ8.jpg"/>
    <s v="1719706362714747328"/>
    <s v="1719706362714747328"/>
    <m/>
    <s v=""/>
    <s v=""/>
    <s v=""/>
    <s v="1719706362714747328"/>
    <n v="353963097"/>
    <m/>
    <m/>
    <m/>
    <m/>
    <m/>
    <n v="1"/>
    <s v="1"/>
    <s v="1"/>
    <n v="1"/>
    <n v="8.3333333333333339"/>
    <n v="0"/>
    <n v="0"/>
    <n v="0"/>
    <n v="0"/>
    <n v="8"/>
    <n v="66.666666666666671"/>
    <n v="12"/>
  </r>
  <r>
    <s v="aejmc"/>
    <s v="csw_aejmc"/>
    <m/>
    <m/>
    <m/>
    <m/>
    <m/>
    <m/>
    <m/>
    <m/>
    <s v="No"/>
    <n v="103"/>
    <m/>
    <m/>
    <x v="1"/>
    <d v="2023-11-03T17:35:22"/>
    <s v="RT @CSW_AEJMC: It's time to prepare your nominations for CSW's 2024 awards. Yes, we adjusted our deadline in the hopes that it will be more…"/>
    <n v="1"/>
    <n v="0"/>
    <n v="0"/>
    <n v="0"/>
    <m/>
    <x v="0"/>
    <m/>
    <m/>
    <s v="csw_aejmc"/>
    <m/>
    <m/>
    <s v="Twitter Web App"/>
    <s v="en"/>
    <s v="https://twitter.com/aejmc/status/1720494891594031435"/>
    <x v="55"/>
    <d v="2023-11-03T00:00:00"/>
    <s v="17:35:22"/>
    <m/>
    <m/>
    <m/>
    <m/>
    <m/>
    <m/>
    <m/>
    <m/>
    <m/>
    <m/>
    <m/>
    <m/>
    <m/>
    <s v="https://pbs.twimg.com/profile_images/1559584982439444482/vOVkFGh3_normal.png"/>
    <s v="1720494891594031435"/>
    <s v="1720494891594031435"/>
    <m/>
    <s v=""/>
    <s v=""/>
    <s v="1719876278986162455"/>
    <s v="1719876278986162455"/>
    <n v="8442592"/>
    <m/>
    <m/>
    <m/>
    <m/>
    <m/>
    <n v="1"/>
    <s v="1"/>
    <s v="1"/>
    <n v="1"/>
    <n v="4"/>
    <n v="0"/>
    <n v="0"/>
    <n v="0"/>
    <n v="0"/>
    <n v="11"/>
    <n v="44"/>
    <n v="25"/>
  </r>
  <r>
    <s v="csw_aejmc"/>
    <s v="csw_aejmc"/>
    <m/>
    <m/>
    <m/>
    <m/>
    <m/>
    <m/>
    <m/>
    <m/>
    <s v="No"/>
    <n v="104"/>
    <m/>
    <m/>
    <x v="5"/>
    <d v="2023-11-02T00:37:13"/>
    <s v="It's time to prepare your nominations for CSW's 2024 awards. Yes, we adjusted our deadline in the hopes that it will be more convenient for everyone involved in the process: CSW leadership, applicants and reviewers._x000a__x000a_Submit by Fri., Dec. 15. _x000a_Details: https://t.co/d4CvvA8yp0 https://t.co/24F8AlT0sq"/>
    <n v="1"/>
    <n v="2"/>
    <n v="0"/>
    <n v="0"/>
    <n v="515"/>
    <x v="0"/>
    <s v="https://bit.ly/CSW24AwardsCall"/>
    <s v="bit.ly"/>
    <m/>
    <s v="https://t.co/24F8AlT0sq https://pbs.twimg.com/media/F945jwSWQAAavkM.jpg"/>
    <s v="photo"/>
    <s v="Twitter Web App"/>
    <s v="en"/>
    <s v="https://twitter.com/csw_aejmc/status/1719876278986162455"/>
    <x v="56"/>
    <d v="2023-11-02T00:00:00"/>
    <s v="00:37:13"/>
    <b v="0"/>
    <m/>
    <m/>
    <m/>
    <m/>
    <m/>
    <m/>
    <m/>
    <s v="3_1719875394122170368"/>
    <m/>
    <m/>
    <m/>
    <m/>
    <s v="https://pbs.twimg.com/media/F945jwSWQAAavkM.jpg"/>
    <s v="1719876278986162455"/>
    <s v="1719876278986162455"/>
    <m/>
    <s v=""/>
    <s v=""/>
    <s v=""/>
    <s v="1719876278986162455"/>
    <n v="353963097"/>
    <m/>
    <m/>
    <m/>
    <m/>
    <m/>
    <n v="1"/>
    <s v="1"/>
    <s v="1"/>
    <n v="2"/>
    <n v="4.8780487804878048"/>
    <n v="0"/>
    <n v="0"/>
    <n v="0"/>
    <n v="0"/>
    <n v="22"/>
    <n v="53.658536585365852"/>
    <n v="41"/>
  </r>
  <r>
    <s v="jmcquarterly"/>
    <s v="prof_dimitrova"/>
    <m/>
    <m/>
    <m/>
    <m/>
    <m/>
    <m/>
    <m/>
    <m/>
    <s v="Yes"/>
    <n v="106"/>
    <m/>
    <m/>
    <x v="3"/>
    <d v="2023-10-30T14:30:15"/>
    <s v="#TopPaper in @jmcquarterly (EIC: @Prof_Dimitrova):_x000a__x000a_https://t.co/mxKjp8Qa8f_x000a__x000a_U.S. Public Opinion on China and the United States During the U.S.–China Trade Dispute: The Role of Audience Framing and Partisan Media Use_x000a__x000a_By @LouisaHaBGSU, Rik Ray, Peiqin Chen, Ke Guo_x000a__x000a_699 ⏬ @AEJMC"/>
    <n v="2"/>
    <n v="11"/>
    <n v="0"/>
    <n v="1"/>
    <n v="1515"/>
    <x v="16"/>
    <s v="https://journals.sagepub.com/doi/abs/10.1177/10776990211049451"/>
    <s v="sagepub.com"/>
    <s v="jmcquarterly prof_dimitrova louisahabgsu aejmc"/>
    <m/>
    <m/>
    <s v="Twitter for Android"/>
    <s v="en"/>
    <s v="https://twitter.com/jmcquarterly/status/1718998754668200345"/>
    <x v="57"/>
    <d v="2023-10-30T00:00:00"/>
    <s v="14:30:15"/>
    <b v="0"/>
    <m/>
    <m/>
    <m/>
    <m/>
    <m/>
    <m/>
    <m/>
    <m/>
    <m/>
    <m/>
    <m/>
    <m/>
    <s v="https://pbs.twimg.com/profile_images/1297970849820147712/3xME2yZ6_normal.jpg"/>
    <s v="1718998754668200345"/>
    <s v="1718998754668200345"/>
    <m/>
    <s v=""/>
    <s v=""/>
    <s v=""/>
    <s v="1718998754668200345"/>
    <s v="1297967885072072711"/>
    <m/>
    <m/>
    <m/>
    <m/>
    <m/>
    <n v="5"/>
    <s v="3"/>
    <s v="3"/>
    <m/>
    <m/>
    <m/>
    <m/>
    <m/>
    <m/>
    <m/>
    <m/>
    <m/>
  </r>
  <r>
    <s v="jmcquarterly"/>
    <s v="prof_dimitrova"/>
    <m/>
    <m/>
    <m/>
    <m/>
    <m/>
    <m/>
    <m/>
    <m/>
    <s v="Yes"/>
    <n v="108"/>
    <m/>
    <m/>
    <x v="3"/>
    <d v="2023-11-02T08:30:00"/>
    <s v="🌞 Good morning! _x000a__x000a_Here's a great paper @jmcquarterly (EIC: @Prof_Dimitrova) to start your day. _x000a__x000a_It deals with the link between perceived #accuracy and #trust in #news media. _x000a__x000a_#Spoiler alert: It goes both ways! _x000a__x000a_@AEJMC_x000a_https://t.co/Xwj3Y3FXbx"/>
    <n v="4"/>
    <n v="9"/>
    <n v="0"/>
    <n v="1"/>
    <n v="1253"/>
    <x v="17"/>
    <s v="https://journals.sagepub.com/doi/full/10.1177/10776990231202692"/>
    <s v="sagepub.com"/>
    <s v="jmcquarterly prof_dimitrova aejmc"/>
    <m/>
    <m/>
    <s v="Twitter for Android"/>
    <s v="en"/>
    <s v="https://twitter.com/jmcquarterly/status/1719995258149228840"/>
    <x v="58"/>
    <d v="2023-11-02T00:00:00"/>
    <s v="08:30:00"/>
    <b v="0"/>
    <m/>
    <m/>
    <m/>
    <m/>
    <m/>
    <m/>
    <m/>
    <m/>
    <m/>
    <m/>
    <m/>
    <m/>
    <s v="https://pbs.twimg.com/profile_images/1297970849820147712/3xME2yZ6_normal.jpg"/>
    <s v="1719995258149228840"/>
    <s v="1719995258149228840"/>
    <m/>
    <s v=""/>
    <s v=""/>
    <s v=""/>
    <s v="1719995258149228840"/>
    <s v="1297967885072072711"/>
    <m/>
    <m/>
    <m/>
    <m/>
    <m/>
    <n v="5"/>
    <s v="3"/>
    <s v="3"/>
    <m/>
    <m/>
    <m/>
    <m/>
    <m/>
    <m/>
    <m/>
    <m/>
    <m/>
  </r>
  <r>
    <s v="jmcquarterly"/>
    <s v="prof_dimitrova"/>
    <m/>
    <m/>
    <m/>
    <m/>
    <m/>
    <m/>
    <m/>
    <m/>
    <s v="Yes"/>
    <n v="109"/>
    <m/>
    <m/>
    <x v="3"/>
    <d v="2023-10-30T07:55:48"/>
    <s v="Here's a #TopPaper in @jmcquarterly (EIC: @Prof_Dimitrova):_x000a_https://t.co/0b3CKt99rD_x000a__x000a_Police #Brutality and #Racial Justice Narratives Through Multi-Narrative Framing_x000a__x000a_#GeorgeFloyd_x000a__x000a_Moshe Karabelnik, Jenifer Sunrise Winter, Richard N. Canevez_x000a__x000a_816 ⏬_x000a__x000a_ #AlternativeMetrics @aejmc"/>
    <n v="5"/>
    <n v="12"/>
    <n v="0"/>
    <n v="1"/>
    <n v="1797"/>
    <x v="18"/>
    <s v="https://journals.sagepub.com/doi/abs/10.1177/10776990221108722"/>
    <s v="sagepub.com"/>
    <s v="jmcquarterly prof_dimitrova aejmc"/>
    <m/>
    <m/>
    <s v="Twitter for Android"/>
    <s v="en"/>
    <s v="https://twitter.com/jmcquarterly/status/1718899489916727435"/>
    <x v="59"/>
    <d v="2023-10-30T00:00:00"/>
    <s v="07:55:48"/>
    <b v="0"/>
    <m/>
    <m/>
    <m/>
    <m/>
    <m/>
    <m/>
    <m/>
    <m/>
    <m/>
    <m/>
    <m/>
    <m/>
    <s v="https://pbs.twimg.com/profile_images/1297970849820147712/3xME2yZ6_normal.jpg"/>
    <s v="1718899489916727435"/>
    <s v="1718899489916727435"/>
    <m/>
    <s v=""/>
    <s v=""/>
    <s v=""/>
    <s v="1718899489916727435"/>
    <s v="1297967885072072711"/>
    <m/>
    <m/>
    <m/>
    <m/>
    <m/>
    <n v="5"/>
    <s v="3"/>
    <s v="3"/>
    <m/>
    <m/>
    <m/>
    <m/>
    <m/>
    <m/>
    <m/>
    <m/>
    <m/>
  </r>
  <r>
    <s v="prof_dimitrova"/>
    <s v="prof_dimitrova"/>
    <m/>
    <m/>
    <m/>
    <m/>
    <m/>
    <m/>
    <m/>
    <m/>
    <s v="No"/>
    <n v="110"/>
    <m/>
    <m/>
    <x v="2"/>
    <d v="2023-11-02T14:18:43"/>
    <s v="RT @jmcquarterly: Here's a #TopPaper in @jmcquarterly (EIC: @Prof_Dimitrova):_x000a_https://t.co/0b3CKt99rD_x000a__x000a_Police #Brutality and #Racial Justic…"/>
    <n v="5"/>
    <n v="0"/>
    <n v="0"/>
    <n v="0"/>
    <m/>
    <x v="15"/>
    <s v="https://journals.sagepub.com/doi/abs/10.1177/10776990221108722"/>
    <s v="sagepub.com"/>
    <s v="jmcquarterly jmcquarterly prof_dimitrova"/>
    <m/>
    <m/>
    <s v="Twitter Web App"/>
    <s v="en"/>
    <s v="https://twitter.com/prof_dimitrova/status/1720083015194562625"/>
    <x v="60"/>
    <d v="2023-11-02T00:00:00"/>
    <s v="14:18:43"/>
    <b v="0"/>
    <m/>
    <m/>
    <m/>
    <m/>
    <m/>
    <m/>
    <m/>
    <m/>
    <m/>
    <m/>
    <m/>
    <m/>
    <s v="https://pbs.twimg.com/profile_images/1453492073492008960/JvNqqE66_normal.jpg"/>
    <s v="1720083015194562625"/>
    <s v="1720083015194562625"/>
    <m/>
    <s v=""/>
    <s v=""/>
    <s v="1718899489916727435"/>
    <s v="1718899489916727435"/>
    <n v="208629545"/>
    <m/>
    <m/>
    <m/>
    <m/>
    <m/>
    <n v="3"/>
    <s v="3"/>
    <s v="3"/>
    <m/>
    <m/>
    <m/>
    <m/>
    <m/>
    <m/>
    <m/>
    <m/>
    <m/>
  </r>
  <r>
    <s v="prof_dimitrova"/>
    <s v="prof_dimitrova"/>
    <m/>
    <m/>
    <m/>
    <m/>
    <m/>
    <m/>
    <m/>
    <m/>
    <s v="No"/>
    <n v="113"/>
    <m/>
    <m/>
    <x v="2"/>
    <d v="2023-11-03T12:37:31"/>
    <s v="RT @jmcquarterly: 🌞 Good morning! _x000a__x000a_Here's a great paper @jmcquarterly (EIC: @Prof_Dimitrova) to start your day. _x000a__x000a_It deals with the link b…"/>
    <n v="4"/>
    <n v="0"/>
    <n v="0"/>
    <n v="0"/>
    <m/>
    <x v="0"/>
    <m/>
    <m/>
    <s v="jmcquarterly jmcquarterly prof_dimitrova"/>
    <m/>
    <m/>
    <s v="Twitter for iPad"/>
    <s v="en"/>
    <s v="https://twitter.com/prof_dimitrova/status/1720419935531204819"/>
    <x v="61"/>
    <d v="2023-11-03T00:00:00"/>
    <s v="12:37:31"/>
    <b v="0"/>
    <m/>
    <m/>
    <m/>
    <m/>
    <m/>
    <m/>
    <m/>
    <m/>
    <m/>
    <m/>
    <m/>
    <m/>
    <s v="https://pbs.twimg.com/profile_images/1453492073492008960/JvNqqE66_normal.jpg"/>
    <s v="1720419935531204819"/>
    <s v="1720419935531204819"/>
    <m/>
    <s v=""/>
    <s v=""/>
    <s v="1719995258149228840"/>
    <s v="1719995258149228840"/>
    <n v="208629545"/>
    <m/>
    <m/>
    <m/>
    <m/>
    <m/>
    <n v="3"/>
    <s v="3"/>
    <s v="3"/>
    <m/>
    <m/>
    <m/>
    <m/>
    <m/>
    <m/>
    <m/>
    <m/>
    <m/>
  </r>
  <r>
    <s v="prof_dimitrova"/>
    <s v="prof_dimitrova"/>
    <m/>
    <m/>
    <m/>
    <m/>
    <m/>
    <m/>
    <m/>
    <m/>
    <s v="No"/>
    <n v="116"/>
    <m/>
    <m/>
    <x v="2"/>
    <d v="2023-10-31T20:25:38"/>
    <s v="RT @jmcquarterly: #TopPaper in @jmcquarterly (EIC: @Prof_Dimitrova):_x000a__x000a_https://t.co/mxKjp8Qa8f_x000a__x000a_U.S. Public Opinion on China and the United…"/>
    <n v="2"/>
    <n v="0"/>
    <n v="0"/>
    <n v="0"/>
    <m/>
    <x v="16"/>
    <s v="https://journals.sagepub.com/doi/abs/10.1177/10776990211049451"/>
    <s v="sagepub.com"/>
    <s v="jmcquarterly jmcquarterly prof_dimitrova"/>
    <m/>
    <m/>
    <s v="Twitter Web App"/>
    <s v="en"/>
    <s v="https://twitter.com/prof_dimitrova/status/1719450577459912929"/>
    <x v="62"/>
    <d v="2023-10-31T00:00:00"/>
    <s v="20:25:38"/>
    <b v="0"/>
    <m/>
    <m/>
    <m/>
    <m/>
    <m/>
    <m/>
    <m/>
    <m/>
    <m/>
    <m/>
    <m/>
    <m/>
    <s v="https://pbs.twimg.com/profile_images/1453492073492008960/JvNqqE66_normal.jpg"/>
    <s v="1719450577459912929"/>
    <s v="1719450577459912929"/>
    <m/>
    <s v=""/>
    <s v=""/>
    <s v="1718998754668200345"/>
    <s v="1718998754668200345"/>
    <n v="208629545"/>
    <m/>
    <m/>
    <m/>
    <m/>
    <m/>
    <n v="3"/>
    <s v="3"/>
    <s v="3"/>
    <m/>
    <m/>
    <m/>
    <m/>
    <m/>
    <m/>
    <m/>
    <m/>
    <m/>
  </r>
  <r>
    <s v="aejmc"/>
    <s v="prof_dimitrova"/>
    <m/>
    <m/>
    <m/>
    <m/>
    <m/>
    <m/>
    <m/>
    <m/>
    <s v="No"/>
    <n v="119"/>
    <m/>
    <m/>
    <x v="2"/>
    <d v="2023-11-03T17:46:49"/>
    <s v="RT @jmcquarterly: Thank you for a productive meeting, dear members of the @jmcquarterly Editorial Team!  _x000a_@Prof_Dimitrova, David Atkin, Hon…"/>
    <n v="1"/>
    <n v="0"/>
    <n v="0"/>
    <n v="0"/>
    <m/>
    <x v="0"/>
    <m/>
    <m/>
    <s v="jmcquarterly jmcquarterly prof_dimitrova"/>
    <m/>
    <m/>
    <s v="Twitter Web App"/>
    <s v="en"/>
    <s v="https://twitter.com/aejmc/status/1720497776302117214"/>
    <x v="63"/>
    <d v="2023-11-03T00:00:00"/>
    <s v="17:46:49"/>
    <m/>
    <m/>
    <m/>
    <m/>
    <m/>
    <m/>
    <m/>
    <m/>
    <m/>
    <m/>
    <m/>
    <m/>
    <m/>
    <s v="https://pbs.twimg.com/profile_images/1559584982439444482/vOVkFGh3_normal.png"/>
    <s v="1720497776302117214"/>
    <s v="1720497776302117214"/>
    <m/>
    <s v=""/>
    <s v=""/>
    <s v="1720489199554486686"/>
    <s v="1720489199554486686"/>
    <n v="8442592"/>
    <m/>
    <m/>
    <m/>
    <m/>
    <m/>
    <n v="4"/>
    <s v="1"/>
    <s v="3"/>
    <m/>
    <m/>
    <m/>
    <m/>
    <m/>
    <m/>
    <m/>
    <m/>
    <m/>
  </r>
  <r>
    <s v="aejmc"/>
    <s v="prof_dimitrova"/>
    <m/>
    <m/>
    <m/>
    <m/>
    <m/>
    <m/>
    <m/>
    <m/>
    <s v="No"/>
    <n v="120"/>
    <m/>
    <m/>
    <x v="2"/>
    <d v="2023-10-31T19:35:32"/>
    <s v="RT @jmcquarterly: #TopPaper in @jmcquarterly (EIC: @Prof_Dimitrova):_x000a__x000a_https://t.co/mxKjp8Qa8f_x000a__x000a_U.S. Public Opinion on China and the United…"/>
    <n v="2"/>
    <n v="0"/>
    <n v="0"/>
    <n v="0"/>
    <m/>
    <x v="16"/>
    <s v="https://journals.sagepub.com/doi/abs/10.1177/10776990211049451"/>
    <s v="sagepub.com"/>
    <s v="jmcquarterly jmcquarterly prof_dimitrova"/>
    <m/>
    <m/>
    <s v="Twitter Web App"/>
    <s v="en"/>
    <s v="https://twitter.com/aejmc/status/1719437971806375979"/>
    <x v="64"/>
    <d v="2023-10-31T00:00:00"/>
    <s v="19:35:32"/>
    <b v="0"/>
    <m/>
    <m/>
    <m/>
    <m/>
    <m/>
    <m/>
    <m/>
    <m/>
    <m/>
    <m/>
    <m/>
    <m/>
    <s v="https://pbs.twimg.com/profile_images/1559584982439444482/vOVkFGh3_normal.png"/>
    <s v="1719437971806375979"/>
    <s v="1719437971806375979"/>
    <m/>
    <s v=""/>
    <s v=""/>
    <s v="1718998754668200345"/>
    <s v="1718998754668200345"/>
    <n v="8442592"/>
    <m/>
    <m/>
    <m/>
    <m/>
    <m/>
    <n v="4"/>
    <s v="1"/>
    <s v="3"/>
    <m/>
    <m/>
    <m/>
    <m/>
    <m/>
    <m/>
    <m/>
    <m/>
    <m/>
  </r>
  <r>
    <s v="aejmc"/>
    <s v="prof_dimitrova"/>
    <m/>
    <m/>
    <m/>
    <m/>
    <m/>
    <m/>
    <m/>
    <m/>
    <s v="No"/>
    <n v="121"/>
    <m/>
    <m/>
    <x v="2"/>
    <d v="2023-10-30T15:27:55"/>
    <s v="RT @jmcquarterly: Here's a #TopPaper in @jmcquarterly (EIC: @Prof_Dimitrova):_x000a_https://t.co/0b3CKt99rD_x000a__x000a_Police #Brutality and #Racial Justic…"/>
    <n v="5"/>
    <n v="0"/>
    <n v="0"/>
    <n v="0"/>
    <m/>
    <x v="15"/>
    <s v="https://journals.sagepub.com/doi/abs/10.1177/10776990221108722"/>
    <s v="sagepub.com"/>
    <s v="jmcquarterly jmcquarterly prof_dimitrova"/>
    <m/>
    <m/>
    <s v="Twitter Web App"/>
    <s v="en"/>
    <s v="https://twitter.com/aejmc/status/1719013266746118316"/>
    <x v="65"/>
    <d v="2023-10-30T00:00:00"/>
    <s v="15:27:55"/>
    <b v="0"/>
    <m/>
    <m/>
    <m/>
    <m/>
    <m/>
    <m/>
    <m/>
    <m/>
    <m/>
    <m/>
    <m/>
    <m/>
    <s v="https://pbs.twimg.com/profile_images/1559584982439444482/vOVkFGh3_normal.png"/>
    <s v="1719013266746118316"/>
    <s v="1719013266746118316"/>
    <m/>
    <s v=""/>
    <s v=""/>
    <s v="1718899489916727435"/>
    <s v="1718899489916727435"/>
    <n v="8442592"/>
    <m/>
    <m/>
    <m/>
    <m/>
    <m/>
    <n v="4"/>
    <s v="1"/>
    <s v="3"/>
    <m/>
    <m/>
    <m/>
    <m/>
    <m/>
    <m/>
    <m/>
    <m/>
    <m/>
  </r>
  <r>
    <s v="aejmc"/>
    <s v="prof_dimitrova"/>
    <m/>
    <m/>
    <m/>
    <m/>
    <m/>
    <m/>
    <m/>
    <m/>
    <s v="No"/>
    <n v="123"/>
    <m/>
    <m/>
    <x v="2"/>
    <d v="2023-11-03T13:03:28"/>
    <s v="RT @jmcquarterly: 🌞 Good morning! _x000a__x000a_Here's a great paper @jmcquarterly (EIC: @Prof_Dimitrova) to start your day. _x000a__x000a_It deals with the link b…"/>
    <n v="4"/>
    <n v="0"/>
    <n v="0"/>
    <n v="0"/>
    <m/>
    <x v="0"/>
    <m/>
    <m/>
    <s v="jmcquarterly jmcquarterly prof_dimitrova"/>
    <m/>
    <m/>
    <s v="Twitter Web App"/>
    <s v="en"/>
    <s v="https://twitter.com/aejmc/status/1720426469137043715"/>
    <x v="66"/>
    <d v="2023-11-03T00:00:00"/>
    <s v="13:03:28"/>
    <b v="0"/>
    <m/>
    <m/>
    <m/>
    <m/>
    <m/>
    <m/>
    <m/>
    <m/>
    <m/>
    <m/>
    <m/>
    <m/>
    <s v="https://pbs.twimg.com/profile_images/1559584982439444482/vOVkFGh3_normal.png"/>
    <s v="1720426469137043715"/>
    <s v="1720426469137043715"/>
    <m/>
    <s v=""/>
    <s v=""/>
    <s v="1719995258149228840"/>
    <s v="1719995258149228840"/>
    <n v="8442592"/>
    <m/>
    <m/>
    <m/>
    <m/>
    <m/>
    <n v="4"/>
    <s v="1"/>
    <s v="3"/>
    <m/>
    <m/>
    <m/>
    <m/>
    <m/>
    <m/>
    <m/>
    <m/>
    <m/>
  </r>
  <r>
    <s v="aejmcctec"/>
    <s v="prof_dimitrova"/>
    <m/>
    <m/>
    <m/>
    <m/>
    <m/>
    <m/>
    <m/>
    <m/>
    <s v="No"/>
    <n v="124"/>
    <m/>
    <m/>
    <x v="2"/>
    <d v="2023-11-03T01:11:43"/>
    <s v="RT @jmcquarterly: 🌞 Good morning! _x000a__x000a_Here's a great paper @jmcquarterly (EIC: @Prof_Dimitrova) to start your day. _x000a__x000a_It deals with the link b…"/>
    <n v="4"/>
    <n v="0"/>
    <n v="0"/>
    <n v="0"/>
    <m/>
    <x v="0"/>
    <m/>
    <m/>
    <s v="jmcquarterly jmcquarterly prof_dimitrova"/>
    <m/>
    <m/>
    <s v="Twitter for Android"/>
    <s v="en"/>
    <s v="https://twitter.com/aejmcctec/status/1720247351288172686"/>
    <x v="67"/>
    <d v="2023-11-03T00:00:00"/>
    <s v="01:11:43"/>
    <b v="0"/>
    <m/>
    <m/>
    <m/>
    <m/>
    <m/>
    <m/>
    <m/>
    <m/>
    <m/>
    <m/>
    <m/>
    <m/>
    <s v="https://pbs.twimg.com/profile_images/2495615170/bp4qu2ql67yionsmi55z_normal.jpeg"/>
    <s v="1720247351288172686"/>
    <s v="1720247351288172686"/>
    <m/>
    <s v=""/>
    <s v=""/>
    <s v="1719995258149228840"/>
    <s v="1719995258149228840"/>
    <n v="753196890"/>
    <m/>
    <m/>
    <m/>
    <m/>
    <m/>
    <n v="1"/>
    <s v="3"/>
    <s v="3"/>
    <m/>
    <m/>
    <m/>
    <m/>
    <m/>
    <m/>
    <m/>
    <m/>
    <m/>
  </r>
  <r>
    <s v="aejmcctec"/>
    <s v="jmcquarterly"/>
    <m/>
    <m/>
    <m/>
    <m/>
    <m/>
    <m/>
    <m/>
    <m/>
    <s v="Yes"/>
    <n v="126"/>
    <m/>
    <m/>
    <x v="1"/>
    <d v="2023-11-03T01:12:45"/>
    <s v="RT @jmcquarterly: Hot off the presses and topical:_x000a__x000a_&quot;Empathy With #Muslim Victims of Discrimination&quot;_x000a__x000a_Evidence indicates that personalizati…"/>
    <n v="4"/>
    <n v="0"/>
    <n v="0"/>
    <n v="0"/>
    <m/>
    <x v="19"/>
    <m/>
    <m/>
    <s v="jmcquarterly"/>
    <m/>
    <m/>
    <s v="Twitter for Android"/>
    <s v="en"/>
    <s v="https://twitter.com/aejmcctec/status/1720247609892200675"/>
    <x v="68"/>
    <d v="2023-11-03T00:00:00"/>
    <s v="01:12:45"/>
    <b v="0"/>
    <m/>
    <m/>
    <m/>
    <m/>
    <m/>
    <m/>
    <m/>
    <m/>
    <m/>
    <m/>
    <m/>
    <m/>
    <s v="https://pbs.twimg.com/profile_images/2495615170/bp4qu2ql67yionsmi55z_normal.jpeg"/>
    <s v="1720247609892200675"/>
    <s v="1720247609892200675"/>
    <m/>
    <s v=""/>
    <s v=""/>
    <s v="1719747359171625099"/>
    <s v="1719747359171625099"/>
    <n v="753196890"/>
    <m/>
    <m/>
    <m/>
    <m/>
    <m/>
    <n v="2"/>
    <s v="3"/>
    <s v="3"/>
    <n v="2"/>
    <n v="11.111111111111111"/>
    <n v="1"/>
    <n v="5.5555555555555554"/>
    <n v="0"/>
    <n v="0"/>
    <n v="8"/>
    <n v="44.444444444444443"/>
    <n v="18"/>
  </r>
  <r>
    <s v="aejmcctec"/>
    <s v="louisahabgsu"/>
    <m/>
    <m/>
    <m/>
    <m/>
    <m/>
    <m/>
    <m/>
    <m/>
    <s v="No"/>
    <n v="127"/>
    <m/>
    <m/>
    <x v="1"/>
    <d v="2023-11-03T01:12:16"/>
    <s v="RT @LouisaHaBGSU: Dear #ICA2024 submitters, after submission of your full paper on topics related to online media and communication especia…"/>
    <n v="10"/>
    <n v="0"/>
    <n v="0"/>
    <n v="0"/>
    <m/>
    <x v="20"/>
    <m/>
    <m/>
    <s v="louisahabgsu"/>
    <m/>
    <m/>
    <s v="Twitter for Android"/>
    <s v="en"/>
    <s v="https://twitter.com/aejmcctec/status/1720247489205256386"/>
    <x v="69"/>
    <d v="2023-11-03T00:00:00"/>
    <s v="01:12:16"/>
    <b v="0"/>
    <m/>
    <m/>
    <m/>
    <m/>
    <m/>
    <m/>
    <m/>
    <m/>
    <m/>
    <m/>
    <m/>
    <m/>
    <s v="https://pbs.twimg.com/profile_images/2495615170/bp4qu2ql67yionsmi55z_normal.jpeg"/>
    <s v="1720247489205256386"/>
    <s v="1720247489205256386"/>
    <m/>
    <s v=""/>
    <s v=""/>
    <s v="1719705738673565827"/>
    <s v="1719705738673565827"/>
    <n v="753196890"/>
    <m/>
    <m/>
    <m/>
    <m/>
    <m/>
    <n v="1"/>
    <s v="3"/>
    <s v="3"/>
    <n v="0"/>
    <n v="0"/>
    <n v="0"/>
    <n v="0"/>
    <n v="0"/>
    <n v="0"/>
    <n v="13"/>
    <n v="65"/>
    <n v="20"/>
  </r>
  <r>
    <s v="aejmcctec"/>
    <s v="pengyilang"/>
    <m/>
    <m/>
    <m/>
    <m/>
    <m/>
    <m/>
    <m/>
    <m/>
    <s v="No"/>
    <n v="130"/>
    <m/>
    <m/>
    <x v="1"/>
    <d v="2023-11-03T01:11:33"/>
    <s v="RT @pengyilang: How do far-right media leverage social media logics and entertainment content to amplify their voices? We are excited to sh…"/>
    <n v="39"/>
    <n v="0"/>
    <n v="0"/>
    <n v="0"/>
    <m/>
    <x v="0"/>
    <m/>
    <m/>
    <s v="pengyilang"/>
    <m/>
    <m/>
    <s v="Twitter for Android"/>
    <s v="en"/>
    <s v="https://twitter.com/aejmcctec/status/1720247308242022884"/>
    <x v="70"/>
    <d v="2023-11-03T00:00:00"/>
    <s v="01:11:33"/>
    <b v="0"/>
    <m/>
    <m/>
    <m/>
    <m/>
    <m/>
    <m/>
    <m/>
    <m/>
    <m/>
    <m/>
    <m/>
    <m/>
    <s v="https://pbs.twimg.com/profile_images/2495615170/bp4qu2ql67yionsmi55z_normal.jpeg"/>
    <s v="1720247308242022884"/>
    <s v="1720247308242022884"/>
    <m/>
    <s v=""/>
    <s v=""/>
    <s v="1717930126736761107"/>
    <s v="1717930126736761107"/>
    <n v="753196890"/>
    <m/>
    <m/>
    <m/>
    <m/>
    <m/>
    <n v="1"/>
    <s v="3"/>
    <s v="3"/>
    <n v="3"/>
    <n v="13.043478260869565"/>
    <n v="0"/>
    <n v="0"/>
    <n v="0"/>
    <n v="0"/>
    <n v="11"/>
    <n v="47.826086956521742"/>
    <n v="23"/>
  </r>
  <r>
    <s v="aejmcctec"/>
    <s v="azaizamotaz9"/>
    <m/>
    <m/>
    <m/>
    <m/>
    <m/>
    <m/>
    <m/>
    <m/>
    <s v="No"/>
    <n v="131"/>
    <m/>
    <m/>
    <x v="1"/>
    <d v="2023-11-03T12:44:22"/>
    <s v="RT @azaizamotaz9: Reporting from the middle area where a residential tower was bombed. Many of the dead and injured were taken to the hospi…"/>
    <n v="28453"/>
    <n v="0"/>
    <n v="0"/>
    <n v="0"/>
    <m/>
    <x v="0"/>
    <m/>
    <m/>
    <s v="azaizamotaz9"/>
    <m/>
    <m/>
    <s v="Twitter for Android"/>
    <s v="en"/>
    <s v="https://twitter.com/aejmcctec/status/1720421659180433824"/>
    <x v="71"/>
    <d v="2023-11-03T00:00:00"/>
    <s v="12:44:22"/>
    <m/>
    <m/>
    <m/>
    <m/>
    <m/>
    <m/>
    <m/>
    <m/>
    <m/>
    <m/>
    <m/>
    <m/>
    <m/>
    <s v="https://pbs.twimg.com/profile_images/2495615170/bp4qu2ql67yionsmi55z_normal.jpeg"/>
    <s v="1720421659180433824"/>
    <s v="1720421659180433824"/>
    <m/>
    <s v=""/>
    <s v=""/>
    <s v="1719747492466569538"/>
    <s v="1719747492466569538"/>
    <n v="753196890"/>
    <m/>
    <m/>
    <m/>
    <m/>
    <m/>
    <n v="1"/>
    <s v="3"/>
    <s v="3"/>
    <n v="0"/>
    <n v="0"/>
    <n v="1"/>
    <n v="4.166666666666667"/>
    <n v="0"/>
    <n v="0"/>
    <n v="11"/>
    <n v="45.833333333333336"/>
    <n v="24"/>
  </r>
  <r>
    <s v="louisahabgsu"/>
    <s v="omgcjournal"/>
    <m/>
    <m/>
    <m/>
    <m/>
    <m/>
    <m/>
    <m/>
    <m/>
    <s v="No"/>
    <n v="132"/>
    <m/>
    <m/>
    <x v="3"/>
    <d v="2023-11-01T13:19:33"/>
    <s v="Dear #ICA2024 submitters, after submission of your full paper on topics related to online media and communication especially international conflicts, submit it to our @omgcjournal which is free to authors and readers, 8 language abstracts. https://t.co/yQWfD5lmU6"/>
    <n v="10"/>
    <n v="32"/>
    <n v="2"/>
    <n v="0"/>
    <n v="2675"/>
    <x v="20"/>
    <s v="https://www.degruyter.com/journal/key/omgc/html"/>
    <s v="degruyter.com"/>
    <s v="omgcjournal"/>
    <m/>
    <m/>
    <s v="Twitter for iPhone"/>
    <s v="en"/>
    <s v="https://twitter.com/louisahabgsu/status/1719705738673565827"/>
    <x v="72"/>
    <d v="2023-11-01T00:00:00"/>
    <s v="13:19:33"/>
    <b v="0"/>
    <m/>
    <m/>
    <m/>
    <m/>
    <m/>
    <m/>
    <m/>
    <m/>
    <m/>
    <m/>
    <m/>
    <m/>
    <s v="https://pbs.twimg.com/profile_images/520229540732227584/BT9iQDzR_normal.jpeg"/>
    <s v="1719705738673565827"/>
    <s v="1719705738673565827"/>
    <m/>
    <s v=""/>
    <s v=""/>
    <s v=""/>
    <s v="1719705738673565827"/>
    <n v="2785427009"/>
    <m/>
    <m/>
    <m/>
    <m/>
    <m/>
    <n v="1"/>
    <s v="3"/>
    <s v="3"/>
    <n v="1"/>
    <n v="2.8571428571428572"/>
    <n v="1"/>
    <n v="2.8571428571428572"/>
    <n v="0"/>
    <n v="0"/>
    <n v="19"/>
    <n v="54.285714285714285"/>
    <n v="35"/>
  </r>
  <r>
    <s v="thepostdoctoral"/>
    <s v="thepostdoctoral"/>
    <m/>
    <m/>
    <m/>
    <m/>
    <m/>
    <m/>
    <m/>
    <m/>
    <s v="No"/>
    <n v="134"/>
    <m/>
    <m/>
    <x v="5"/>
    <d v="2023-10-31T07:46:17"/>
    <s v="Journalism Professor Recognized for Outstanding Dissertation | University of Arkansas - The MCS Division of AEJMC awards excellence in graduate research with the dissertation award. Award winners are given a cash prize and an opportunity ... - https://t.co/a9pf1LjNGq"/>
    <n v="0"/>
    <n v="1"/>
    <n v="0"/>
    <n v="0"/>
    <n v="201"/>
    <x v="0"/>
    <s v="https://ift.tt/5ASY3J6"/>
    <s v="ift.tt"/>
    <m/>
    <m/>
    <m/>
    <s v="IFTTT"/>
    <s v="en"/>
    <s v="https://twitter.com/thepostdoctoral/status/1719259482205692353"/>
    <x v="73"/>
    <d v="2023-10-31T00:00:00"/>
    <s v="07:46:17"/>
    <b v="0"/>
    <m/>
    <m/>
    <m/>
    <m/>
    <m/>
    <m/>
    <m/>
    <m/>
    <m/>
    <m/>
    <m/>
    <m/>
    <s v="https://pbs.twimg.com/profile_images/1432099431143329795/3sYvr85-_normal.jpg"/>
    <s v="1719259482205692353"/>
    <s v="1719259482205692353"/>
    <m/>
    <s v=""/>
    <s v=""/>
    <s v=""/>
    <s v="1719259482205692353"/>
    <n v="2175843914"/>
    <m/>
    <m/>
    <m/>
    <m/>
    <m/>
    <n v="1"/>
    <s v="13"/>
    <s v="13"/>
    <n v="7"/>
    <n v="21.212121212121211"/>
    <n v="0"/>
    <n v="0"/>
    <n v="0"/>
    <n v="0"/>
    <n v="15"/>
    <n v="45.454545454545453"/>
    <n v="33"/>
  </r>
  <r>
    <s v="brianatrifiro"/>
    <s v="csgeaejmc"/>
    <m/>
    <m/>
    <m/>
    <m/>
    <m/>
    <m/>
    <m/>
    <m/>
    <s v="Yes"/>
    <n v="135"/>
    <m/>
    <m/>
    <x v="0"/>
    <d v="2023-10-24T01:37:33"/>
    <s v="Please join @CSGEAEJMC for our Fall 2023 Teaching panel, #medialiteracy101 on 11/27 @ 4pm EST!"/>
    <n v="2"/>
    <n v="5"/>
    <n v="0"/>
    <n v="0"/>
    <n v="798"/>
    <x v="21"/>
    <m/>
    <m/>
    <s v="csgeaejmc"/>
    <m/>
    <m/>
    <s v="Twitter for iPhone"/>
    <s v="en"/>
    <s v="https://twitter.com/brianatrifiro/status/1716629972062773742"/>
    <x v="74"/>
    <d v="2023-10-24T00:00:00"/>
    <s v="01:37:33"/>
    <m/>
    <m/>
    <m/>
    <m/>
    <m/>
    <m/>
    <m/>
    <m/>
    <m/>
    <m/>
    <m/>
    <m/>
    <m/>
    <s v="https://pbs.twimg.com/profile_images/1324512852162629632/criswwlC_normal.jpg"/>
    <s v="1716629972062773742"/>
    <s v="1716629972062773742"/>
    <m/>
    <s v=""/>
    <s v="1716473993249645024"/>
    <s v=""/>
    <s v="1716473993249645024"/>
    <s v="1291760732208599040"/>
    <m/>
    <m/>
    <m/>
    <m/>
    <m/>
    <n v="1"/>
    <s v="4"/>
    <s v="4"/>
    <m/>
    <m/>
    <m/>
    <m/>
    <m/>
    <m/>
    <m/>
    <m/>
    <m/>
  </r>
  <r>
    <s v="aejmc"/>
    <s v="brianatrifiro"/>
    <m/>
    <m/>
    <m/>
    <m/>
    <m/>
    <m/>
    <m/>
    <m/>
    <s v="No"/>
    <n v="137"/>
    <m/>
    <m/>
    <x v="1"/>
    <d v="2023-10-31T19:40:29"/>
    <s v="RT @BrianaTrifiro: Please join @CSGEAEJMC for our Fall 2023 Teaching panel, #medialiteracy101 on 11/27 @ 4pm EST!"/>
    <n v="2"/>
    <n v="0"/>
    <n v="0"/>
    <n v="0"/>
    <m/>
    <x v="21"/>
    <m/>
    <m/>
    <s v="brianatrifiro csgeaejmc"/>
    <m/>
    <m/>
    <s v="Twitter Web App"/>
    <s v="en"/>
    <s v="https://twitter.com/aejmc/status/1719439218492035292"/>
    <x v="75"/>
    <d v="2023-10-31T00:00:00"/>
    <s v="19:40:29"/>
    <m/>
    <m/>
    <m/>
    <m/>
    <m/>
    <m/>
    <m/>
    <m/>
    <m/>
    <m/>
    <m/>
    <m/>
    <m/>
    <s v="https://pbs.twimg.com/profile_images/1559584982439444482/vOVkFGh3_normal.png"/>
    <s v="1719439218492035292"/>
    <s v="1719439218492035292"/>
    <m/>
    <s v=""/>
    <s v="1716473993249645024"/>
    <s v="1716629972062773742"/>
    <s v="1716629972062773742"/>
    <n v="8442592"/>
    <m/>
    <m/>
    <m/>
    <m/>
    <m/>
    <n v="1"/>
    <s v="1"/>
    <s v="4"/>
    <m/>
    <m/>
    <m/>
    <m/>
    <m/>
    <m/>
    <m/>
    <m/>
    <m/>
  </r>
  <r>
    <s v="csgeaejmc"/>
    <s v="brianatrifiro"/>
    <m/>
    <m/>
    <m/>
    <m/>
    <m/>
    <m/>
    <m/>
    <m/>
    <s v="Yes"/>
    <n v="138"/>
    <m/>
    <m/>
    <x v="1"/>
    <d v="2023-10-31T19:37:41"/>
    <s v="RT @BrianaTrifiro: Please join @CSGEAEJMC for our Fall 2023 Teaching panel, #medialiteracy101 on 11/27 @ 4pm EST!"/>
    <n v="2"/>
    <n v="0"/>
    <n v="0"/>
    <n v="0"/>
    <m/>
    <x v="21"/>
    <m/>
    <m/>
    <s v="brianatrifiro csgeaejmc"/>
    <m/>
    <m/>
    <s v="Twitter for iPhone"/>
    <s v="en"/>
    <s v="https://twitter.com/csgeaejmc/status/1719438511349137778"/>
    <x v="76"/>
    <d v="2023-10-31T00:00:00"/>
    <s v="19:37:41"/>
    <m/>
    <m/>
    <m/>
    <m/>
    <m/>
    <m/>
    <m/>
    <m/>
    <m/>
    <m/>
    <m/>
    <m/>
    <m/>
    <s v="https://pbs.twimg.com/profile_images/1631068834768515072/LdDIOISa_normal.jpg"/>
    <s v="1719438511349137778"/>
    <s v="1719438511349137778"/>
    <m/>
    <s v=""/>
    <s v="1716473993249645024"/>
    <s v="1716629972062773742"/>
    <s v="1716629972062773742"/>
    <s v="1309530931796025348"/>
    <m/>
    <m/>
    <m/>
    <m/>
    <m/>
    <n v="1"/>
    <s v="4"/>
    <s v="4"/>
    <m/>
    <m/>
    <m/>
    <m/>
    <m/>
    <m/>
    <m/>
    <m/>
    <m/>
  </r>
  <r>
    <s v="csgeaejmc"/>
    <s v="profgoldie"/>
    <m/>
    <m/>
    <m/>
    <m/>
    <m/>
    <m/>
    <m/>
    <m/>
    <s v="No"/>
    <n v="139"/>
    <m/>
    <m/>
    <x v="3"/>
    <d v="2023-10-23T15:17:45"/>
    <s v="Join @CSGEAEJMC and @AEJMCethics for #MediaLiteracy101. All AEJMC members welcome! Our panel features @PR_Johnson, @AlexisRomWalker, @denielliott, @IC4ML’s @belmedia and @ProfGoldie Register at https://t.co/KBT0NrSpJJ https://t.co/fpTwVwbj3u"/>
    <n v="10"/>
    <n v="14"/>
    <n v="0"/>
    <n v="2"/>
    <n v="1621"/>
    <x v="21"/>
    <s v="https://bostonu.zoom.us/meeting/register/tJAkc-Gsqj8qGNfbayeDGxjSAisWKFmTXJAs"/>
    <s v="zoom.us"/>
    <s v="csgeaejmc aejmcethics pr_johnson alexisromwalker denielliott ic4ml belmedia profgoldie"/>
    <s v="https://t.co/fpTwVwbj3u https://pbs.twimg.com/media/F9IjUUkXAAAIObs.png"/>
    <s v="photo"/>
    <s v="Twitter Web App"/>
    <s v="en"/>
    <s v="https://twitter.com/csgeaejmc/status/1716473993249645024"/>
    <x v="77"/>
    <d v="2023-10-23T00:00:00"/>
    <s v="15:17:45"/>
    <b v="0"/>
    <m/>
    <m/>
    <m/>
    <m/>
    <m/>
    <m/>
    <m/>
    <s v="3_1716473240007147520"/>
    <m/>
    <m/>
    <m/>
    <m/>
    <s v="https://pbs.twimg.com/media/F9IjUUkXAAAIObs.png"/>
    <s v="1716473993249645024"/>
    <s v="1716473993249645024"/>
    <m/>
    <s v=""/>
    <s v=""/>
    <s v=""/>
    <s v="1716473993249645024"/>
    <s v="1309530931796025348"/>
    <m/>
    <m/>
    <m/>
    <m/>
    <m/>
    <n v="2"/>
    <s v="4"/>
    <s v="4"/>
    <m/>
    <m/>
    <m/>
    <m/>
    <m/>
    <m/>
    <m/>
    <m/>
    <m/>
  </r>
  <r>
    <s v="csgeaejmc"/>
    <s v="profgoldie"/>
    <m/>
    <m/>
    <m/>
    <m/>
    <m/>
    <m/>
    <m/>
    <m/>
    <s v="No"/>
    <n v="140"/>
    <m/>
    <m/>
    <x v="3"/>
    <d v="2023-11-03T19:11:08"/>
    <s v="What do you want to know about media literacy?_x000a__x000a_We'll share your questions w/ @CSGEAEJMC + @AEJMCethics #medialiteracy101 on 11/27._x000a__x000a_Our teaching panel:_x000a_💻@PR_Johnson_x000a_📱@AlexisRomWalker_x000a_📺@denielliott_x000a_🖱️@IC4ML_x000a_⌨️@belmedia_x000a_🖥️@ProfGoldie_x000a__x000a_Register at: https://t.co/KBT0NrSpJJ https://t.co/4olQLMk7KD"/>
    <n v="4"/>
    <n v="5"/>
    <n v="0"/>
    <n v="2"/>
    <n v="1602"/>
    <x v="21"/>
    <s v="https://bostonu.zoom.us/meeting/register/tJAkc-Gsqj8qGNfbayeDGxjSAisWKFmTXJAs"/>
    <s v="zoom.us"/>
    <s v="csgeaejmc aejmcethics pr_johnson alexisromwalker denielliott ic4ml belmedia profgoldie"/>
    <s v="https://t.co/4olQLMk7KD https://pbs.twimg.com/tweet_video_thumb/F-CC553agAAW9bb.jpg"/>
    <s v="animated_gif"/>
    <s v="Twitter Web App"/>
    <s v="en"/>
    <s v="https://twitter.com/csgeaejmc/status/1720518995030556846"/>
    <x v="78"/>
    <d v="2023-11-03T00:00:00"/>
    <s v="19:11:08"/>
    <b v="0"/>
    <m/>
    <m/>
    <m/>
    <m/>
    <m/>
    <m/>
    <m/>
    <s v="16_1720518988952928256"/>
    <m/>
    <m/>
    <m/>
    <m/>
    <s v="https://pbs.twimg.com/tweet_video_thumb/F-CC553agAAW9bb.jpg"/>
    <s v="1720518995030556846"/>
    <s v="1720518995030556846"/>
    <m/>
    <s v=""/>
    <s v=""/>
    <s v=""/>
    <s v="1720518995030556846"/>
    <s v="1309530931796025348"/>
    <m/>
    <m/>
    <m/>
    <m/>
    <m/>
    <n v="2"/>
    <s v="4"/>
    <s v="4"/>
    <m/>
    <m/>
    <m/>
    <m/>
    <m/>
    <m/>
    <m/>
    <m/>
    <m/>
  </r>
  <r>
    <s v="gregperreault"/>
    <s v="poli_com"/>
    <m/>
    <m/>
    <m/>
    <m/>
    <m/>
    <m/>
    <m/>
    <m/>
    <s v="No"/>
    <n v="153"/>
    <m/>
    <m/>
    <x v="3"/>
    <d v="2023-10-27T16:47:58"/>
    <s v="NEW #JMCQReview 🚨 In this book by Michael J Lee and R. Jarrod Atchison, they challenge the US as having a national identity and theorize a “separatist spectrum.”  @jmcquarterly review by @Appstatecomdept's Andrew Davis _x000a__x000a_https://t.co/3NnhnoxED8 _x000a__x000a_@AEJMC_PolComm @poli_com @AEJMC"/>
    <n v="1"/>
    <n v="8"/>
    <n v="0"/>
    <n v="0"/>
    <n v="858"/>
    <x v="22"/>
    <s v="https://journals.sagepub.com/doi/10.1177/10776990231206366"/>
    <s v="sagepub.com"/>
    <s v="jmcquarterly appstatecomdept aejmc_polcomm poli_com aejmc"/>
    <m/>
    <m/>
    <s v="Twitter Web App"/>
    <s v="en"/>
    <s v="https://twitter.com/gregperreault/status/1717946250757378369"/>
    <x v="79"/>
    <d v="2023-10-27T00:00:00"/>
    <s v="16:47:58"/>
    <b v="0"/>
    <m/>
    <m/>
    <m/>
    <m/>
    <m/>
    <m/>
    <m/>
    <m/>
    <m/>
    <m/>
    <m/>
    <m/>
    <s v="https://pbs.twimg.com/profile_images/1411054146111873024/g2JD9Gqs_normal.jpg"/>
    <s v="1717946250757378369"/>
    <s v="1717946250757378369"/>
    <m/>
    <s v=""/>
    <s v=""/>
    <s v=""/>
    <s v="1717946250757378369"/>
    <n v="19065198"/>
    <m/>
    <m/>
    <m/>
    <m/>
    <m/>
    <n v="1"/>
    <s v="6"/>
    <s v="6"/>
    <m/>
    <m/>
    <m/>
    <m/>
    <m/>
    <m/>
    <m/>
    <m/>
    <m/>
  </r>
  <r>
    <s v="aejmc"/>
    <s v="uk_ci"/>
    <m/>
    <m/>
    <m/>
    <m/>
    <m/>
    <m/>
    <m/>
    <m/>
    <s v="No"/>
    <n v="156"/>
    <m/>
    <m/>
    <x v="3"/>
    <d v="2023-10-31T15:46:00"/>
    <s v="Job Alert 👇_x000a_School: University of Kentucky @uk_ci _x000a_Position:  Chair of the Department of Integrated Strategic Communication_x000a_https://t.co/NOJcEMV2Pj_x000a_#AejmcJobs #Ad #JobAd"/>
    <n v="2"/>
    <n v="3"/>
    <n v="0"/>
    <n v="0"/>
    <n v="467"/>
    <x v="13"/>
    <s v="https://www.aejmc.org/jobads/?p=19429"/>
    <s v="aejmc.org"/>
    <s v="uk_ci"/>
    <m/>
    <m/>
    <s v="Twitter Web App"/>
    <s v="en"/>
    <s v="https://twitter.com/aejmc/status/1719380205683270107"/>
    <x v="80"/>
    <d v="2023-10-31T00:00:00"/>
    <s v="15:46:00"/>
    <b v="0"/>
    <m/>
    <m/>
    <m/>
    <m/>
    <m/>
    <m/>
    <m/>
    <m/>
    <m/>
    <m/>
    <m/>
    <m/>
    <s v="https://pbs.twimg.com/profile_images/1559584982439444482/vOVkFGh3_normal.png"/>
    <s v="1719380205683270107"/>
    <s v="1719380205683270107"/>
    <m/>
    <s v=""/>
    <s v=""/>
    <s v=""/>
    <s v="1719380205683270107"/>
    <n v="8442592"/>
    <m/>
    <m/>
    <m/>
    <m/>
    <m/>
    <n v="2"/>
    <s v="1"/>
    <s v="6"/>
    <n v="1"/>
    <n v="5.2631578947368425"/>
    <n v="0"/>
    <n v="0"/>
    <n v="0"/>
    <n v="0"/>
    <n v="14"/>
    <n v="73.684210526315795"/>
    <n v="19"/>
  </r>
  <r>
    <s v="aejmc"/>
    <s v="uk_ci"/>
    <m/>
    <m/>
    <m/>
    <m/>
    <m/>
    <m/>
    <m/>
    <m/>
    <s v="No"/>
    <n v="157"/>
    <m/>
    <m/>
    <x v="3"/>
    <d v="2023-10-17T16:48:10"/>
    <s v="Save the date - 49th Annual AEJMC Southeast Colloquium to be held March 7-9 @uk_ci. We invite you to submit papers, works in progress, &amp;amp; teaching tips. The conference will be fully in-person. View the call &amp;amp; info here:_x000a_https://t.co/X2KyhP3aQB"/>
    <n v="5"/>
    <n v="7"/>
    <n v="0"/>
    <n v="1"/>
    <n v="1970"/>
    <x v="0"/>
    <s v="https://ci.uky.edu/about-ci/2024-aejmc-southeast-colloquium/paper-submissions"/>
    <s v="uky.edu"/>
    <s v="uk_ci"/>
    <m/>
    <m/>
    <s v="Twitter Web App"/>
    <s v="en"/>
    <s v="https://twitter.com/aejmc/status/1714322420926943611"/>
    <x v="81"/>
    <d v="2023-10-17T00:00:00"/>
    <s v="16:48:10"/>
    <b v="0"/>
    <m/>
    <m/>
    <m/>
    <m/>
    <m/>
    <m/>
    <m/>
    <m/>
    <m/>
    <m/>
    <m/>
    <m/>
    <s v="https://pbs.twimg.com/profile_images/1559584982439444482/vOVkFGh3_normal.png"/>
    <s v="1714322420926943611"/>
    <s v="1714322420926943611"/>
    <m/>
    <s v=""/>
    <s v=""/>
    <s v=""/>
    <s v="1714322420926943611"/>
    <n v="8442592"/>
    <m/>
    <m/>
    <m/>
    <m/>
    <m/>
    <n v="2"/>
    <s v="1"/>
    <s v="6"/>
    <n v="2"/>
    <n v="5"/>
    <n v="0"/>
    <n v="0"/>
    <n v="0"/>
    <n v="0"/>
    <n v="21"/>
    <n v="52.5"/>
    <n v="40"/>
  </r>
  <r>
    <s v="gregperreault"/>
    <s v="uk_ci"/>
    <m/>
    <m/>
    <m/>
    <m/>
    <m/>
    <m/>
    <m/>
    <m/>
    <s v="No"/>
    <n v="158"/>
    <m/>
    <m/>
    <x v="2"/>
    <d v="2023-10-30T20:15:52"/>
    <s v="RT @aejmc_nond: 📅 Mark your calendars! @AEJMC Southeast Colloquium submissions are due Dec. 11! Join us March 7-9 in Lexington, KY @uk_ci.…"/>
    <n v="2"/>
    <n v="0"/>
    <n v="0"/>
    <n v="0"/>
    <m/>
    <x v="0"/>
    <m/>
    <m/>
    <s v="aejmc_nond aejmc uk_ci"/>
    <m/>
    <m/>
    <s v="Twitter for iPad"/>
    <s v="en"/>
    <s v="https://twitter.com/gregperreault/status/1719085731149226334"/>
    <x v="82"/>
    <d v="2023-10-30T00:00:00"/>
    <s v="20:15:52"/>
    <m/>
    <m/>
    <m/>
    <m/>
    <m/>
    <m/>
    <m/>
    <m/>
    <m/>
    <m/>
    <m/>
    <m/>
    <m/>
    <s v="https://pbs.twimg.com/profile_images/1411054146111873024/g2JD9Gqs_normal.jpg"/>
    <s v="1719085731149226334"/>
    <s v="1719085731149226334"/>
    <m/>
    <s v=""/>
    <s v="1714322420926943611"/>
    <s v="1716521373886218438"/>
    <s v="1716521373886218438"/>
    <n v="19065198"/>
    <m/>
    <m/>
    <m/>
    <m/>
    <m/>
    <n v="1"/>
    <s v="6"/>
    <s v="6"/>
    <n v="0"/>
    <n v="0"/>
    <n v="0"/>
    <n v="0"/>
    <n v="0"/>
    <n v="0"/>
    <n v="15"/>
    <n v="68.181818181818187"/>
    <n v="22"/>
  </r>
  <r>
    <s v="aejmc_nond"/>
    <s v="aejmc"/>
    <m/>
    <m/>
    <m/>
    <m/>
    <m/>
    <m/>
    <m/>
    <m/>
    <s v="No"/>
    <n v="161"/>
    <m/>
    <m/>
    <x v="1"/>
    <d v="2023-10-30T20:13:40"/>
    <s v="RT @AEJMC: The AEJMC Standing Committee on Research is accepting nominations through Dec. 1 for_x000a_the Paul J. Deutschmann Award for Excellenc…"/>
    <n v="7"/>
    <n v="0"/>
    <n v="0"/>
    <n v="0"/>
    <m/>
    <x v="0"/>
    <m/>
    <m/>
    <s v="aejmc"/>
    <m/>
    <m/>
    <s v="Twitter Web App"/>
    <s v="en"/>
    <s v="https://twitter.com/aejmc_nond/status/1719085181271933174"/>
    <x v="83"/>
    <d v="2023-10-30T00:00:00"/>
    <s v="20:13:40"/>
    <m/>
    <m/>
    <m/>
    <m/>
    <m/>
    <m/>
    <m/>
    <m/>
    <m/>
    <m/>
    <m/>
    <m/>
    <m/>
    <s v="https://pbs.twimg.com/profile_images/884110390493425664/HGSOS2S8_normal.jpg"/>
    <s v="1719085181271933174"/>
    <s v="1719085181271933174"/>
    <m/>
    <s v=""/>
    <s v=""/>
    <s v="1717612166008766732"/>
    <s v="1717612166008766732"/>
    <n v="744265436"/>
    <m/>
    <m/>
    <m/>
    <m/>
    <m/>
    <n v="1"/>
    <s v="6"/>
    <s v="1"/>
    <n v="1"/>
    <n v="4.5454545454545459"/>
    <n v="0"/>
    <n v="0"/>
    <n v="0"/>
    <n v="0"/>
    <n v="11"/>
    <n v="50"/>
    <n v="22"/>
  </r>
  <r>
    <s v="aejmc"/>
    <s v="gregperreault"/>
    <m/>
    <m/>
    <m/>
    <m/>
    <m/>
    <m/>
    <m/>
    <m/>
    <s v="Yes"/>
    <n v="164"/>
    <m/>
    <m/>
    <x v="1"/>
    <d v="2023-10-30T15:28:54"/>
    <s v="RT @GregPerreault: NEW #JMCQReview 🚨 In this book by Michael J Lee and R. Jarrod Atchison, they challenge the US as having a national ident…"/>
    <n v="1"/>
    <n v="0"/>
    <n v="0"/>
    <n v="0"/>
    <m/>
    <x v="22"/>
    <m/>
    <m/>
    <s v="gregperreault"/>
    <m/>
    <m/>
    <s v="Twitter Web App"/>
    <s v="en"/>
    <s v="https://twitter.com/aejmc/status/1719013516298862668"/>
    <x v="84"/>
    <d v="2023-10-30T00:00:00"/>
    <s v="15:28:54"/>
    <b v="0"/>
    <m/>
    <m/>
    <m/>
    <m/>
    <m/>
    <m/>
    <m/>
    <m/>
    <m/>
    <m/>
    <m/>
    <m/>
    <s v="https://pbs.twimg.com/profile_images/1559584982439444482/vOVkFGh3_normal.png"/>
    <s v="1719013516298862668"/>
    <s v="1719013516298862668"/>
    <m/>
    <s v=""/>
    <s v=""/>
    <s v="1717946250757378369"/>
    <s v="1717946250757378369"/>
    <n v="8442592"/>
    <m/>
    <m/>
    <m/>
    <m/>
    <m/>
    <n v="1"/>
    <s v="1"/>
    <s v="6"/>
    <n v="0"/>
    <n v="0"/>
    <n v="0"/>
    <n v="0"/>
    <n v="0"/>
    <n v="0"/>
    <n v="11"/>
    <n v="45.833333333333336"/>
    <n v="24"/>
  </r>
  <r>
    <s v="gregperreault"/>
    <s v="aejmc"/>
    <m/>
    <m/>
    <m/>
    <m/>
    <m/>
    <m/>
    <m/>
    <m/>
    <s v="Yes"/>
    <n v="166"/>
    <m/>
    <m/>
    <x v="1"/>
    <d v="2023-10-30T20:15:06"/>
    <s v="RT @AEJMC: The AEJMC Standing Committee on Research is accepting nominations through Dec. 1 for_x000a_the Paul J. Deutschmann Award for Excellenc…"/>
    <n v="7"/>
    <n v="0"/>
    <n v="0"/>
    <n v="0"/>
    <m/>
    <x v="0"/>
    <m/>
    <m/>
    <s v="aejmc"/>
    <m/>
    <m/>
    <s v="Twitter for iPad"/>
    <s v="en"/>
    <s v="https://twitter.com/gregperreault/status/1719085538118979812"/>
    <x v="85"/>
    <d v="2023-10-30T00:00:00"/>
    <s v="20:15:06"/>
    <m/>
    <m/>
    <m/>
    <m/>
    <m/>
    <m/>
    <m/>
    <m/>
    <m/>
    <m/>
    <m/>
    <m/>
    <m/>
    <s v="https://pbs.twimg.com/profile_images/1411054146111873024/g2JD9Gqs_normal.jpg"/>
    <s v="1719085538118979812"/>
    <s v="1719085538118979812"/>
    <m/>
    <s v=""/>
    <s v=""/>
    <s v="1717612166008766732"/>
    <s v="1717612166008766732"/>
    <n v="19065198"/>
    <m/>
    <m/>
    <m/>
    <m/>
    <m/>
    <n v="2"/>
    <s v="6"/>
    <s v="1"/>
    <n v="1"/>
    <n v="4.5454545454545459"/>
    <n v="0"/>
    <n v="0"/>
    <n v="0"/>
    <n v="0"/>
    <n v="11"/>
    <n v="50"/>
    <n v="22"/>
  </r>
  <r>
    <s v="gregperreault"/>
    <s v="aejmc"/>
    <m/>
    <m/>
    <m/>
    <m/>
    <m/>
    <m/>
    <m/>
    <m/>
    <s v="Yes"/>
    <n v="170"/>
    <m/>
    <m/>
    <x v="1"/>
    <d v="2023-11-03T17:58:05"/>
    <s v="RT @AEJMC: An AEJMC Standing Committee on Research Award,_x000a_The Blum Research Award was created to recognize people who have devoted substant…"/>
    <n v="3"/>
    <n v="0"/>
    <n v="0"/>
    <n v="0"/>
    <m/>
    <x v="0"/>
    <m/>
    <m/>
    <s v="aejmc"/>
    <m/>
    <m/>
    <s v="Twitter for iPhone"/>
    <s v="en"/>
    <s v="https://twitter.com/gregperreault/status/1720500610754097661"/>
    <x v="86"/>
    <d v="2023-11-03T00:00:00"/>
    <s v="17:58:05"/>
    <m/>
    <m/>
    <m/>
    <m/>
    <m/>
    <m/>
    <m/>
    <m/>
    <m/>
    <m/>
    <m/>
    <m/>
    <m/>
    <s v="https://pbs.twimg.com/profile_images/1411054146111873024/g2JD9Gqs_normal.jpg"/>
    <s v="1720500610754097661"/>
    <s v="1720500610754097661"/>
    <m/>
    <s v=""/>
    <s v=""/>
    <s v="1720483000461181036"/>
    <s v="1720483000461181036"/>
    <n v="19065198"/>
    <m/>
    <m/>
    <m/>
    <m/>
    <m/>
    <n v="2"/>
    <s v="6"/>
    <s v="1"/>
    <n v="2"/>
    <n v="9.0909090909090917"/>
    <n v="0"/>
    <n v="0"/>
    <n v="0"/>
    <n v="0"/>
    <n v="12"/>
    <n v="54.545454545454547"/>
    <n v="22"/>
  </r>
  <r>
    <s v="gregperreault"/>
    <s v="jmcquarterly"/>
    <m/>
    <m/>
    <m/>
    <m/>
    <m/>
    <m/>
    <m/>
    <m/>
    <s v="Yes"/>
    <n v="171"/>
    <m/>
    <m/>
    <x v="1"/>
    <d v="2023-11-03T17:46:39"/>
    <s v="RT @jmcquarterly: Congratulations on submitting your work to #ICA24! _x000a_Looking for a home for your paper? We'd be happy to take a look! #Pee…"/>
    <n v="4"/>
    <n v="0"/>
    <n v="0"/>
    <n v="0"/>
    <m/>
    <x v="1"/>
    <m/>
    <m/>
    <s v="jmcquarterly"/>
    <m/>
    <m/>
    <s v="Twitter for iPhone"/>
    <s v="en"/>
    <s v="https://twitter.com/gregperreault/status/1720497732803084389"/>
    <x v="87"/>
    <d v="2023-11-03T00:00:00"/>
    <s v="17:46:39"/>
    <m/>
    <m/>
    <m/>
    <m/>
    <m/>
    <m/>
    <m/>
    <m/>
    <m/>
    <m/>
    <m/>
    <m/>
    <m/>
    <s v="https://pbs.twimg.com/profile_images/1411054146111873024/g2JD9Gqs_normal.jpg"/>
    <s v="1720497732803084389"/>
    <s v="1720497732803084389"/>
    <m/>
    <s v=""/>
    <s v=""/>
    <s v="1720351664719151216"/>
    <s v="1720351664719151216"/>
    <n v="19065198"/>
    <m/>
    <m/>
    <m/>
    <m/>
    <m/>
    <n v="1"/>
    <s v="6"/>
    <s v="3"/>
    <n v="3"/>
    <n v="12.5"/>
    <n v="0"/>
    <n v="0"/>
    <n v="0"/>
    <n v="0"/>
    <n v="9"/>
    <n v="37.5"/>
    <n v="24"/>
  </r>
  <r>
    <s v="hdeniswu"/>
    <s v="aejmc"/>
    <m/>
    <m/>
    <m/>
    <m/>
    <m/>
    <m/>
    <m/>
    <m/>
    <s v="No"/>
    <n v="173"/>
    <m/>
    <m/>
    <x v="1"/>
    <d v="2023-11-04T13:00:15"/>
    <s v="RT @AEJMC: An AEJMC Standing Committee on Research Award,_x000a_The Blum Research Award was created to recognize people who have devoted substant…"/>
    <n v="3"/>
    <n v="0"/>
    <n v="0"/>
    <n v="0"/>
    <m/>
    <x v="0"/>
    <m/>
    <m/>
    <s v="aejmc"/>
    <m/>
    <m/>
    <s v="Twitter for iPhone"/>
    <s v="en"/>
    <s v="https://twitter.com/hdeniswu/status/1720788047682326679"/>
    <x v="88"/>
    <d v="2023-11-04T00:00:00"/>
    <s v="13:00:15"/>
    <m/>
    <m/>
    <m/>
    <m/>
    <m/>
    <m/>
    <m/>
    <m/>
    <m/>
    <m/>
    <m/>
    <m/>
    <m/>
    <s v="https://pbs.twimg.com/profile_images/1627050137070755847/LYNRis13_normal.jpg"/>
    <s v="1720788047682326679"/>
    <s v="1720788047682326679"/>
    <m/>
    <s v=""/>
    <s v=""/>
    <s v="1720483000461181036"/>
    <s v="1720483000461181036"/>
    <n v="3193013278"/>
    <m/>
    <m/>
    <m/>
    <m/>
    <m/>
    <n v="1"/>
    <s v="1"/>
    <s v="1"/>
    <n v="2"/>
    <n v="9.0909090909090917"/>
    <n v="0"/>
    <n v="0"/>
    <n v="0"/>
    <n v="0"/>
    <n v="12"/>
    <n v="54.545454545454547"/>
    <n v="22"/>
  </r>
  <r>
    <s v="michael_bugeja"/>
    <s v="iowastateu"/>
    <m/>
    <m/>
    <m/>
    <m/>
    <m/>
    <m/>
    <m/>
    <m/>
    <s v="No"/>
    <n v="174"/>
    <m/>
    <m/>
    <x v="3"/>
    <d v="2023-10-31T13:18:59"/>
    <s v="Wed. Nov. 1, 2-3 p.m. (central) I will give a presentation about the P&amp;amp;T process with emphasis on gratitude rather than gratification. Good writing tips for dossier. Go to link below to register for free. @NatComm @gratitude  @ISU_GSJC @AEJMC @IowaStateU https://t.co/vF1xWA0WhA"/>
    <n v="1"/>
    <n v="1"/>
    <n v="0"/>
    <n v="0"/>
    <n v="313"/>
    <x v="0"/>
    <s v="https://www.celt.iastate.edu/event/a-culture-of-gratitude-best-practices-for-promotion-and-tenure/"/>
    <s v="iastate.edu"/>
    <s v="natcomm gratitude isu_gsjc aejmc iowastateu"/>
    <m/>
    <m/>
    <s v="Twitter Web App"/>
    <s v="en"/>
    <s v="https://twitter.com/michael_bugeja/status/1719343210949124292"/>
    <x v="89"/>
    <d v="2023-10-31T00:00:00"/>
    <s v="13:18:59"/>
    <b v="0"/>
    <m/>
    <m/>
    <m/>
    <m/>
    <m/>
    <m/>
    <m/>
    <m/>
    <m/>
    <m/>
    <m/>
    <m/>
    <s v="https://pbs.twimg.com/profile_images/1060299959570849793/ZJPqNMgP_normal.jpg"/>
    <s v="1719343210949124292"/>
    <s v="1719343210949124292"/>
    <m/>
    <s v=""/>
    <s v=""/>
    <s v=""/>
    <s v="1719343210949124292"/>
    <n v="80869971"/>
    <m/>
    <m/>
    <m/>
    <m/>
    <m/>
    <n v="1"/>
    <s v="9"/>
    <s v="9"/>
    <m/>
    <m/>
    <m/>
    <m/>
    <m/>
    <m/>
    <m/>
    <m/>
    <m/>
  </r>
  <r>
    <s v="mjfuhlhage"/>
    <s v="brizzyc"/>
    <m/>
    <m/>
    <m/>
    <m/>
    <m/>
    <m/>
    <m/>
    <m/>
    <s v="No"/>
    <n v="179"/>
    <m/>
    <m/>
    <x v="6"/>
    <d v="2023-11-03T17:53:09"/>
    <s v="@Brizzyc Happened to me during AEJMC. Only, they bought a couple of grand in furniture at Ashley."/>
    <n v="0"/>
    <n v="1"/>
    <n v="0"/>
    <n v="0"/>
    <n v="27"/>
    <x v="0"/>
    <m/>
    <m/>
    <s v="brizzyc"/>
    <m/>
    <m/>
    <s v="Twitter Web App"/>
    <s v="en"/>
    <s v="https://twitter.com/mjfuhlhage/status/1720499366845088233"/>
    <x v="90"/>
    <d v="2023-11-03T00:00:00"/>
    <s v="17:53:09"/>
    <m/>
    <m/>
    <m/>
    <m/>
    <m/>
    <m/>
    <m/>
    <m/>
    <m/>
    <m/>
    <m/>
    <m/>
    <m/>
    <s v="https://pbs.twimg.com/profile_images/1434178901991960580/rcQbpYJ1_normal.jpg"/>
    <s v="1720499366845088233"/>
    <s v="1720482724626985142"/>
    <s v="11584622"/>
    <s v="1720482724626985142"/>
    <s v=""/>
    <s v=""/>
    <s v="1720482724626985142"/>
    <n v="213867085"/>
    <m/>
    <m/>
    <m/>
    <m/>
    <m/>
    <n v="1"/>
    <s v="14"/>
    <s v="14"/>
    <n v="1"/>
    <n v="5.882352941176471"/>
    <n v="0"/>
    <n v="0"/>
    <n v="0"/>
    <n v="0"/>
    <n v="8"/>
    <n v="47.058823529411768"/>
    <n v="17"/>
  </r>
  <r>
    <s v="chensibo"/>
    <s v="stevedepo"/>
    <m/>
    <m/>
    <m/>
    <m/>
    <m/>
    <m/>
    <m/>
    <m/>
    <s v="No"/>
    <n v="180"/>
    <m/>
    <m/>
    <x v="1"/>
    <d v="2023-11-04T23:28:47"/>
    <s v="RT @stevedepo: Join IECA in 2024! Benefits include on-line access to ENVIRONMENTAL COMMUNICATION, discounts for 2025 COCE and on-line cours…"/>
    <n v="4"/>
    <n v="0"/>
    <n v="0"/>
    <n v="0"/>
    <m/>
    <x v="0"/>
    <m/>
    <m/>
    <s v="stevedepo"/>
    <m/>
    <m/>
    <s v="Twitter for iPhone"/>
    <s v="en"/>
    <s v="https://twitter.com/chensibo/status/1720946220435210470"/>
    <x v="91"/>
    <d v="2023-11-04T00:00:00"/>
    <s v="23:28:47"/>
    <m/>
    <m/>
    <m/>
    <m/>
    <m/>
    <m/>
    <m/>
    <m/>
    <m/>
    <m/>
    <m/>
    <m/>
    <m/>
    <s v="https://pbs.twimg.com/profile_images/1222958034990829568/O3XAgaHo_normal.jpg"/>
    <s v="1720946220435210470"/>
    <s v="1720946220435210470"/>
    <m/>
    <s v=""/>
    <s v=""/>
    <s v="1720917387485020564"/>
    <s v="1720917387485020564"/>
    <n v="374929582"/>
    <m/>
    <m/>
    <m/>
    <m/>
    <m/>
    <n v="1"/>
    <s v="7"/>
    <s v="7"/>
    <n v="1"/>
    <n v="4.5454545454545459"/>
    <n v="0"/>
    <n v="0"/>
    <n v="0"/>
    <n v="0"/>
    <n v="14"/>
    <n v="63.636363636363633"/>
    <n v="22"/>
  </r>
  <r>
    <s v="rlpgbooks"/>
    <s v="asanews"/>
    <m/>
    <m/>
    <m/>
    <m/>
    <m/>
    <m/>
    <m/>
    <m/>
    <s v="No"/>
    <n v="181"/>
    <m/>
    <m/>
    <x v="3"/>
    <d v="2023-10-27T19:39:05"/>
    <s v="PhD students: Help us make updates for the third edition of &quot;Destination Dissertation.&quot; Take our survey and get a $100 honorarium toward books. _x000a_cc: @CSGEAEJMC @apa_gsc @APAGradECP @NeMLAGradCaucus @AarGrad @ASAnews_x000a__x000a_Start here👉 https://t.co/H3uWn9cQr9 https://t.co/SWz8Re7cCw"/>
    <n v="2"/>
    <n v="1"/>
    <n v="0"/>
    <n v="0"/>
    <n v="255"/>
    <x v="0"/>
    <s v="https://ow.ly/JyA050PZrHG"/>
    <s v="ow.ly"/>
    <s v="csgeaejmc apa_gsc apagradecp nemlagradcaucus aargrad asanews"/>
    <s v="https://t.co/SWz8Re7cCw https://pbs.twimg.com/media/F9eGLPPW4AAuhpV.jpg"/>
    <s v="photo"/>
    <s v="Hootsuite Inc."/>
    <s v="en"/>
    <s v="https://twitter.com/rlpgbooks/status/1717989312514412961"/>
    <x v="92"/>
    <d v="2023-10-27T00:00:00"/>
    <s v="19:39:05"/>
    <b v="0"/>
    <m/>
    <m/>
    <m/>
    <m/>
    <m/>
    <m/>
    <m/>
    <s v="3_1717989310492762112"/>
    <m/>
    <m/>
    <m/>
    <m/>
    <s v="https://pbs.twimg.com/media/F9eGLPPW4AAuhpV.jpg"/>
    <s v="1717989312514412961"/>
    <s v="1717989312514412961"/>
    <m/>
    <s v=""/>
    <s v=""/>
    <s v=""/>
    <s v="1717989312514412961"/>
    <n v="81992242"/>
    <m/>
    <m/>
    <m/>
    <m/>
    <m/>
    <n v="1"/>
    <s v="4"/>
    <s v="4"/>
    <m/>
    <m/>
    <m/>
    <m/>
    <m/>
    <m/>
    <m/>
    <m/>
    <m/>
  </r>
  <r>
    <s v="csgeaejmc"/>
    <s v="rlpgbooks"/>
    <m/>
    <m/>
    <m/>
    <m/>
    <m/>
    <m/>
    <m/>
    <m/>
    <s v="Yes"/>
    <n v="189"/>
    <m/>
    <m/>
    <x v="1"/>
    <d v="2023-10-31T19:37:34"/>
    <s v="RT @RLPGBooks: PhD students: Help us make updates for the third edition of &quot;Destination Dissertation.&quot; Take our survey and get a $100 honor…"/>
    <n v="2"/>
    <n v="0"/>
    <n v="0"/>
    <n v="0"/>
    <m/>
    <x v="0"/>
    <m/>
    <m/>
    <s v="rlpgbooks"/>
    <m/>
    <m/>
    <s v="Twitter for iPhone"/>
    <s v="en"/>
    <s v="https://twitter.com/csgeaejmc/status/1719438481913421861"/>
    <x v="93"/>
    <d v="2023-10-31T00:00:00"/>
    <s v="19:37:34"/>
    <m/>
    <m/>
    <m/>
    <m/>
    <m/>
    <m/>
    <m/>
    <m/>
    <m/>
    <m/>
    <m/>
    <m/>
    <m/>
    <s v="https://pbs.twimg.com/profile_images/1631068834768515072/LdDIOISa_normal.jpg"/>
    <s v="1719438481913421861"/>
    <s v="1719438481913421861"/>
    <m/>
    <s v=""/>
    <s v=""/>
    <s v="1717989312514412961"/>
    <s v="1717989312514412961"/>
    <s v="1309530931796025348"/>
    <m/>
    <m/>
    <m/>
    <m/>
    <m/>
    <n v="1"/>
    <s v="4"/>
    <s v="4"/>
    <n v="1"/>
    <n v="4.3478260869565215"/>
    <n v="0"/>
    <n v="0"/>
    <n v="0"/>
    <n v="0"/>
    <n v="13"/>
    <n v="56.521739130434781"/>
    <n v="23"/>
  </r>
  <r>
    <s v="pengyilang"/>
    <s v="fangkc"/>
    <m/>
    <m/>
    <m/>
    <m/>
    <m/>
    <m/>
    <m/>
    <m/>
    <s v="No"/>
    <n v="192"/>
    <m/>
    <m/>
    <x v="3"/>
    <d v="2023-10-27T15:43:54"/>
    <s v="How do far-right media leverage social media logics and entertainment content to amplify their voices? We are excited to share our new research in New Media &amp;amp; Society (w/ @tianyangyt @fangkc ). https://t.co/TJWhm70KoK"/>
    <n v="39"/>
    <n v="141"/>
    <n v="1"/>
    <n v="6"/>
    <n v="22026"/>
    <x v="0"/>
    <s v="https://journals.sagepub.com/doi/10.1177/14614448231205893"/>
    <s v="sagepub.com"/>
    <s v="tianyangyt fangkc"/>
    <m/>
    <m/>
    <s v="Twitter Web App"/>
    <s v="en"/>
    <s v="https://twitter.com/pengyilang/status/1717930126736761107"/>
    <x v="94"/>
    <d v="2023-10-27T00:00:00"/>
    <s v="15:43:54"/>
    <b v="0"/>
    <m/>
    <m/>
    <m/>
    <m/>
    <m/>
    <m/>
    <m/>
    <m/>
    <m/>
    <m/>
    <m/>
    <m/>
    <s v="https://pbs.twimg.com/profile_images/1543843345998483456/C83GM58-_normal.jpg"/>
    <s v="1717930126736761107"/>
    <s v="1717930126736761107"/>
    <m/>
    <s v=""/>
    <s v=""/>
    <s v=""/>
    <s v="1717930126736761107"/>
    <n v="343340218"/>
    <m/>
    <m/>
    <m/>
    <m/>
    <m/>
    <n v="1"/>
    <s v="3"/>
    <s v="3"/>
    <m/>
    <m/>
    <m/>
    <m/>
    <m/>
    <m/>
    <m/>
    <m/>
    <m/>
  </r>
  <r>
    <s v="aejmcmmee"/>
    <s v="aejmcmmee"/>
    <m/>
    <m/>
    <m/>
    <m/>
    <m/>
    <m/>
    <m/>
    <m/>
    <s v="No"/>
    <n v="194"/>
    <m/>
    <m/>
    <x v="5"/>
    <d v="2023-10-31T16:59:17"/>
    <s v="The paper call for 2024 AEJMC Midwinter Conference is now out. The deadline to submit extended abstracts (only 600 to 800 words) is December 15, 2023._x000a__x000a_https://t.co/xwoktO7xIx"/>
    <n v="5"/>
    <n v="3"/>
    <n v="0"/>
    <n v="0"/>
    <n v="754"/>
    <x v="0"/>
    <s v="https://mmedivision.wordpress.com/2023/10/31/paper-call-aejmc-midwinter-conference/"/>
    <s v="wordpress.com"/>
    <m/>
    <m/>
    <m/>
    <s v="Twitter Web App"/>
    <s v="en"/>
    <s v="https://twitter.com/aejmcmmee/status/1719398651049726196"/>
    <x v="95"/>
    <d v="2023-10-31T00:00:00"/>
    <s v="16:59:17"/>
    <b v="0"/>
    <m/>
    <m/>
    <m/>
    <m/>
    <m/>
    <m/>
    <m/>
    <m/>
    <m/>
    <m/>
    <m/>
    <m/>
    <s v="https://pbs.twimg.com/profile_images/1466447527884963840/ZQq_A9e7_normal.jpg"/>
    <s v="1719398651049726196"/>
    <s v="1719398651049726196"/>
    <m/>
    <s v=""/>
    <s v=""/>
    <s v=""/>
    <s v="1719398651049726196"/>
    <n v="3307384609"/>
    <m/>
    <m/>
    <m/>
    <m/>
    <m/>
    <n v="1"/>
    <s v="10"/>
    <s v="10"/>
    <n v="0"/>
    <n v="0"/>
    <n v="0"/>
    <n v="0"/>
    <n v="0"/>
    <n v="0"/>
    <n v="16"/>
    <n v="61.53846153846154"/>
    <n v="26"/>
  </r>
  <r>
    <s v="aejmc"/>
    <s v="aejmcmmee"/>
    <m/>
    <m/>
    <m/>
    <m/>
    <m/>
    <m/>
    <m/>
    <m/>
    <s v="No"/>
    <n v="195"/>
    <m/>
    <m/>
    <x v="1"/>
    <d v="2023-10-31T19:35:08"/>
    <s v="RT @AEJMCMMEE: The paper call for 2024 AEJMC Midwinter Conference is now out. The deadline to submit extended abstracts (only 600 to 800 wo…"/>
    <n v="5"/>
    <n v="0"/>
    <n v="0"/>
    <n v="0"/>
    <m/>
    <x v="0"/>
    <m/>
    <m/>
    <s v="aejmcmmee"/>
    <m/>
    <m/>
    <s v="Twitter Web App"/>
    <s v="en"/>
    <s v="https://twitter.com/aejmc/status/1719437871679971702"/>
    <x v="96"/>
    <d v="2023-10-31T00:00:00"/>
    <s v="19:35:08"/>
    <b v="0"/>
    <m/>
    <m/>
    <m/>
    <m/>
    <m/>
    <m/>
    <m/>
    <m/>
    <m/>
    <m/>
    <m/>
    <m/>
    <s v="https://pbs.twimg.com/profile_images/1559584982439444482/vOVkFGh3_normal.png"/>
    <s v="1719437871679971702"/>
    <s v="1719437871679971702"/>
    <m/>
    <s v=""/>
    <s v=""/>
    <s v="1719398651049726196"/>
    <s v="1719398651049726196"/>
    <n v="8442592"/>
    <m/>
    <m/>
    <m/>
    <m/>
    <m/>
    <n v="1"/>
    <s v="1"/>
    <s v="10"/>
    <n v="0"/>
    <n v="0"/>
    <n v="0"/>
    <n v="0"/>
    <n v="0"/>
    <n v="0"/>
    <n v="13"/>
    <n v="54.166666666666664"/>
    <n v="24"/>
  </r>
  <r>
    <s v="uyendpp"/>
    <s v="aejmcmmee"/>
    <m/>
    <m/>
    <m/>
    <m/>
    <m/>
    <m/>
    <m/>
    <m/>
    <s v="No"/>
    <n v="196"/>
    <m/>
    <m/>
    <x v="1"/>
    <d v="2023-11-01T02:33:28"/>
    <s v="RT @AEJMCMMEE: The paper call for 2024 AEJMC Midwinter Conference is now out. The deadline to submit extended abstracts (only 600 to 800 wo…"/>
    <n v="5"/>
    <n v="0"/>
    <n v="0"/>
    <n v="0"/>
    <m/>
    <x v="0"/>
    <m/>
    <m/>
    <s v="aejmcmmee"/>
    <m/>
    <m/>
    <s v="Twitter for iPhone"/>
    <s v="en"/>
    <s v="https://twitter.com/uyendpp/status/1719543148467130375"/>
    <x v="97"/>
    <d v="2023-11-01T00:00:00"/>
    <s v="02:33:28"/>
    <b v="0"/>
    <m/>
    <m/>
    <m/>
    <m/>
    <m/>
    <m/>
    <m/>
    <m/>
    <m/>
    <m/>
    <m/>
    <m/>
    <s v="https://pbs.twimg.com/profile_images/1584045967027879937/izp8q46N_normal.jpg"/>
    <s v="1719543148467130375"/>
    <s v="1719543148467130375"/>
    <m/>
    <s v=""/>
    <s v=""/>
    <s v="1719398651049726196"/>
    <s v="1719398651049726196"/>
    <s v="1016298298821390336"/>
    <m/>
    <m/>
    <m/>
    <m/>
    <m/>
    <n v="1"/>
    <s v="10"/>
    <s v="10"/>
    <n v="0"/>
    <n v="0"/>
    <n v="0"/>
    <n v="0"/>
    <n v="0"/>
    <n v="0"/>
    <n v="13"/>
    <n v="54.166666666666664"/>
    <n v="24"/>
  </r>
  <r>
    <s v="enwillis"/>
    <s v="manshipschool"/>
    <m/>
    <m/>
    <m/>
    <m/>
    <m/>
    <m/>
    <m/>
    <m/>
    <s v="No"/>
    <n v="197"/>
    <m/>
    <m/>
    <x v="2"/>
    <d v="2023-11-02T00:17:06"/>
    <s v="RT @willthewordguy: Assistant Professor in Digital Advertising - HigherEdJobs — new posting from us ⁦@ManshipSchool⁩ — not on search commit…"/>
    <n v="5"/>
    <n v="0"/>
    <n v="0"/>
    <n v="0"/>
    <m/>
    <x v="0"/>
    <m/>
    <m/>
    <s v="willthewordguy manshipschool"/>
    <m/>
    <m/>
    <s v="Twitter for iPhone"/>
    <s v="en"/>
    <s v="https://twitter.com/enwillis/status/1719871217073799451"/>
    <x v="98"/>
    <d v="2023-11-02T00:00:00"/>
    <s v="00:17:06"/>
    <m/>
    <m/>
    <m/>
    <m/>
    <m/>
    <m/>
    <m/>
    <m/>
    <m/>
    <m/>
    <m/>
    <m/>
    <m/>
    <s v="https://pbs.twimg.com/profile_images/689449033899704320/cLJDzNha_normal.jpg"/>
    <s v="1719871217073799451"/>
    <s v="1719871217073799451"/>
    <m/>
    <s v=""/>
    <s v=""/>
    <s v="1719854110231371957"/>
    <s v="1719854110231371957"/>
    <n v="21897949"/>
    <m/>
    <m/>
    <m/>
    <m/>
    <m/>
    <n v="1"/>
    <s v="2"/>
    <s v="2"/>
    <m/>
    <m/>
    <m/>
    <m/>
    <m/>
    <m/>
    <m/>
    <m/>
    <m/>
  </r>
  <r>
    <s v="columbiaup"/>
    <s v="columbiaup"/>
    <m/>
    <m/>
    <m/>
    <m/>
    <m/>
    <m/>
    <m/>
    <m/>
    <s v="No"/>
    <n v="199"/>
    <m/>
    <m/>
    <x v="5"/>
    <d v="2023-10-29T17:48:01"/>
    <s v="Now available! &quot;The long history of free enterprise in the United States cannot be understood without reckoning with the history of religion.&quot;—Kathryn Lofton https://t.co/hD7uivmLLY https://t.co/ZUyotCCscr"/>
    <n v="6"/>
    <n v="25"/>
    <n v="0"/>
    <n v="0"/>
    <n v="2088"/>
    <x v="0"/>
    <s v="https://buff.ly/3Q29Dxl"/>
    <s v="buff.ly"/>
    <m/>
    <s v="https://t.co/ZUyotCCscr https://pbs.twimg.com/media/F9n_7x2W8AAFr58.jpg"/>
    <s v="photo"/>
    <s v="Buffer"/>
    <s v="en"/>
    <s v="https://twitter.com/columbiaup/status/1718686137701585028"/>
    <x v="99"/>
    <d v="2023-10-29T00:00:00"/>
    <s v="17:48:01"/>
    <b v="0"/>
    <m/>
    <m/>
    <m/>
    <m/>
    <m/>
    <m/>
    <m/>
    <s v="3_1718686135277252608"/>
    <m/>
    <m/>
    <m/>
    <m/>
    <s v="https://pbs.twimg.com/media/F9n_7x2W8AAFr58.jpg"/>
    <s v="1718686137701585028"/>
    <s v="1718686137701585028"/>
    <m/>
    <s v=""/>
    <s v=""/>
    <s v=""/>
    <s v="1718686137701585028"/>
    <n v="19692478"/>
    <m/>
    <m/>
    <m/>
    <m/>
    <m/>
    <n v="1"/>
    <s v="15"/>
    <s v="15"/>
    <n v="2"/>
    <n v="8.3333333333333339"/>
    <n v="0"/>
    <n v="0"/>
    <n v="0"/>
    <n v="0"/>
    <n v="12"/>
    <n v="50"/>
    <n v="24"/>
  </r>
  <r>
    <s v="keontecoleman"/>
    <s v="decinakayley"/>
    <m/>
    <m/>
    <m/>
    <m/>
    <m/>
    <m/>
    <m/>
    <m/>
    <s v="No"/>
    <n v="200"/>
    <m/>
    <m/>
    <x v="3"/>
    <d v="2023-10-31T14:25:40"/>
    <s v="@AEJMC announced the 2023 @newsengagement award winners! 2 of the 5 winners were in my_x000a_@NewhouseSU @NewhouseBDJ_x000a_@NCCNewsOnline newscast class. @mwmcclos &amp;amp; @DecinaKayley won by submitted day of turns to the competition! Congratulations 🎉 🎉 🎉  https://t.co/nOOlkjhL4J"/>
    <n v="1"/>
    <n v="2"/>
    <n v="0"/>
    <n v="2"/>
    <n v="1383"/>
    <x v="0"/>
    <s v="http://www.aejmc.com/home/wp-content/uploads/2023/10/NED-Video-Competition-Winners-2023.pdf"/>
    <s v="aejmc.com"/>
    <s v="aejmc newsengagement newhousesu newhousebdj nccnewsonline mwmcclos decinakayley"/>
    <m/>
    <m/>
    <s v="Twitter for Android"/>
    <s v="en"/>
    <s v="https://twitter.com/keontecoleman/status/1719359990362681403"/>
    <x v="100"/>
    <d v="2023-10-31T00:00:00"/>
    <s v="14:25:40"/>
    <b v="0"/>
    <m/>
    <m/>
    <m/>
    <m/>
    <m/>
    <m/>
    <m/>
    <m/>
    <m/>
    <m/>
    <m/>
    <m/>
    <s v="https://pbs.twimg.com/profile_images/1554277220742463489/Y-mHzutC_normal.jpg"/>
    <s v="1719359990362681403"/>
    <s v="1719359990362681403"/>
    <s v="8442592"/>
    <s v=""/>
    <s v=""/>
    <s v=""/>
    <s v="1719359990362681403"/>
    <n v="778037328"/>
    <m/>
    <m/>
    <m/>
    <m/>
    <m/>
    <n v="1"/>
    <s v="1"/>
    <s v="1"/>
    <m/>
    <m/>
    <m/>
    <m/>
    <m/>
    <m/>
    <m/>
    <m/>
    <m/>
  </r>
  <r>
    <s v="jmcquarterly"/>
    <s v="jmcquarterly"/>
    <m/>
    <m/>
    <m/>
    <m/>
    <m/>
    <m/>
    <m/>
    <m/>
    <s v="No"/>
    <n v="211"/>
    <m/>
    <m/>
    <x v="5"/>
    <d v="2023-11-01T16:04:56"/>
    <s v="Hot off the presses and topical:_x000a__x000a_&quot;Empathy With #Muslim Victims of Discrimination&quot;_x000a__x000a_Evidence indicates that personalization and emotionalization  increase empathy with Muslim victims among those with high Muslim prejudice._x000a__x000a_https://t.co/XRvuMPmzj0"/>
    <n v="4"/>
    <n v="7"/>
    <n v="0"/>
    <n v="1"/>
    <n v="1602"/>
    <x v="19"/>
    <s v="https://journals.sagepub.com/doi/abs/10.1177/10776990231202702"/>
    <s v="sagepub.com"/>
    <m/>
    <m/>
    <m/>
    <s v="Twitter for Android"/>
    <s v="en"/>
    <s v="https://twitter.com/jmcquarterly/status/1719747359171625099"/>
    <x v="101"/>
    <d v="2023-11-01T00:00:00"/>
    <s v="16:04:56"/>
    <b v="0"/>
    <m/>
    <m/>
    <m/>
    <m/>
    <m/>
    <m/>
    <m/>
    <m/>
    <m/>
    <m/>
    <m/>
    <m/>
    <s v="https://pbs.twimg.com/profile_images/1297970849820147712/3xME2yZ6_normal.jpg"/>
    <s v="1719747359171625099"/>
    <s v="1719747359171625099"/>
    <m/>
    <s v=""/>
    <s v=""/>
    <s v=""/>
    <s v="1719747359171625099"/>
    <s v="1297967885072072711"/>
    <m/>
    <m/>
    <m/>
    <m/>
    <m/>
    <n v="1"/>
    <s v="3"/>
    <s v="3"/>
    <n v="3"/>
    <n v="10.344827586206897"/>
    <n v="2"/>
    <n v="6.8965517241379306"/>
    <n v="0"/>
    <n v="0"/>
    <n v="14"/>
    <n v="48.275862068965516"/>
    <n v="29"/>
  </r>
  <r>
    <s v="aejmc"/>
    <s v="jmcquarterly"/>
    <m/>
    <m/>
    <m/>
    <m/>
    <m/>
    <m/>
    <m/>
    <m/>
    <s v="Yes"/>
    <n v="225"/>
    <m/>
    <m/>
    <x v="1"/>
    <d v="2023-11-03T13:03:24"/>
    <s v="RT @jmcquarterly: Congratulations on submitting your work to #ICA24! _x000a_Looking for a home for your paper? We'd be happy to take a look! #Pee…"/>
    <n v="4"/>
    <n v="0"/>
    <n v="0"/>
    <n v="0"/>
    <m/>
    <x v="1"/>
    <m/>
    <m/>
    <s v="jmcquarterly"/>
    <m/>
    <m/>
    <s v="Twitter Web App"/>
    <s v="en"/>
    <s v="https://twitter.com/aejmc/status/1720426451046891612"/>
    <x v="102"/>
    <d v="2023-11-03T00:00:00"/>
    <s v="13:03:24"/>
    <m/>
    <m/>
    <m/>
    <m/>
    <m/>
    <m/>
    <m/>
    <m/>
    <m/>
    <m/>
    <m/>
    <m/>
    <m/>
    <s v="https://pbs.twimg.com/profile_images/1559584982439444482/vOVkFGh3_normal.png"/>
    <s v="1720426451046891612"/>
    <s v="1720426451046891612"/>
    <m/>
    <s v=""/>
    <s v=""/>
    <s v="1720351664719151216"/>
    <s v="1720351664719151216"/>
    <n v="8442592"/>
    <m/>
    <m/>
    <m/>
    <m/>
    <m/>
    <n v="7"/>
    <s v="1"/>
    <s v="3"/>
    <n v="3"/>
    <n v="12.5"/>
    <n v="0"/>
    <n v="0"/>
    <n v="0"/>
    <n v="0"/>
    <n v="9"/>
    <n v="37.5"/>
    <n v="24"/>
  </r>
  <r>
    <s v="aejmc"/>
    <s v="jmcquarterly"/>
    <m/>
    <m/>
    <m/>
    <m/>
    <m/>
    <m/>
    <m/>
    <m/>
    <s v="Yes"/>
    <n v="226"/>
    <m/>
    <m/>
    <x v="1"/>
    <d v="2023-11-01T16:15:29"/>
    <s v="RT @jmcquarterly: Hot off the presses and topical:_x000a__x000a_&quot;Empathy With #Muslim Victims of Discrimination&quot;_x000a__x000a_Evidence indicates that personalizati…"/>
    <n v="4"/>
    <n v="0"/>
    <n v="0"/>
    <n v="0"/>
    <m/>
    <x v="19"/>
    <m/>
    <m/>
    <s v="jmcquarterly"/>
    <m/>
    <m/>
    <s v="Twitter Web App"/>
    <s v="en"/>
    <s v="https://twitter.com/aejmc/status/1719750016036634739"/>
    <x v="103"/>
    <d v="2023-11-01T00:00:00"/>
    <s v="16:15:29"/>
    <b v="0"/>
    <m/>
    <m/>
    <m/>
    <m/>
    <m/>
    <m/>
    <m/>
    <m/>
    <m/>
    <m/>
    <m/>
    <m/>
    <s v="https://pbs.twimg.com/profile_images/1559584982439444482/vOVkFGh3_normal.png"/>
    <s v="1719750016036634739"/>
    <s v="1719750016036634739"/>
    <m/>
    <s v=""/>
    <s v=""/>
    <s v="1719747359171625099"/>
    <s v="1719747359171625099"/>
    <n v="8442592"/>
    <m/>
    <m/>
    <m/>
    <m/>
    <m/>
    <n v="7"/>
    <s v="1"/>
    <s v="3"/>
    <n v="2"/>
    <n v="11.111111111111111"/>
    <n v="1"/>
    <n v="5.5555555555555554"/>
    <n v="0"/>
    <n v="0"/>
    <n v="8"/>
    <n v="44.444444444444443"/>
    <n v="18"/>
  </r>
  <r>
    <s v="aejmc_polcomm"/>
    <s v="jmcquarterly"/>
    <m/>
    <m/>
    <m/>
    <m/>
    <m/>
    <m/>
    <m/>
    <m/>
    <s v="Yes"/>
    <n v="227"/>
    <m/>
    <m/>
    <x v="1"/>
    <d v="2023-11-03T14:10:14"/>
    <s v="RT @jmcquarterly: Congratulations on submitting your work to #ICA24! _x000a_Looking for a home for your paper? We'd be happy to take a look! #Pee…"/>
    <n v="4"/>
    <n v="0"/>
    <n v="0"/>
    <n v="0"/>
    <m/>
    <x v="1"/>
    <m/>
    <m/>
    <s v="jmcquarterly"/>
    <m/>
    <m/>
    <s v="Twitter Web App"/>
    <s v="en"/>
    <s v="https://twitter.com/aejmc_polcomm/status/1720443268767342998"/>
    <x v="104"/>
    <d v="2023-11-03T00:00:00"/>
    <s v="14:10:14"/>
    <m/>
    <m/>
    <m/>
    <m/>
    <m/>
    <m/>
    <m/>
    <m/>
    <m/>
    <m/>
    <m/>
    <m/>
    <m/>
    <s v="https://pbs.twimg.com/profile_images/1161687454635700227/2U3mrkeY_normal.png"/>
    <s v="1720443268767342998"/>
    <s v="1720443268767342998"/>
    <m/>
    <s v=""/>
    <s v=""/>
    <s v="1720351664719151216"/>
    <s v="1720351664719151216"/>
    <n v="382407937"/>
    <m/>
    <m/>
    <m/>
    <m/>
    <m/>
    <n v="1"/>
    <s v="6"/>
    <s v="3"/>
    <n v="3"/>
    <n v="12.5"/>
    <n v="0"/>
    <n v="0"/>
    <n v="0"/>
    <n v="0"/>
    <n v="9"/>
    <n v="37.5"/>
    <n v="24"/>
  </r>
  <r>
    <s v="newhousebdj"/>
    <s v="newhousesu"/>
    <m/>
    <m/>
    <m/>
    <m/>
    <m/>
    <m/>
    <m/>
    <m/>
    <s v="No"/>
    <n v="231"/>
    <m/>
    <m/>
    <x v="2"/>
    <d v="2023-10-31T14:31:04"/>
    <s v="RT @KeonteColeman: @AEJMC announced the 2023 @newsengagement award winners! 2 of the 5 winners were in my_x000a_@NewhouseSU @NewhouseBDJ_x000a_@NCCNews…"/>
    <n v="1"/>
    <n v="0"/>
    <n v="0"/>
    <n v="0"/>
    <m/>
    <x v="0"/>
    <m/>
    <m/>
    <s v="keontecoleman aejmc newsengagement newhousesu newhousebdj"/>
    <m/>
    <m/>
    <s v="Twitter for iPhone"/>
    <s v="en"/>
    <s v="https://twitter.com/newhousebdj/status/1719361350286069994"/>
    <x v="105"/>
    <d v="2023-10-31T00:00:00"/>
    <s v="14:31:04"/>
    <m/>
    <m/>
    <m/>
    <m/>
    <m/>
    <m/>
    <m/>
    <m/>
    <m/>
    <m/>
    <m/>
    <m/>
    <m/>
    <s v="https://pbs.twimg.com/profile_images/1346224080589115394/tMwjkFTB_normal.jpg"/>
    <s v="1719361350286069994"/>
    <s v="1719361350286069994"/>
    <m/>
    <s v=""/>
    <s v=""/>
    <s v="1719359990362681403"/>
    <s v="1719359990362681403"/>
    <n v="42631107"/>
    <m/>
    <m/>
    <m/>
    <m/>
    <m/>
    <n v="1"/>
    <s v="1"/>
    <s v="1"/>
    <m/>
    <m/>
    <m/>
    <m/>
    <m/>
    <m/>
    <m/>
    <m/>
    <m/>
  </r>
  <r>
    <s v="aejmc"/>
    <s v="newsengagement"/>
    <m/>
    <m/>
    <m/>
    <m/>
    <m/>
    <m/>
    <m/>
    <m/>
    <s v="No"/>
    <n v="232"/>
    <m/>
    <m/>
    <x v="0"/>
    <d v="2023-10-31T18:18:49"/>
    <s v="Congrats to the 5 @newsengagement winners &amp;amp; thank you to all who participated in the contest! Amazing work!"/>
    <n v="0"/>
    <n v="1"/>
    <n v="0"/>
    <n v="0"/>
    <n v="591"/>
    <x v="0"/>
    <m/>
    <m/>
    <s v="newsengagement"/>
    <m/>
    <m/>
    <s v="Twitter Web App"/>
    <s v="en"/>
    <s v="https://twitter.com/aejmc/status/1719418665555153211"/>
    <x v="106"/>
    <d v="2023-10-31T00:00:00"/>
    <s v="18:18:49"/>
    <m/>
    <m/>
    <m/>
    <m/>
    <m/>
    <m/>
    <m/>
    <m/>
    <m/>
    <m/>
    <m/>
    <m/>
    <m/>
    <s v="https://pbs.twimg.com/profile_images/1559584982439444482/vOVkFGh3_normal.png"/>
    <s v="1719418665555153211"/>
    <s v="1719418665555153211"/>
    <m/>
    <s v=""/>
    <s v="1719359990362681403"/>
    <s v=""/>
    <s v="1719359990362681403"/>
    <n v="8442592"/>
    <m/>
    <m/>
    <m/>
    <m/>
    <m/>
    <n v="1"/>
    <s v="1"/>
    <s v="1"/>
    <n v="4"/>
    <n v="22.222222222222221"/>
    <n v="0"/>
    <n v="0"/>
    <n v="0"/>
    <n v="0"/>
    <n v="4"/>
    <n v="22.222222222222221"/>
    <n v="18"/>
  </r>
  <r>
    <s v="natcomm"/>
    <s v="michael_bugeja"/>
    <m/>
    <m/>
    <m/>
    <m/>
    <m/>
    <m/>
    <m/>
    <m/>
    <s v="Yes"/>
    <n v="243"/>
    <m/>
    <m/>
    <x v="1"/>
    <d v="2023-10-31T15:54:55"/>
    <s v="RT @Michael_Bugeja: Wed. Nov. 1, 2-3 p.m. (central) I will give a presentation about the P&amp;amp;T process with emphasis on gratitude rather than…"/>
    <n v="1"/>
    <n v="0"/>
    <n v="0"/>
    <n v="0"/>
    <m/>
    <x v="0"/>
    <m/>
    <m/>
    <s v="michael_bugeja"/>
    <m/>
    <m/>
    <s v="Meltwater Social"/>
    <s v="en"/>
    <s v="https://twitter.com/natcomm/status/1719382452064391275"/>
    <x v="107"/>
    <d v="2023-10-31T00:00:00"/>
    <s v="15:54:55"/>
    <m/>
    <m/>
    <m/>
    <m/>
    <m/>
    <m/>
    <m/>
    <m/>
    <m/>
    <m/>
    <m/>
    <m/>
    <m/>
    <s v="https://pbs.twimg.com/profile_images/1110927896435150849/M16LTNRp_normal.png"/>
    <s v="1719382452064391275"/>
    <s v="1719382452064391275"/>
    <m/>
    <s v=""/>
    <s v=""/>
    <s v="1719343210949124292"/>
    <s v="1719343210949124292"/>
    <n v="17880989"/>
    <m/>
    <m/>
    <m/>
    <m/>
    <m/>
    <n v="1"/>
    <s v="9"/>
    <s v="9"/>
    <n v="1"/>
    <n v="3.7037037037037037"/>
    <n v="0"/>
    <n v="0"/>
    <n v="0"/>
    <n v="0"/>
    <n v="8"/>
    <n v="29.62962962962963"/>
    <n v="27"/>
  </r>
  <r>
    <s v="ittefaqm"/>
    <s v="stevedepo"/>
    <m/>
    <m/>
    <m/>
    <m/>
    <m/>
    <m/>
    <m/>
    <m/>
    <s v="No"/>
    <n v="244"/>
    <m/>
    <m/>
    <x v="1"/>
    <d v="2023-11-04T23:09:43"/>
    <s v="RT @stevedepo: Join IECA in 2024! Benefits include on-line access to ENVIRONMENTAL COMMUNICATION, discounts for 2025 COCE and on-line cours…"/>
    <n v="4"/>
    <n v="0"/>
    <n v="0"/>
    <n v="0"/>
    <m/>
    <x v="0"/>
    <m/>
    <m/>
    <s v="stevedepo"/>
    <m/>
    <m/>
    <s v="Twitter for iPhone"/>
    <s v="en"/>
    <s v="https://twitter.com/ittefaqm/status/1720941421941694564"/>
    <x v="108"/>
    <d v="2023-11-04T00:00:00"/>
    <s v="23:09:43"/>
    <m/>
    <m/>
    <m/>
    <m/>
    <m/>
    <m/>
    <m/>
    <m/>
    <m/>
    <m/>
    <m/>
    <m/>
    <m/>
    <s v="https://pbs.twimg.com/profile_images/1549199628058386433/iqbxJw_t_normal.jpg"/>
    <s v="1720941421941694564"/>
    <s v="1720941421941694564"/>
    <m/>
    <s v=""/>
    <s v=""/>
    <s v="1720917387485020564"/>
    <s v="1720917387485020564"/>
    <n v="2832986725"/>
    <m/>
    <m/>
    <m/>
    <m/>
    <m/>
    <n v="1"/>
    <s v="7"/>
    <s v="7"/>
    <n v="1"/>
    <n v="4.5454545454545459"/>
    <n v="0"/>
    <n v="0"/>
    <n v="0"/>
    <n v="0"/>
    <n v="14"/>
    <n v="63.636363636363633"/>
    <n v="22"/>
  </r>
  <r>
    <s v="jeremyhl"/>
    <s v="snapchat"/>
    <m/>
    <m/>
    <m/>
    <m/>
    <m/>
    <m/>
    <m/>
    <m/>
    <s v="No"/>
    <n v="245"/>
    <m/>
    <m/>
    <x v="0"/>
    <d v="2023-10-29T20:56:21"/>
    <s v="This is a great @Snapchat way to “see” the world. #smc2024 #smprofs #prprofs @aejmc"/>
    <n v="0"/>
    <n v="0"/>
    <n v="0"/>
    <n v="0"/>
    <n v="320"/>
    <x v="23"/>
    <m/>
    <m/>
    <s v="snapchat aejmc"/>
    <m/>
    <m/>
    <s v="Twitter for iPhone"/>
    <s v="en"/>
    <s v="https://twitter.com/jeremyhl/status/1718733533605196087"/>
    <x v="109"/>
    <d v="2023-10-29T00:00:00"/>
    <s v="20:56:21"/>
    <m/>
    <m/>
    <m/>
    <m/>
    <m/>
    <m/>
    <m/>
    <m/>
    <m/>
    <m/>
    <m/>
    <m/>
    <m/>
    <s v="https://pbs.twimg.com/profile_images/912667889395798022/pMoB2qc8_normal.jpg"/>
    <s v="1718733533605196087"/>
    <s v="1718733533605196087"/>
    <m/>
    <s v=""/>
    <s v="1718280425640951818"/>
    <s v=""/>
    <s v="1718280425640951818"/>
    <n v="12006842"/>
    <m/>
    <m/>
    <m/>
    <m/>
    <m/>
    <n v="1"/>
    <s v="5"/>
    <s v="5"/>
    <m/>
    <m/>
    <m/>
    <m/>
    <m/>
    <m/>
    <m/>
    <m/>
    <m/>
  </r>
  <r>
    <s v="drsrivi"/>
    <s v="manshipschool"/>
    <m/>
    <m/>
    <m/>
    <m/>
    <m/>
    <m/>
    <m/>
    <m/>
    <s v="No"/>
    <n v="247"/>
    <m/>
    <m/>
    <x v="2"/>
    <d v="2023-11-02T01:01:08"/>
    <s v="RT @willthewordguy: Assistant Professor in Digital Advertising - HigherEdJobs — new posting from us ⁦@ManshipSchool⁩ — not on search commit…"/>
    <n v="5"/>
    <n v="0"/>
    <n v="0"/>
    <n v="0"/>
    <m/>
    <x v="0"/>
    <m/>
    <m/>
    <s v="willthewordguy manshipschool"/>
    <m/>
    <m/>
    <s v="Twitter Web App"/>
    <s v="en"/>
    <s v="https://twitter.com/drsrivi/status/1719882297246167082"/>
    <x v="110"/>
    <d v="2023-11-02T00:00:00"/>
    <s v="01:01:08"/>
    <m/>
    <m/>
    <m/>
    <m/>
    <m/>
    <m/>
    <m/>
    <m/>
    <m/>
    <m/>
    <m/>
    <m/>
    <m/>
    <s v="https://pbs.twimg.com/profile_images/1708069099107139584/btI-fYmY_normal.jpg"/>
    <s v="1719882297246167082"/>
    <s v="1719882297246167082"/>
    <m/>
    <s v=""/>
    <s v=""/>
    <s v="1719854110231371957"/>
    <s v="1719854110231371957"/>
    <n v="1485229458"/>
    <m/>
    <m/>
    <m/>
    <m/>
    <m/>
    <n v="1"/>
    <s v="2"/>
    <s v="2"/>
    <m/>
    <m/>
    <m/>
    <m/>
    <m/>
    <m/>
    <m/>
    <m/>
    <m/>
  </r>
  <r>
    <s v="willthewordguy"/>
    <s v="aejmc"/>
    <m/>
    <m/>
    <m/>
    <m/>
    <m/>
    <m/>
    <m/>
    <m/>
    <s v="No"/>
    <n v="249"/>
    <m/>
    <m/>
    <x v="3"/>
    <d v="2023-11-01T03:08:53"/>
    <s v="Marquette University | Assistant/Associate Professor in Health Communication ⁦@AEJMC⁩ #jobalert  https://t.co/Cp5gLn8QFa"/>
    <n v="2"/>
    <n v="2"/>
    <n v="0"/>
    <n v="0"/>
    <n v="291"/>
    <x v="7"/>
    <s v="https://employment.marquette.edu/postings/20457"/>
    <s v="marquette.edu"/>
    <s v="aejmc"/>
    <m/>
    <m/>
    <s v="Twitter for iPhone"/>
    <s v="en"/>
    <s v="https://twitter.com/willthewordguy/status/1719552058796241046"/>
    <x v="111"/>
    <d v="2023-11-01T00:00:00"/>
    <s v="03:08:53"/>
    <b v="0"/>
    <m/>
    <m/>
    <m/>
    <m/>
    <m/>
    <m/>
    <m/>
    <m/>
    <m/>
    <m/>
    <m/>
    <m/>
    <s v="https://pbs.twimg.com/profile_images/1331376273755664384/mF7tQg3B_normal.jpg"/>
    <s v="1719552058796241046"/>
    <s v="1719552058796241046"/>
    <m/>
    <s v=""/>
    <s v=""/>
    <s v=""/>
    <s v="1719552058796241046"/>
    <n v="414179273"/>
    <m/>
    <m/>
    <m/>
    <m/>
    <m/>
    <n v="8"/>
    <s v="2"/>
    <s v="1"/>
    <n v="0"/>
    <n v="0"/>
    <n v="0"/>
    <n v="0"/>
    <n v="0"/>
    <n v="0"/>
    <n v="9"/>
    <n v="90"/>
    <n v="10"/>
  </r>
  <r>
    <s v="willthewordguy"/>
    <s v="aejmc"/>
    <m/>
    <m/>
    <m/>
    <m/>
    <m/>
    <m/>
    <m/>
    <m/>
    <s v="No"/>
    <n v="250"/>
    <m/>
    <m/>
    <x v="3"/>
    <d v="2023-11-03T16:16:31"/>
    <s v="Assistant Professor of Communication - HigherEdJobs ⁦@AEJMC⁩ #jobalerts  https://t.co/zZoCxbW5b6"/>
    <n v="1"/>
    <n v="3"/>
    <n v="0"/>
    <n v="0"/>
    <n v="295"/>
    <x v="5"/>
    <s v="https://www.higheredjobs.com/faculty/details.cfm?JobCode=178596886"/>
    <s v="higheredjobs.com"/>
    <s v="aejmc"/>
    <m/>
    <m/>
    <s v="Twitter for iPhone"/>
    <s v="en"/>
    <s v="https://twitter.com/willthewordguy/status/1720475048329228593"/>
    <x v="112"/>
    <d v="2023-11-03T00:00:00"/>
    <s v="16:16:31"/>
    <b v="0"/>
    <m/>
    <m/>
    <m/>
    <m/>
    <m/>
    <m/>
    <m/>
    <m/>
    <m/>
    <m/>
    <m/>
    <m/>
    <s v="https://pbs.twimg.com/profile_images/1331376273755664384/mF7tQg3B_normal.jpg"/>
    <s v="1720475048329228593"/>
    <s v="1720475048329228593"/>
    <m/>
    <s v=""/>
    <s v=""/>
    <s v=""/>
    <s v="1720475048329228593"/>
    <n v="414179273"/>
    <m/>
    <m/>
    <m/>
    <m/>
    <m/>
    <n v="8"/>
    <s v="2"/>
    <s v="1"/>
    <n v="0"/>
    <n v="0"/>
    <n v="0"/>
    <n v="0"/>
    <n v="0"/>
    <n v="0"/>
    <n v="6"/>
    <n v="85.714285714285708"/>
    <n v="7"/>
  </r>
  <r>
    <s v="willthewordguy"/>
    <s v="aejmc"/>
    <m/>
    <m/>
    <m/>
    <m/>
    <m/>
    <m/>
    <m/>
    <m/>
    <s v="No"/>
    <n v="252"/>
    <m/>
    <m/>
    <x v="3"/>
    <d v="2023-11-03T16:17:37"/>
    <s v="Assistant Professor, Communications - HigherEdJobs ⁦@AEJMC⁩ #jobalerts  https://t.co/dSa3tE4vna"/>
    <n v="0"/>
    <n v="1"/>
    <n v="0"/>
    <n v="0"/>
    <n v="119"/>
    <x v="5"/>
    <s v="https://www.higheredjobs.com/faculty/details.cfm?JobCode=178596185"/>
    <s v="higheredjobs.com"/>
    <s v="aejmc"/>
    <m/>
    <m/>
    <s v="Twitter for iPhone"/>
    <s v="en"/>
    <s v="https://twitter.com/willthewordguy/status/1720475325337854362"/>
    <x v="113"/>
    <d v="2023-11-03T00:00:00"/>
    <s v="16:17:37"/>
    <b v="0"/>
    <m/>
    <m/>
    <m/>
    <m/>
    <m/>
    <m/>
    <m/>
    <m/>
    <m/>
    <m/>
    <m/>
    <m/>
    <s v="https://pbs.twimg.com/profile_images/1331376273755664384/mF7tQg3B_normal.jpg"/>
    <s v="1720475325337854362"/>
    <s v="1720475325337854362"/>
    <m/>
    <s v=""/>
    <s v=""/>
    <s v=""/>
    <s v="1720475325337854362"/>
    <n v="414179273"/>
    <m/>
    <m/>
    <m/>
    <m/>
    <m/>
    <n v="8"/>
    <s v="2"/>
    <s v="1"/>
    <n v="0"/>
    <n v="0"/>
    <n v="0"/>
    <n v="0"/>
    <n v="0"/>
    <n v="0"/>
    <n v="6"/>
    <n v="100"/>
    <n v="6"/>
  </r>
  <r>
    <s v="willthewordguy"/>
    <s v="aejmc"/>
    <m/>
    <m/>
    <m/>
    <m/>
    <m/>
    <m/>
    <m/>
    <m/>
    <s v="No"/>
    <n v="253"/>
    <m/>
    <m/>
    <x v="3"/>
    <d v="2023-11-03T16:17:09"/>
    <s v="Regular Faculty - Communication - HigherEdJobs ⁦@AEJMC⁩ #jobalerts https://t.co/KZFycFxhYy"/>
    <n v="0"/>
    <n v="1"/>
    <n v="0"/>
    <n v="0"/>
    <n v="98"/>
    <x v="5"/>
    <s v="https://www.higheredjobs.com/faculty/details.cfm?JobCode=178596364"/>
    <s v="higheredjobs.com"/>
    <s v="aejmc"/>
    <m/>
    <m/>
    <s v="Twitter for iPhone"/>
    <s v="en"/>
    <s v="https://twitter.com/willthewordguy/status/1720475208295887090"/>
    <x v="114"/>
    <d v="2023-11-03T00:00:00"/>
    <s v="16:17:09"/>
    <b v="0"/>
    <m/>
    <m/>
    <m/>
    <m/>
    <m/>
    <m/>
    <m/>
    <m/>
    <m/>
    <m/>
    <m/>
    <m/>
    <s v="https://pbs.twimg.com/profile_images/1331376273755664384/mF7tQg3B_normal.jpg"/>
    <s v="1720475208295887090"/>
    <s v="1720475208295887090"/>
    <m/>
    <s v=""/>
    <s v=""/>
    <s v=""/>
    <s v="1720475208295887090"/>
    <n v="414179273"/>
    <m/>
    <m/>
    <m/>
    <m/>
    <m/>
    <n v="8"/>
    <s v="2"/>
    <s v="1"/>
    <n v="0"/>
    <n v="0"/>
    <n v="0"/>
    <n v="0"/>
    <n v="0"/>
    <n v="0"/>
    <n v="6"/>
    <n v="100"/>
    <n v="6"/>
  </r>
  <r>
    <s v="deviiette"/>
    <s v="deviiette"/>
    <m/>
    <m/>
    <m/>
    <m/>
    <m/>
    <m/>
    <m/>
    <m/>
    <s v="No"/>
    <n v="258"/>
    <m/>
    <m/>
    <x v="5"/>
    <d v="2023-10-28T14:55:52"/>
    <s v="Israel’s propaganda campaign failed to consider Snapchat Maps. _x000a__x000a_ https://t.co/GHypRFoqcX"/>
    <n v="57571"/>
    <n v="134613"/>
    <n v="4"/>
    <n v="2433"/>
    <n v="20869064"/>
    <x v="0"/>
    <m/>
    <m/>
    <m/>
    <s v="https://t.co/GHypRFoqcX https://pbs.twimg.com/amplify_video_thumb/1717288412196085760/img/DoDTnfixG4fizR8t.jpg"/>
    <s v="video"/>
    <s v="Twitter for iPhone"/>
    <s v="en"/>
    <s v="https://twitter.com/deviiette/status/1718280425640951818"/>
    <x v="115"/>
    <d v="2023-10-28T00:00:00"/>
    <s v="14:55:52"/>
    <b v="0"/>
    <m/>
    <m/>
    <m/>
    <m/>
    <m/>
    <m/>
    <m/>
    <s v="13_1717288412196085760"/>
    <n v="22173"/>
    <m/>
    <m/>
    <m/>
    <s v="https://pbs.twimg.com/amplify_video_thumb/1717288412196085760/img/DoDTnfixG4fizR8t.jpg"/>
    <s v="1718280425640951818"/>
    <s v="1718280425640951818"/>
    <m/>
    <s v=""/>
    <s v=""/>
    <s v=""/>
    <s v="1718280425640951818"/>
    <n v="147931182"/>
    <m/>
    <m/>
    <m/>
    <m/>
    <m/>
    <n v="1"/>
    <s v="5"/>
    <s v="5"/>
    <n v="0"/>
    <n v="0"/>
    <n v="2"/>
    <n v="22.222222222222221"/>
    <n v="0"/>
    <n v="0"/>
    <n v="5"/>
    <n v="55.555555555555557"/>
    <n v="9"/>
  </r>
  <r>
    <s v="michaelbathurst"/>
    <s v="mpowelly01"/>
    <m/>
    <m/>
    <m/>
    <m/>
    <m/>
    <m/>
    <m/>
    <m/>
    <s v="No"/>
    <n v="259"/>
    <m/>
    <m/>
    <x v="3"/>
    <d v="2023-03-08T08:54:52"/>
    <s v="Wisdom Worth Following 🇨🇦🇺🇸🇬🇧🌎🌍🙏_x000a_@jeremyhl_x000a_@SoMCoaching_x000a_@michaelbathurst_x000a_@Eli_Krumova_x000a_@docassar_x000a_@this0499154500_x000a_@shoutmgb_x000a_@usesaitapr0_x000a_@reutsmichael1_x000a_@aejmc_x000a_@unosmlre_x000a_@mpowelly01_x000a__x000a_Top hashtags:_x000a_#smprofs_x000a_#smpc2023_x000a_#prprofs_x000a_#smle2022_x000a_#ff_x000a_#aejmc21_x000a_#aejmc22_x000a_#aejmc2021_x000a_#ShoutMGB"/>
    <n v="6"/>
    <n v="3"/>
    <n v="1"/>
    <n v="0"/>
    <n v="124"/>
    <x v="24"/>
    <m/>
    <m/>
    <s v="jeremyhl somcoaching michaelbathurst eli_krumova docassar this0499154500 shoutmgb usesaitapr0 reutsmichael1 aejmc unosmlre mpowelly01"/>
    <m/>
    <m/>
    <s v="Twitter for Android"/>
    <s v="en"/>
    <s v="https://twitter.com/michaelbathurst/status/1633390819326545921"/>
    <x v="116"/>
    <d v="2023-03-08T00:00:00"/>
    <s v="08:54:52"/>
    <m/>
    <s v="-79.639319,43.403221 _x000a_-79.639319,43.855401 _x000a_-78.90582,43.855401 _x000a_-78.90582,43.403221 _x000a_-79.639319,43.403221"/>
    <s v="Canada"/>
    <s v="CA"/>
    <s v="Toronto, Ontario"/>
    <s v="3797791ff9c0e4c6"/>
    <s v="Toronto"/>
    <s v="city"/>
    <m/>
    <m/>
    <m/>
    <m/>
    <m/>
    <s v="https://pbs.twimg.com/profile_images/1331610042748051458/8NtBN_eL_normal.jpg"/>
    <s v="1633390819326545921"/>
    <s v="1633390819326545921"/>
    <m/>
    <s v=""/>
    <s v=""/>
    <s v=""/>
    <s v="1633390819326545921"/>
    <n v="37188645"/>
    <m/>
    <m/>
    <m/>
    <m/>
    <m/>
    <n v="1"/>
    <s v="5"/>
    <s v="5"/>
    <m/>
    <m/>
    <m/>
    <m/>
    <m/>
    <m/>
    <m/>
    <m/>
    <m/>
  </r>
  <r>
    <s v="aejmc"/>
    <s v="nahj"/>
    <m/>
    <m/>
    <m/>
    <m/>
    <m/>
    <m/>
    <m/>
    <m/>
    <s v="No"/>
    <n v="261"/>
    <m/>
    <m/>
    <x v="2"/>
    <d v="2023-10-30T15:27:28"/>
    <s v="RT @NAHJ: Happy Friday! @NAHJ is continuing to highlight members making waves in #journalism. 👏_x000a__x000a_Check out this incredible Q&amp;amp;A with Dr. Jes…"/>
    <n v="4"/>
    <n v="0"/>
    <n v="0"/>
    <n v="0"/>
    <m/>
    <x v="25"/>
    <m/>
    <m/>
    <s v="nahj nahj"/>
    <m/>
    <m/>
    <s v="Twitter Web App"/>
    <s v="en"/>
    <s v="https://twitter.com/aejmc/status/1719013154087190717"/>
    <x v="117"/>
    <d v="2023-10-30T00:00:00"/>
    <s v="15:27:28"/>
    <m/>
    <m/>
    <m/>
    <m/>
    <m/>
    <m/>
    <m/>
    <m/>
    <m/>
    <m/>
    <m/>
    <m/>
    <m/>
    <s v="https://pbs.twimg.com/profile_images/1559584982439444482/vOVkFGh3_normal.png"/>
    <s v="1719013154087190717"/>
    <s v="1719013154087190717"/>
    <m/>
    <s v=""/>
    <s v=""/>
    <s v="1710353444362395779"/>
    <s v="1710353444362395779"/>
    <n v="8442592"/>
    <m/>
    <m/>
    <m/>
    <m/>
    <m/>
    <n v="1"/>
    <s v="1"/>
    <s v="11"/>
    <m/>
    <m/>
    <m/>
    <m/>
    <m/>
    <m/>
    <m/>
    <m/>
    <m/>
  </r>
  <r>
    <s v="aejmc"/>
    <s v="aejmc"/>
    <m/>
    <m/>
    <m/>
    <m/>
    <m/>
    <m/>
    <m/>
    <m/>
    <s v="No"/>
    <n v="263"/>
    <m/>
    <m/>
    <x v="5"/>
    <d v="2023-11-03T16:48:06"/>
    <s v="An AEJMC Standing Committee on Research Award,_x000a_The Blum Research Award was created to recognize people who have devoted substantial parts of their careers to promoting research in mass communication. Nominate by Dec. 15._x000a_https://t.co/on1zleL8Ih"/>
    <n v="3"/>
    <n v="3"/>
    <n v="0"/>
    <n v="0"/>
    <n v="889"/>
    <x v="0"/>
    <s v="https://www.aejmc.com/home/wp-content/uploads/2023/10/Eleanor-Blum-Distinguished-Service-to-Research-Award.pdf"/>
    <s v="aejmc.com"/>
    <m/>
    <m/>
    <m/>
    <s v="Twitter Web App"/>
    <s v="en"/>
    <s v="https://twitter.com/aejmc/status/1720483000461181036"/>
    <x v="118"/>
    <d v="2023-11-03T00:00:00"/>
    <s v="16:48:06"/>
    <b v="0"/>
    <m/>
    <m/>
    <m/>
    <m/>
    <m/>
    <m/>
    <m/>
    <m/>
    <m/>
    <m/>
    <m/>
    <m/>
    <s v="https://pbs.twimg.com/profile_images/1559584982439444482/vOVkFGh3_normal.png"/>
    <s v="1720483000461181036"/>
    <s v="1720483000461181036"/>
    <m/>
    <s v=""/>
    <s v=""/>
    <s v=""/>
    <s v="1720483000461181036"/>
    <n v="8442592"/>
    <m/>
    <m/>
    <m/>
    <m/>
    <m/>
    <n v="4"/>
    <s v="1"/>
    <s v="1"/>
    <n v="2"/>
    <n v="5.882352941176471"/>
    <n v="0"/>
    <n v="0"/>
    <n v="0"/>
    <n v="0"/>
    <n v="20"/>
    <n v="58.823529411764703"/>
    <n v="34"/>
  </r>
  <r>
    <s v="aejmc"/>
    <s v="aejmc"/>
    <m/>
    <m/>
    <m/>
    <m/>
    <m/>
    <m/>
    <m/>
    <m/>
    <s v="No"/>
    <n v="264"/>
    <m/>
    <m/>
    <x v="5"/>
    <d v="2023-10-31T19:26:08"/>
    <s v="AEJMC members approved a recent resolution: Recommitment to College/University Diversity Programs and Minority Faculty Hiring Resolution._x000a_https://t.co/zUptdBXIBZ"/>
    <n v="1"/>
    <n v="5"/>
    <n v="1"/>
    <n v="0"/>
    <n v="841"/>
    <x v="0"/>
    <s v="https://www.aejmc.com/home/2023/09/resolution-four-2023/"/>
    <s v="aejmc.com"/>
    <m/>
    <m/>
    <m/>
    <s v="Twitter Web App"/>
    <s v="en"/>
    <s v="https://twitter.com/aejmc/status/1719435606160265633"/>
    <x v="119"/>
    <d v="2023-10-31T00:00:00"/>
    <s v="19:26:08"/>
    <b v="0"/>
    <m/>
    <m/>
    <m/>
    <m/>
    <m/>
    <m/>
    <m/>
    <m/>
    <m/>
    <m/>
    <m/>
    <m/>
    <s v="https://pbs.twimg.com/profile_images/1559584982439444482/vOVkFGh3_normal.png"/>
    <s v="1719435606160265633"/>
    <s v="1719435606160265633"/>
    <m/>
    <s v=""/>
    <s v=""/>
    <s v=""/>
    <s v="1719435606160265633"/>
    <n v="8442592"/>
    <m/>
    <m/>
    <m/>
    <m/>
    <m/>
    <n v="4"/>
    <s v="1"/>
    <s v="1"/>
    <n v="0"/>
    <n v="0"/>
    <n v="0"/>
    <n v="0"/>
    <n v="0"/>
    <n v="0"/>
    <n v="14"/>
    <n v="82.352941176470594"/>
    <n v="17"/>
  </r>
  <r>
    <s v="aejmc"/>
    <s v="aejmc"/>
    <m/>
    <m/>
    <m/>
    <m/>
    <m/>
    <m/>
    <m/>
    <m/>
    <s v="No"/>
    <n v="265"/>
    <m/>
    <m/>
    <x v="5"/>
    <d v="2023-10-31T18:29:53"/>
    <s v="Sponsored by AEJMC &amp;amp; the Urban Communication Foundation, the Gene Burd Award for Research in Urban Journalism Studies is accepting proposals until Nov. 15. View the full call here:_x000a_https://t.co/rH9Pw6oQXs"/>
    <n v="0"/>
    <n v="0"/>
    <n v="0"/>
    <n v="0"/>
    <n v="273"/>
    <x v="0"/>
    <s v="https://www.aejmc.com/home/wp-content/uploads/2023/10/Burd-Award-for-Research-in-Urban-Journalism-Studies.pdf"/>
    <s v="aejmc.com"/>
    <m/>
    <m/>
    <m/>
    <s v="Twitter Web App"/>
    <s v="en"/>
    <s v="https://twitter.com/aejmc/status/1719421450392613239"/>
    <x v="120"/>
    <d v="2023-10-31T00:00:00"/>
    <s v="18:29:53"/>
    <b v="0"/>
    <m/>
    <m/>
    <m/>
    <m/>
    <m/>
    <m/>
    <m/>
    <m/>
    <m/>
    <m/>
    <m/>
    <m/>
    <s v="https://pbs.twimg.com/profile_images/1559584982439444482/vOVkFGh3_normal.png"/>
    <s v="1719421450392613239"/>
    <s v="1719421450392613239"/>
    <m/>
    <s v=""/>
    <s v=""/>
    <s v=""/>
    <s v="1719421450392613239"/>
    <n v="8442592"/>
    <m/>
    <m/>
    <m/>
    <m/>
    <m/>
    <n v="4"/>
    <s v="1"/>
    <s v="1"/>
    <n v="1"/>
    <n v="3.4482758620689653"/>
    <n v="0"/>
    <n v="0"/>
    <n v="0"/>
    <n v="0"/>
    <n v="19"/>
    <n v="65.517241379310349"/>
    <n v="29"/>
  </r>
  <r>
    <s v="aejmc"/>
    <s v="aejmc"/>
    <m/>
    <m/>
    <m/>
    <m/>
    <m/>
    <m/>
    <m/>
    <m/>
    <s v="No"/>
    <n v="266"/>
    <m/>
    <m/>
    <x v="5"/>
    <d v="2023-10-26T18:40:26"/>
    <s v="The AEJMC Standing Committee on Research is accepting nominations through Dec. 1 for_x000a_the Paul J. Deutschmann Award for Excellence in Research. View the full call online here:_x000a_https://t.co/xPmzRmZ6Cf"/>
    <n v="7"/>
    <n v="7"/>
    <n v="0"/>
    <n v="0"/>
    <n v="1151"/>
    <x v="0"/>
    <s v="https://www.aejmc.com/home/wp-content/uploads/2023/10/Deutschmann-Award.pdf"/>
    <s v="aejmc.com"/>
    <m/>
    <m/>
    <m/>
    <s v="Twitter Web App"/>
    <s v="en"/>
    <s v="https://twitter.com/aejmc/status/1717612166008766732"/>
    <x v="121"/>
    <d v="2023-10-26T00:00:00"/>
    <s v="18:40:26"/>
    <b v="0"/>
    <m/>
    <m/>
    <m/>
    <m/>
    <m/>
    <m/>
    <m/>
    <m/>
    <m/>
    <m/>
    <m/>
    <m/>
    <s v="https://pbs.twimg.com/profile_images/1559584982439444482/vOVkFGh3_normal.png"/>
    <s v="1717612166008766732"/>
    <s v="1717612166008766732"/>
    <m/>
    <s v=""/>
    <s v=""/>
    <s v=""/>
    <s v="1717612166008766732"/>
    <n v="8442592"/>
    <m/>
    <m/>
    <m/>
    <m/>
    <m/>
    <n v="4"/>
    <s v="1"/>
    <s v="1"/>
    <n v="2"/>
    <n v="7.1428571428571432"/>
    <n v="0"/>
    <n v="0"/>
    <n v="0"/>
    <n v="0"/>
    <n v="14"/>
    <n v="50"/>
    <n v="28"/>
  </r>
  <r>
    <s v="comatbu"/>
    <s v="aejmc"/>
    <m/>
    <m/>
    <m/>
    <m/>
    <m/>
    <m/>
    <m/>
    <m/>
    <s v="No"/>
    <n v="268"/>
    <m/>
    <m/>
    <x v="3"/>
    <d v="2023-10-31T17:00:00"/>
    <s v="Congrats to Emma Longo (COM'24) for winning the @IGS_BU Undergraduate Student Award!_x000a__x000a_She turned her project, &quot;How Fossil Fuel Companies Use Native Advertisements to Promote Climate Denialism in US Media,&quot; into an article for @AEJMC._x000a__x000a_Read more: https://t.co/W9WHSg1Z8K"/>
    <n v="3"/>
    <n v="5"/>
    <n v="0"/>
    <n v="0"/>
    <n v="566"/>
    <x v="0"/>
    <s v="http://spr.ly/6013uYH8H"/>
    <s v="spr.ly"/>
    <s v="igs_bu aejmc"/>
    <m/>
    <m/>
    <s v="Sprinklr"/>
    <s v="en"/>
    <s v="https://twitter.com/comatbu/status/1719398831287067049"/>
    <x v="122"/>
    <d v="2023-10-31T00:00:00"/>
    <s v="17:00:00"/>
    <b v="0"/>
    <m/>
    <m/>
    <m/>
    <m/>
    <m/>
    <m/>
    <m/>
    <m/>
    <m/>
    <m/>
    <m/>
    <m/>
    <s v="https://pbs.twimg.com/profile_images/1087808935480999936/VEiq4JjJ_normal.jpg"/>
    <s v="1719398831287067049"/>
    <s v="1719398831287067049"/>
    <m/>
    <s v=""/>
    <s v=""/>
    <s v=""/>
    <s v="1719398831287067049"/>
    <n v="76056609"/>
    <m/>
    <m/>
    <m/>
    <m/>
    <m/>
    <n v="1"/>
    <s v="8"/>
    <s v="1"/>
    <m/>
    <m/>
    <m/>
    <m/>
    <m/>
    <m/>
    <m/>
    <m/>
    <m/>
  </r>
  <r>
    <s v="reutsmichael1"/>
    <s v="this0499154500"/>
    <m/>
    <m/>
    <m/>
    <m/>
    <m/>
    <m/>
    <m/>
    <m/>
    <s v="No"/>
    <n v="270"/>
    <m/>
    <m/>
    <x v="2"/>
    <d v="2023-11-03T08:57:47"/>
    <s v="RT @michaelbathurst: Wisdom Worth Following 🇨🇦🇺🇸🇬🇧🌎🌍🙏_x000a_@jeremyhl_x000a_@SoMCoaching_x000a_@michaelbathurst_x000a_@Eli_Krumova_x000a_@docassar_x000a_@this0499154500_x000a_@shout…"/>
    <n v="6"/>
    <n v="0"/>
    <n v="0"/>
    <n v="0"/>
    <m/>
    <x v="0"/>
    <m/>
    <m/>
    <s v="michaelbathurst jeremyhl somcoaching michaelbathurst eli_krumova docassar this0499154500"/>
    <m/>
    <m/>
    <s v="Twitter Web App"/>
    <s v="en"/>
    <s v="https://twitter.com/reutsmichael1/status/1720364640884940940"/>
    <x v="123"/>
    <d v="2023-11-03T00:00:00"/>
    <s v="08:57:47"/>
    <m/>
    <m/>
    <m/>
    <m/>
    <m/>
    <m/>
    <m/>
    <m/>
    <m/>
    <m/>
    <m/>
    <m/>
    <m/>
    <s v="https://pbs.twimg.com/profile_images/1689952558293356544/DcOJhVT1_normal.jpg"/>
    <s v="1720364640884940940"/>
    <s v="1720364640884940940"/>
    <m/>
    <s v=""/>
    <s v=""/>
    <s v="1633390819326545921"/>
    <s v="1633390819326545921"/>
    <s v="1184420106106998785"/>
    <m/>
    <m/>
    <m/>
    <m/>
    <m/>
    <n v="1"/>
    <s v="5"/>
    <s v="5"/>
    <m/>
    <m/>
    <m/>
    <m/>
    <m/>
    <m/>
    <m/>
    <m/>
    <m/>
  </r>
  <r>
    <s v="igs_bu"/>
    <s v="igs_bu"/>
    <m/>
    <m/>
    <m/>
    <m/>
    <m/>
    <m/>
    <m/>
    <m/>
    <s v="No"/>
    <n v="285"/>
    <m/>
    <m/>
    <x v="2"/>
    <d v="2023-10-31T19:37:27"/>
    <s v="RT @COMatBU: Congrats to Emma Longo (COM'24) for winning the @IGS_BU Undergraduate Student Award!_x000a__x000a_She turned her project, &quot;How Fossil Fuel…"/>
    <n v="3"/>
    <n v="0"/>
    <n v="0"/>
    <n v="0"/>
    <m/>
    <x v="0"/>
    <m/>
    <m/>
    <s v="comatbu igs_bu"/>
    <m/>
    <m/>
    <s v="Twitter Web App"/>
    <s v="en"/>
    <s v="https://twitter.com/igs_bu/status/1719438454592032991"/>
    <x v="124"/>
    <d v="2023-10-31T00:00:00"/>
    <s v="19:37:27"/>
    <b v="0"/>
    <m/>
    <m/>
    <m/>
    <m/>
    <m/>
    <m/>
    <m/>
    <m/>
    <m/>
    <m/>
    <m/>
    <m/>
    <s v="https://pbs.twimg.com/profile_images/1545128935477940225/brWstWwf_normal.png"/>
    <s v="1719438454592032991"/>
    <s v="1719438454592032991"/>
    <m/>
    <s v=""/>
    <s v=""/>
    <s v="1719398831287067049"/>
    <s v="1719398831287067049"/>
    <s v="781531567155998720"/>
    <m/>
    <m/>
    <m/>
    <m/>
    <m/>
    <n v="1"/>
    <s v="8"/>
    <s v="8"/>
    <m/>
    <m/>
    <m/>
    <m/>
    <m/>
    <m/>
    <m/>
    <m/>
    <m/>
  </r>
  <r>
    <s v="benjaminsovaco1"/>
    <s v="igs_bu"/>
    <m/>
    <m/>
    <m/>
    <m/>
    <m/>
    <m/>
    <m/>
    <m/>
    <s v="No"/>
    <n v="288"/>
    <m/>
    <m/>
    <x v="2"/>
    <d v="2023-10-31T23:23:08"/>
    <s v="RT @COMatBU: Congrats to Emma Longo (COM'24) for winning the @IGS_BU Undergraduate Student Award!_x000a__x000a_She turned her project, &quot;How Fossil Fuel…"/>
    <n v="3"/>
    <n v="0"/>
    <n v="0"/>
    <n v="0"/>
    <m/>
    <x v="0"/>
    <m/>
    <m/>
    <s v="comatbu igs_bu"/>
    <m/>
    <m/>
    <s v="Twitter for iPhone"/>
    <s v="en"/>
    <s v="https://twitter.com/benjaminsovaco1/status/1719495250173886549"/>
    <x v="125"/>
    <d v="2023-10-31T00:00:00"/>
    <s v="23:23:08"/>
    <b v="0"/>
    <m/>
    <m/>
    <m/>
    <m/>
    <m/>
    <m/>
    <m/>
    <m/>
    <m/>
    <m/>
    <m/>
    <m/>
    <s v="https://pbs.twimg.com/profile_images/1354830590676262913/PXUIlxtt_normal.jpg"/>
    <s v="1719495250173886549"/>
    <s v="1719495250173886549"/>
    <m/>
    <s v=""/>
    <s v=""/>
    <s v="1719398831287067049"/>
    <s v="1719398831287067049"/>
    <s v="1010130545894977536"/>
    <m/>
    <m/>
    <m/>
    <m/>
    <m/>
    <n v="1"/>
    <s v="8"/>
    <s v="8"/>
    <m/>
    <m/>
    <m/>
    <m/>
    <m/>
    <m/>
    <m/>
    <m/>
    <m/>
  </r>
  <r>
    <s v="stevedepo"/>
    <s v="aejmc_comsher"/>
    <m/>
    <m/>
    <m/>
    <m/>
    <m/>
    <m/>
    <m/>
    <m/>
    <s v="No"/>
    <n v="290"/>
    <m/>
    <m/>
    <x v="3"/>
    <d v="2023-11-04T21:34:12"/>
    <s v="Join IECA in 2024! Benefits include on-line access to ENVIRONMENTAL COMMUNICATION, discounts for 2025 COCE and on-line courses, networking with 400+ members, and more! Check us out at https://t.co/kVHMxeHtLl. @EnvCommResGroup @ICAEnviroComm @AEJMC_ComSHER #myieca"/>
    <n v="4"/>
    <n v="7"/>
    <n v="0"/>
    <n v="0"/>
    <n v="494"/>
    <x v="26"/>
    <s v="https://theieca.org/page/Join"/>
    <s v="theieca.org"/>
    <s v="envcommresgroup icaenvirocomm aejmc_comsher"/>
    <m/>
    <m/>
    <s v="Twitter Web App"/>
    <s v="en"/>
    <s v="https://twitter.com/stevedepo/status/1720917387485020564"/>
    <x v="126"/>
    <d v="2023-11-04T00:00:00"/>
    <s v="21:34:12"/>
    <b v="0"/>
    <m/>
    <m/>
    <m/>
    <m/>
    <m/>
    <m/>
    <m/>
    <m/>
    <m/>
    <m/>
    <m/>
    <m/>
    <s v="https://pbs.twimg.com/profile_images/668944064755179520/mealRoFg_normal.jpg"/>
    <s v="1720917387485020564"/>
    <s v="1720917387485020564"/>
    <m/>
    <s v=""/>
    <s v=""/>
    <s v=""/>
    <s v="1720917387485020564"/>
    <n v="182686248"/>
    <m/>
    <m/>
    <m/>
    <m/>
    <m/>
    <n v="1"/>
    <s v="7"/>
    <s v="7"/>
    <m/>
    <m/>
    <m/>
    <m/>
    <m/>
    <m/>
    <m/>
    <m/>
    <m/>
  </r>
  <r>
    <s v="azaizamotaz9"/>
    <s v="azaizamotaz9"/>
    <m/>
    <m/>
    <m/>
    <m/>
    <m/>
    <m/>
    <m/>
    <m/>
    <s v="No"/>
    <n v="293"/>
    <m/>
    <m/>
    <x v="5"/>
    <d v="2023-11-01T16:05:28"/>
    <s v="Reporting from the middle area where a residential tower was bombed. Many of the dead and injured were taken to the hospital. Volunteers search under the rubble for survivors and victims https://t.co/UozGzZqRDq"/>
    <n v="28453"/>
    <n v="57035"/>
    <n v="474"/>
    <n v="584"/>
    <n v="1903853"/>
    <x v="0"/>
    <m/>
    <m/>
    <m/>
    <s v="https://t.co/UozGzZqRDq https://pbs.twimg.com/ext_tw_video_thumb/1719746771893571584/pu/img/alNHRUnfwoBxrA3j.jpg"/>
    <s v="video"/>
    <s v="Twitter Web App"/>
    <s v="en"/>
    <s v="https://twitter.com/azaizamotaz9/status/1719747492466569538"/>
    <x v="127"/>
    <d v="2023-11-01T00:00:00"/>
    <s v="16:05:28"/>
    <b v="0"/>
    <m/>
    <m/>
    <m/>
    <m/>
    <m/>
    <m/>
    <m/>
    <s v="7_1719746771893571584"/>
    <n v="83382"/>
    <m/>
    <m/>
    <m/>
    <s v="https://pbs.twimg.com/ext_tw_video_thumb/1719746771893571584/pu/img/alNHRUnfwoBxrA3j.jpg"/>
    <s v="1719747492466569538"/>
    <s v="1719747492466569538"/>
    <m/>
    <s v=""/>
    <s v=""/>
    <s v=""/>
    <s v="1719747492466569538"/>
    <s v="965277365172670465"/>
    <m/>
    <m/>
    <m/>
    <m/>
    <m/>
    <n v="1"/>
    <s v="3"/>
    <s v="3"/>
    <n v="0"/>
    <n v="0"/>
    <n v="1"/>
    <n v="3.225806451612903"/>
    <n v="0"/>
    <n v="0"/>
    <n v="16"/>
    <n v="51.612903225806448"/>
    <n v="31"/>
  </r>
  <r>
    <s v="nahj"/>
    <s v="uazjschool"/>
    <m/>
    <m/>
    <m/>
    <m/>
    <m/>
    <m/>
    <m/>
    <m/>
    <s v="No"/>
    <n v="294"/>
    <m/>
    <m/>
    <x v="3"/>
    <d v="2023-10-06T17:56:52"/>
    <s v="Happy Friday! @NAHJ is continuing to highlight members making waves in #journalism. 👏_x000a__x000a_Check out this incredible Q&amp;amp;A with Dr. Jessica Retis, Director of University of Arizona School of Journalism. @jretis @uazjschool_x000a__x000a_➡️ Read more: https://t.co/f8063YOOzs_x000a_#HispanicHeritageMonth https://t.co/RUq9ISpZRJ"/>
    <n v="4"/>
    <n v="9"/>
    <n v="1"/>
    <n v="3"/>
    <n v="2839"/>
    <x v="27"/>
    <s v="https://tucsonagenda.substack.com/p/monday-q-and-a-with-dr-jessica-retis?utm_campaign=email-half-post&amp;r=n7i1h&amp;utm_source=substack&amp;utm_medium=email&amp;utm_source=trellis&amp;utm_medium=email&amp;utm_campaign=Clips%20for%20Sep.%2023-25,%202023"/>
    <s v="substack.com"/>
    <s v="nahj jretis uazjschool"/>
    <s v="https://t.co/RUq9ISpZRJ https://pbs.twimg.com/media/F7xjwoJXoAAZcqr.jpg"/>
    <s v="photo"/>
    <s v="Twitter Web App"/>
    <s v="en"/>
    <s v="https://twitter.com/nahj/status/1710353444362395779"/>
    <x v="128"/>
    <d v="2023-10-06T00:00:00"/>
    <s v="17:56:52"/>
    <b v="0"/>
    <m/>
    <m/>
    <m/>
    <m/>
    <m/>
    <m/>
    <m/>
    <s v="3_1710351645555531776"/>
    <m/>
    <m/>
    <m/>
    <m/>
    <s v="https://pbs.twimg.com/media/F7xjwoJXoAAZcqr.jpg"/>
    <s v="1710353444362395779"/>
    <s v="1710353444362395779"/>
    <m/>
    <s v=""/>
    <s v=""/>
    <s v=""/>
    <s v="1710353444362395779"/>
    <n v="6819732"/>
    <m/>
    <m/>
    <m/>
    <m/>
    <m/>
    <n v="1"/>
    <s v="11"/>
    <s v="11"/>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9B6A8F-623C-4CF9-822F-E0A1D6D4D7F7}" name="TimeSeries" cacheId="5"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chartFormat="1">
  <location ref="A25:B120" firstHeaderRow="1" firstDataRow="1" firstDataCol="1"/>
  <pivotFields count="76">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8">
        <item x="3"/>
        <item x="0"/>
        <item x="4"/>
        <item x="2"/>
        <item x="6"/>
        <item x="1"/>
        <item x="5"/>
        <item t="default"/>
      </items>
    </pivotField>
    <pivotField numFmtId="22" showAll="0"/>
    <pivotField showAll="0"/>
    <pivotField showAll="0"/>
    <pivotField showAll="0"/>
    <pivotField showAll="0"/>
    <pivotField showAll="0"/>
    <pivotField showAll="0"/>
    <pivotField showAll="0">
      <items count="29">
        <item x="17"/>
        <item x="13"/>
        <item x="3"/>
        <item x="20"/>
        <item x="1"/>
        <item x="4"/>
        <item x="22"/>
        <item x="7"/>
        <item x="5"/>
        <item x="25"/>
        <item x="27"/>
        <item x="14"/>
        <item x="21"/>
        <item x="19"/>
        <item x="26"/>
        <item x="10"/>
        <item x="9"/>
        <item x="6"/>
        <item x="8"/>
        <item x="11"/>
        <item x="23"/>
        <item x="24"/>
        <item x="12"/>
        <item x="2"/>
        <item x="16"/>
        <item x="15"/>
        <item x="18"/>
        <item x="0"/>
        <item t="default"/>
      </items>
    </pivotField>
    <pivotField showAll="0"/>
    <pivotField showAll="0"/>
    <pivotField showAll="0"/>
    <pivotField showAll="0"/>
    <pivotField showAll="0"/>
    <pivotField showAll="0"/>
    <pivotField showAll="0"/>
    <pivotField showAll="0"/>
    <pivotField axis="axisRow" dataField="1" numFmtId="22"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 axis="axisRow" showAll="0">
      <items count="4">
        <item x="0"/>
        <item x="1"/>
        <item x="2"/>
        <item t="default"/>
      </items>
    </pivotField>
  </pivotFields>
  <rowFields count="4">
    <field x="75"/>
    <field x="74"/>
    <field x="73"/>
    <field x="31"/>
  </rowFields>
  <rowItems count="95">
    <i>
      <x v="1"/>
    </i>
    <i r="1">
      <x v="3"/>
    </i>
    <i r="2">
      <x v="68"/>
    </i>
    <i r="3">
      <x v="9"/>
    </i>
    <i r="1">
      <x v="10"/>
    </i>
    <i r="2">
      <x v="280"/>
    </i>
    <i r="3">
      <x v="18"/>
    </i>
    <i r="2">
      <x v="289"/>
    </i>
    <i r="3">
      <x v="1"/>
    </i>
    <i r="2">
      <x v="291"/>
    </i>
    <i r="3">
      <x v="17"/>
    </i>
    <i r="2">
      <x v="297"/>
    </i>
    <i r="3">
      <x v="11"/>
    </i>
    <i r="3">
      <x v="16"/>
    </i>
    <i r="3">
      <x v="19"/>
    </i>
    <i r="2">
      <x v="298"/>
    </i>
    <i r="3">
      <x v="2"/>
    </i>
    <i r="2">
      <x v="300"/>
    </i>
    <i r="3">
      <x v="19"/>
    </i>
    <i r="2">
      <x v="301"/>
    </i>
    <i r="3">
      <x v="16"/>
    </i>
    <i r="3">
      <x v="17"/>
    </i>
    <i r="3">
      <x v="20"/>
    </i>
    <i r="2">
      <x v="302"/>
    </i>
    <i r="3">
      <x v="15"/>
    </i>
    <i r="2">
      <x v="303"/>
    </i>
    <i r="3">
      <x v="18"/>
    </i>
    <i r="3">
      <x v="21"/>
    </i>
    <i r="3">
      <x v="24"/>
    </i>
    <i r="2">
      <x v="304"/>
    </i>
    <i r="3">
      <x v="4"/>
    </i>
    <i r="3">
      <x v="7"/>
    </i>
    <i r="3">
      <x v="8"/>
    </i>
    <i r="3">
      <x v="14"/>
    </i>
    <i r="3">
      <x v="15"/>
    </i>
    <i r="3">
      <x v="16"/>
    </i>
    <i r="3">
      <x v="18"/>
    </i>
    <i r="3">
      <x v="21"/>
    </i>
    <i r="3">
      <x v="23"/>
    </i>
    <i r="2">
      <x v="305"/>
    </i>
    <i r="3">
      <x v="8"/>
    </i>
    <i r="3">
      <x v="14"/>
    </i>
    <i r="3">
      <x v="15"/>
    </i>
    <i r="3">
      <x v="16"/>
    </i>
    <i r="3">
      <x v="17"/>
    </i>
    <i r="3">
      <x v="18"/>
    </i>
    <i r="3">
      <x v="19"/>
    </i>
    <i r="3">
      <x v="20"/>
    </i>
    <i r="3">
      <x v="21"/>
    </i>
    <i r="3">
      <x v="23"/>
    </i>
    <i r="3">
      <x v="24"/>
    </i>
    <i r="1">
      <x v="11"/>
    </i>
    <i r="2">
      <x v="306"/>
    </i>
    <i r="3">
      <x v="2"/>
    </i>
    <i r="3">
      <x v="3"/>
    </i>
    <i r="3">
      <x v="4"/>
    </i>
    <i r="3">
      <x v="6"/>
    </i>
    <i r="3">
      <x v="13"/>
    </i>
    <i r="3">
      <x v="14"/>
    </i>
    <i r="3">
      <x v="17"/>
    </i>
    <i r="3">
      <x v="20"/>
    </i>
    <i r="3">
      <x v="24"/>
    </i>
    <i r="2">
      <x v="307"/>
    </i>
    <i r="3">
      <x v="1"/>
    </i>
    <i r="3">
      <x v="2"/>
    </i>
    <i r="3">
      <x v="9"/>
    </i>
    <i r="3">
      <x v="15"/>
    </i>
    <i r="3">
      <x v="16"/>
    </i>
    <i r="3">
      <x v="18"/>
    </i>
    <i r="3">
      <x v="20"/>
    </i>
    <i r="3">
      <x v="22"/>
    </i>
    <i r="3">
      <x v="23"/>
    </i>
    <i r="2">
      <x v="308"/>
    </i>
    <i r="3">
      <x v="2"/>
    </i>
    <i r="3">
      <x v="9"/>
    </i>
    <i r="3">
      <x v="13"/>
    </i>
    <i r="3">
      <x v="14"/>
    </i>
    <i r="3">
      <x v="15"/>
    </i>
    <i r="3">
      <x v="17"/>
    </i>
    <i r="3">
      <x v="18"/>
    </i>
    <i r="3">
      <x v="20"/>
    </i>
    <i r="3">
      <x v="21"/>
    </i>
    <i r="3">
      <x v="22"/>
    </i>
    <i r="2">
      <x v="309"/>
    </i>
    <i r="3">
      <x v="2"/>
    </i>
    <i r="3">
      <x v="14"/>
    </i>
    <i r="3">
      <x v="16"/>
    </i>
    <i r="3">
      <x v="20"/>
    </i>
    <i r="3">
      <x v="21"/>
    </i>
    <i r="3">
      <x v="22"/>
    </i>
    <i r="3">
      <x v="24"/>
    </i>
    <i r="2">
      <x v="310"/>
    </i>
    <i r="3">
      <x v="2"/>
    </i>
    <i r="3">
      <x v="10"/>
    </i>
    <i t="grand">
      <x/>
    </i>
  </rowItems>
  <colItems count="1">
    <i/>
  </colItems>
  <dataFields count="1">
    <dataField name="Count of Tweet Date (UTC)" fld="3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ationship" xr10:uid="{DA2FDF05-06A2-4FDB-920B-873612DB5BB3}" sourceName="Relationship">
  <pivotTables>
    <pivotTable tabId="17" name="TimeSeries"/>
  </pivotTables>
  <data>
    <tabular pivotCacheId="626945416">
      <items count="7">
        <i x="3" s="1"/>
        <i x="0" s="1"/>
        <i x="4" s="1"/>
        <i x="2" s="1"/>
        <i x="6" s="1"/>
        <i x="1"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ashtags_in_Tweet" xr10:uid="{52B43254-6E4A-4F25-9688-3EDA898B1276}" sourceName="Hashtags in Tweet">
  <pivotTables>
    <pivotTable tabId="17" name="TimeSeries"/>
  </pivotTables>
  <data>
    <tabular pivotCacheId="626945416">
      <items count="28">
        <i x="17" s="1"/>
        <i x="13" s="1"/>
        <i x="3" s="1"/>
        <i x="20" s="1"/>
        <i x="1" s="1"/>
        <i x="4" s="1"/>
        <i x="22" s="1"/>
        <i x="7" s="1"/>
        <i x="5" s="1"/>
        <i x="25" s="1"/>
        <i x="27" s="1"/>
        <i x="14" s="1"/>
        <i x="21" s="1"/>
        <i x="19" s="1"/>
        <i x="26" s="1"/>
        <i x="10" s="1"/>
        <i x="9" s="1"/>
        <i x="6" s="1"/>
        <i x="8" s="1"/>
        <i x="11" s="1"/>
        <i x="23" s="1"/>
        <i x="24" s="1"/>
        <i x="12" s="1"/>
        <i x="2" s="1"/>
        <i x="16" s="1"/>
        <i x="15" s="1"/>
        <i x="18"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lationship" xr10:uid="{750909D6-6DF7-467D-A75B-5FC0A5F36F54}" cache="Slicer_Relationship" caption="Relationship" rowHeight="241300"/>
  <slicer name="Hashtags in Tweet" xr10:uid="{135E96E1-714C-40BD-94E4-98F164709BEE}" cache="Slicer_Hashtags_in_Tweet" caption="Hashtags in Twee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dges" displayName="Edges" ref="A2:BU296" totalsRowShown="0" headerRowDxfId="539" dataDxfId="503">
  <autoFilter ref="A2:BU296" xr:uid="{00000000-0009-0000-0100-000001000000}"/>
  <tableColumns count="73">
    <tableColumn id="1" xr3:uid="{00000000-0010-0000-0000-000001000000}" name="Vertex 1" dataDxfId="488" dataCellStyle="NodeXL Required"/>
    <tableColumn id="2" xr3:uid="{00000000-0010-0000-0000-000002000000}" name="Vertex 2" dataDxfId="486" dataCellStyle="NodeXL Required"/>
    <tableColumn id="3" xr3:uid="{00000000-0010-0000-0000-000003000000}" name="Color" dataDxfId="487" dataCellStyle="NodeXL Visual Property"/>
    <tableColumn id="4" xr3:uid="{00000000-0010-0000-0000-000004000000}" name="Width" dataDxfId="512" dataCellStyle="NodeXL Visual Property"/>
    <tableColumn id="11" xr3:uid="{00000000-0010-0000-0000-00000B000000}" name="Style" dataDxfId="511" dataCellStyle="NodeXL Visual Property"/>
    <tableColumn id="5" xr3:uid="{00000000-0010-0000-0000-000005000000}" name="Opacity" dataDxfId="510" dataCellStyle="NodeXL Visual Property"/>
    <tableColumn id="6" xr3:uid="{00000000-0010-0000-0000-000006000000}" name="Visibility" dataDxfId="509" dataCellStyle="NodeXL Visual Property"/>
    <tableColumn id="10" xr3:uid="{00000000-0010-0000-0000-00000A000000}" name="Label" dataDxfId="508" dataCellStyle="NodeXL Label"/>
    <tableColumn id="12" xr3:uid="{00000000-0010-0000-0000-00000C000000}" name="Label Text Color" dataDxfId="507" dataCellStyle="NodeXL Label"/>
    <tableColumn id="13" xr3:uid="{00000000-0010-0000-0000-00000D000000}" name="Label Font Size" dataDxfId="506" dataCellStyle="NodeXL Label"/>
    <tableColumn id="14" xr3:uid="{00000000-0010-0000-0000-00000E000000}" name="Reciprocated?" dataDxfId="370" dataCellStyle="NodeXL Graph Metric"/>
    <tableColumn id="7" xr3:uid="{00000000-0010-0000-0000-000007000000}" name="ID" dataDxfId="505" dataCellStyle="NodeXL Do Not Edit"/>
    <tableColumn id="9" xr3:uid="{00000000-0010-0000-0000-000009000000}" name="Dynamic Filter" dataDxfId="504" dataCellStyle="NodeXL Do Not Edit"/>
    <tableColumn id="8" xr3:uid="{00000000-0010-0000-0000-000008000000}" name="Add Your Own Columns Here" dataDxfId="485" dataCellStyle="NodeXL Other Column"/>
    <tableColumn id="15" xr3:uid="{29DDD625-D72F-460F-9E15-39C9E88467E6}" name="Relationship" dataDxfId="484" dataCellStyle="Normal"/>
    <tableColumn id="16" xr3:uid="{3915F01C-3A2A-445F-967E-E8F8B9F4099B}" name="Relationship Date (UTC)" dataDxfId="483" dataCellStyle="Normal"/>
    <tableColumn id="17" xr3:uid="{44F188B8-7BFB-4CBE-A572-64848E944CB4}" name="Tweet" dataDxfId="482" dataCellStyle="Normal"/>
    <tableColumn id="18" xr3:uid="{275BE9A2-99BF-45C2-B19B-900FE729CFC1}" name="Retweet Count" dataDxfId="481" dataCellStyle="Normal"/>
    <tableColumn id="19" xr3:uid="{5D95DA22-0A8B-43B8-AFAB-576A419189B2}" name="Favorite Count" dataDxfId="480" dataCellStyle="Normal"/>
    <tableColumn id="20" xr3:uid="{724427C1-33DC-48B7-9CDD-89ACD1BF29FC}" name="Reply Count" dataDxfId="479" dataCellStyle="Normal"/>
    <tableColumn id="21" xr3:uid="{17B0A960-9DC9-4A05-A422-966E696C1E82}" name="Quote Count" dataDxfId="478" dataCellStyle="Normal"/>
    <tableColumn id="22" xr3:uid="{50BE878B-3156-4DA1-BE1B-88545AFA9561}" name="Impression Count" dataDxfId="477" dataCellStyle="Normal"/>
    <tableColumn id="23" xr3:uid="{38E93BC0-7E33-4240-BB04-BDE1991C140D}" name="Hashtags in Tweet" dataDxfId="476" dataCellStyle="Normal"/>
    <tableColumn id="24" xr3:uid="{484F7077-B782-41CF-AD0F-B8F66BE2828B}" name="URLs in Tweet" dataDxfId="475" dataCellStyle="Normal"/>
    <tableColumn id="25" xr3:uid="{80ECA4F0-C279-4164-9566-3B76EF90B99A}" name="Domains in Tweet" dataDxfId="474" dataCellStyle="Normal"/>
    <tableColumn id="26" xr3:uid="{EECAD069-DE62-4435-9745-FE8F5B10522E}" name="Mentions in Tweet" dataDxfId="473" dataCellStyle="Normal"/>
    <tableColumn id="27" xr3:uid="{63D19BC3-D655-4587-B02E-C0A9C42ED89E}" name="Media in Tweet" dataDxfId="472" dataCellStyle="Normal"/>
    <tableColumn id="28" xr3:uid="{BBBE1536-57E5-4BEC-9DDF-99C969A2BF49}" name="Media Type" dataDxfId="471" dataCellStyle="Normal"/>
    <tableColumn id="29" xr3:uid="{488871D1-B492-406C-9FB0-113E7C2ABBFF}" name="Source" dataDxfId="470" dataCellStyle="Normal"/>
    <tableColumn id="30" xr3:uid="{965F5192-A5DE-4A79-BB1F-56BEB15D7728}" name="Language" dataDxfId="469" dataCellStyle="Normal"/>
    <tableColumn id="31" xr3:uid="{228EA523-4866-44C9-ADCD-EAB228A848E3}" name="Twitter Page for Tweet" dataDxfId="468" dataCellStyle="Normal"/>
    <tableColumn id="32" xr3:uid="{0765FA70-07D5-4C4E-A0CC-05A4FCD5A529}" name="Tweet Date (UTC)" dataDxfId="467" dataCellStyle="Normal"/>
    <tableColumn id="33" xr3:uid="{1E790222-E705-4980-9F3B-5EE61342AC99}" name="Date" dataDxfId="466" dataCellStyle="Normal"/>
    <tableColumn id="34" xr3:uid="{AF3BCD83-F50A-4DD1-BACF-66CBD1F5AAD2}" name="Time" dataDxfId="465" dataCellStyle="Normal"/>
    <tableColumn id="35" xr3:uid="{F7152345-166A-4E93-A34D-A4B7EE690839}" name="Possibly Sensitive" dataDxfId="464" dataCellStyle="Normal"/>
    <tableColumn id="36" xr3:uid="{8CC3DA1C-898F-4BCE-97C4-985B364A92CD}" name="Place Bounding Box" dataDxfId="463" dataCellStyle="Normal"/>
    <tableColumn id="37" xr3:uid="{18E9D1E6-C122-4D77-885A-5C2FFE31DE49}" name="Place Country" dataDxfId="462" dataCellStyle="Normal"/>
    <tableColumn id="38" xr3:uid="{318C0A60-73A8-4B10-8CB2-F5733AC4CFA2}" name="Place Country Code" dataDxfId="461" dataCellStyle="Normal"/>
    <tableColumn id="39" xr3:uid="{CBB9E230-87D3-43BF-AC8A-6289F19DC259}" name="Place Full Name" dataDxfId="460" dataCellStyle="Normal"/>
    <tableColumn id="40" xr3:uid="{4D1832B3-5C06-4359-8ED3-148DC26C77F4}" name="Place ID" dataDxfId="459" dataCellStyle="Normal"/>
    <tableColumn id="41" xr3:uid="{286F0EFF-F275-411A-A339-7A9F729CC6C9}" name="Place Name" dataDxfId="458" dataCellStyle="Normal"/>
    <tableColumn id="42" xr3:uid="{E4DC1884-5484-471F-8666-AAF4CE5FE5B6}" name="Place Type" dataDxfId="457" dataCellStyle="Normal"/>
    <tableColumn id="43" xr3:uid="{6A33A844-94DF-4F12-BB84-6E00E7C7D395}" name="Media Key" dataDxfId="456" dataCellStyle="Normal"/>
    <tableColumn id="44" xr3:uid="{120EDDEC-4AE3-467D-81BA-1B18A304B102}" name="Media Duration (ms)" dataDxfId="455" dataCellStyle="Normal"/>
    <tableColumn id="45" xr3:uid="{2EAC420F-3C7C-44CE-886E-78E84EBA57D9}" name="Media Height" dataDxfId="454" dataCellStyle="Normal"/>
    <tableColumn id="46" xr3:uid="{401126F0-931F-421F-946C-3080B2B6A76E}" name="Media Width" dataDxfId="453" dataCellStyle="Normal"/>
    <tableColumn id="47" xr3:uid="{808D3C49-B578-4BB7-BFE7-2E96B10F58B0}" name="Media View Count" dataDxfId="452" dataCellStyle="Normal"/>
    <tableColumn id="48" xr3:uid="{310D23FD-7CAE-4209-907F-FBCEBF53082A}" name="Tweet Image File" dataDxfId="451" dataCellStyle="Normal"/>
    <tableColumn id="49" xr3:uid="{9045D0F5-66E1-4916-AEAA-AD42BF2D5895}" name="Imported ID" dataDxfId="450" dataCellStyle="Normal"/>
    <tableColumn id="50" xr3:uid="{1F890CA8-444D-49F1-836F-AB5BEF34A8B7}" name="Conversation ID" dataDxfId="449" dataCellStyle="Normal"/>
    <tableColumn id="51" xr3:uid="{5D713F4D-41EE-4C40-8D24-4141C18F10B5}" name="In Reply To User ID" dataDxfId="448" dataCellStyle="Normal"/>
    <tableColumn id="52" xr3:uid="{65E75B4A-B8AD-4421-BCD6-165579DD69DB}" name="In Reply To Tweet ID" dataDxfId="447" dataCellStyle="Normal"/>
    <tableColumn id="53" xr3:uid="{2B49E67D-395D-47F9-9EB1-E5E50516979E}" name="Quoted Status ID" dataDxfId="446" dataCellStyle="Normal"/>
    <tableColumn id="54" xr3:uid="{F18C3E53-73CA-4269-8C23-671A67BB079B}" name="Retweet ID" dataDxfId="445" dataCellStyle="Normal"/>
    <tableColumn id="55" xr3:uid="{B8D415AA-9740-4EE9-82EC-0336F9B8D874}" name="Unified Twitter ID" dataDxfId="444" dataCellStyle="Normal"/>
    <tableColumn id="56" xr3:uid="{30F5E1B0-95A7-4680-81FE-CF4D0566C2EF}" name="Author ID" dataDxfId="443" dataCellStyle="Normal"/>
    <tableColumn id="57" xr3:uid="{B9718708-0527-41F9-AAC1-845FFE3DC69E}" name="Poll ID" dataDxfId="442" dataCellStyle="Normal"/>
    <tableColumn id="58" xr3:uid="{C855EDD8-192C-4F8B-A189-226B119F1B2B}" name="Poll Options" dataDxfId="441" dataCellStyle="Normal"/>
    <tableColumn id="59" xr3:uid="{D86BEC35-8565-4169-807E-AE32246A8CDD}" name="Poll Duration" dataDxfId="440" dataCellStyle="Normal"/>
    <tableColumn id="60" xr3:uid="{3AB5FE6B-D7B7-490F-91BA-74902A45C292}" name="Poll End Date" dataDxfId="439" dataCellStyle="Normal"/>
    <tableColumn id="61" xr3:uid="{355973BA-B8D3-472A-86F3-A1ECC0C0B93E}" name="Poll Voting Status" dataDxfId="438" dataCellStyle="Normal"/>
    <tableColumn id="62" xr3:uid="{CCCE5A0A-C361-4ACF-ACD9-490CD326D1A2}" name="Edge Weight" dataCellStyle="Normal"/>
    <tableColumn id="63" xr3:uid="{054DBA58-DE22-4E43-9309-FE38BBBAE5A4}" name="Vertex 1 Group" dataDxfId="385" dataCellStyle="Normal">
      <calculatedColumnFormula>REPLACE(INDEX(GroupVertices[Group], MATCH("~"&amp;Edges[[#This Row],[Vertex 1]],GroupVertices[Vertex],0)),1,1,"")</calculatedColumnFormula>
    </tableColumn>
    <tableColumn id="64" xr3:uid="{14F31763-936A-4F41-8271-DDBDF8C4E6A1}" name="Vertex 2 Group" dataDxfId="346" dataCellStyle="Normal">
      <calculatedColumnFormula>REPLACE(INDEX(GroupVertices[Group], MATCH("~"&amp;Edges[[#This Row],[Vertex 2]],GroupVertices[Vertex],0)),1,1,"")</calculatedColumnFormula>
    </tableColumn>
    <tableColumn id="65" xr3:uid="{C6FD6E07-E173-4EF4-9D61-BA630A728614}" name="Sentiment List #1: List1 Word Count" dataDxfId="345" dataCellStyle="NodeXL Graph Metric"/>
    <tableColumn id="66" xr3:uid="{2E078DB1-6F0A-4EA1-8F46-67B94C971162}" name="Sentiment List #1: List1 Word Percentage (%)" dataDxfId="344" dataCellStyle="NodeXL Graph Metric"/>
    <tableColumn id="67" xr3:uid="{50C7A416-5710-4CB1-8764-EC7473710956}" name="Sentiment List #2: List2 Word Count" dataDxfId="343" dataCellStyle="NodeXL Graph Metric"/>
    <tableColumn id="68" xr3:uid="{76CBC350-920C-46E5-90AE-743DCE63753C}" name="Sentiment List #2: List2 Word Percentage (%)" dataDxfId="342" dataCellStyle="NodeXL Graph Metric"/>
    <tableColumn id="69" xr3:uid="{B67DD375-DFD5-42B0-A250-DE7FF02B3511}" name="Sentiment List #3: List3 Word Count" dataDxfId="341" dataCellStyle="NodeXL Graph Metric"/>
    <tableColumn id="70" xr3:uid="{9632BDC8-B32C-4088-AFB4-1A86F9BE72FF}" name="Sentiment List #3: List3 Word Percentage (%)" dataDxfId="340" dataCellStyle="NodeXL Graph Metric"/>
    <tableColumn id="71" xr3:uid="{5E45F3E1-CC18-4F0E-B034-2F02BEDD71BE}" name="Non-categorized Word Count" dataDxfId="339" dataCellStyle="NodeXL Graph Metric"/>
    <tableColumn id="72" xr3:uid="{0E8919AB-7250-494E-90D8-EB4B62FB722A}" name="Non-categorized Word Percentage (%)" dataDxfId="338" dataCellStyle="NodeXL Graph Metric"/>
    <tableColumn id="73" xr3:uid="{61EC4742-B809-4B90-A530-54BE8FAB393A}" name="Edge Content Word Count" dataDxfId="337" dataCellStyle="NodeXL Graph Metric"/>
  </tableColumns>
  <tableStyleInfo name="NodeXL Tab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DynamicFilterSettings" displayName="DynamicFilterSettings" ref="M1:P2" totalsRowShown="0" headerRowDxfId="513">
  <autoFilter ref="M1:P2" xr:uid="{00000000-0009-0000-0100-000008000000}"/>
  <tableColumns count="4">
    <tableColumn id="1" xr3:uid="{00000000-0010-0000-0900-000001000000}" name="Table Name"/>
    <tableColumn id="2" xr3:uid="{00000000-0010-0000-0900-000002000000}" name="Column Name"/>
    <tableColumn id="3" xr3:uid="{00000000-0010-0000-0900-000003000000}" name="Selected Minimum"/>
    <tableColumn id="4" xr3:uid="{00000000-0010-0000-0900-000004000000}" name="Selected Maximum"/>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9E43AAD-DE93-461A-860B-392C69F469AE}" name="Words" displayName="Words" ref="A1:G751" totalsRowShown="0" headerRowDxfId="369" dataDxfId="368" dataCellStyle="Normal">
  <autoFilter ref="A1:G751" xr:uid="{78443E0D-62BF-4886-B90E-09E480FE3C80}"/>
  <tableColumns count="7">
    <tableColumn id="1" xr3:uid="{DEE27EA8-2A8C-4C9E-8C6A-005F0C3F6562}" name="Word" dataDxfId="367" dataCellStyle="Normal"/>
    <tableColumn id="2" xr3:uid="{085A7294-66F3-45A3-92E1-D6C12ABE679E}" name="Count" dataDxfId="366" dataCellStyle="Normal"/>
    <tableColumn id="3" xr3:uid="{3A036B9D-793F-4870-8E6C-8D75A4D99536}" name="Salience" dataDxfId="365" dataCellStyle="Normal"/>
    <tableColumn id="4" xr3:uid="{DFD8336E-ED2E-4695-8349-4868D9EA68A6}" name="Group" dataDxfId="364" dataCellStyle="Normal"/>
    <tableColumn id="5" xr3:uid="{B433D82A-7796-45F6-B812-F3414E852FC3}" name="Word on Sentiment List #1: List1" dataDxfId="363" dataCellStyle="Normal"/>
    <tableColumn id="6" xr3:uid="{0787D63E-E98A-47CF-BE57-68C36E0BA7D5}" name="Word on Sentiment List #2: List2" dataDxfId="362" dataCellStyle="Normal"/>
    <tableColumn id="7" xr3:uid="{FD4C76E5-908F-4D8F-9ADB-D95C4288ACFE}" name="Word on Sentiment List #3: List3" dataDxfId="361" dataCellStyle="Normal"/>
  </tableColumns>
  <tableStyleInfo name="NodeXL Table"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8FC4D7E-DE1F-4BFF-9248-685F2640A0C5}" name="WordPairs" displayName="WordPairs" ref="A1:L702" totalsRowShown="0" headerRowDxfId="360" dataDxfId="359" dataCellStyle="Normal">
  <autoFilter ref="A1:L702" xr:uid="{E0E663C6-CF1F-4295-9434-F1B5F5CD4081}"/>
  <tableColumns count="12">
    <tableColumn id="1" xr3:uid="{2E24C696-A457-4A84-B649-0E6DCDB05E0D}" name="Word 1" dataDxfId="358" dataCellStyle="Normal"/>
    <tableColumn id="2" xr3:uid="{13CA2C07-2EF2-4182-BB2C-9D35F18113E0}" name="Word 2" dataDxfId="357" dataCellStyle="Normal"/>
    <tableColumn id="3" xr3:uid="{9196AC2E-1629-450D-9658-0F51FB154909}" name="Count" dataDxfId="356" dataCellStyle="Normal"/>
    <tableColumn id="4" xr3:uid="{712C69F1-6E2F-45D3-B867-709F0275417A}" name="Salience" dataDxfId="355" dataCellStyle="Normal"/>
    <tableColumn id="5" xr3:uid="{F8E6AF9B-AD5A-4766-9F6E-96B012728C2C}" name="Mutual Information" dataDxfId="354" dataCellStyle="Normal"/>
    <tableColumn id="6" xr3:uid="{2E6558E0-FEAF-4E82-A8DF-6A8BE67D16AB}" name="Group" dataDxfId="353" dataCellStyle="Normal"/>
    <tableColumn id="7" xr3:uid="{6C5EF536-1E84-4C59-9896-B041DDD93DF4}" name="Word1 on Sentiment List #1: List1" dataDxfId="352" dataCellStyle="Normal"/>
    <tableColumn id="8" xr3:uid="{1A6AE87C-D3B3-40ED-8BA0-FEE4184A46ED}" name="Word1 on Sentiment List #2: List2" dataDxfId="351" dataCellStyle="Normal"/>
    <tableColumn id="9" xr3:uid="{23369B37-5EC0-4C84-AE63-75A0A9390D35}" name="Word1 on Sentiment List #3: List3" dataDxfId="350" dataCellStyle="Normal"/>
    <tableColumn id="10" xr3:uid="{5190A17C-6E68-47AE-92F2-55785429D62F}" name="Word2 on Sentiment List #1: List1" dataDxfId="349" dataCellStyle="Normal"/>
    <tableColumn id="11" xr3:uid="{B9311314-7A4F-4D72-95C9-861B4CFEBAAF}" name="Word2 on Sentiment List #2: List2" dataDxfId="348" dataCellStyle="Normal"/>
    <tableColumn id="12" xr3:uid="{1D70A35A-142A-4344-A674-3C28058AAFD7}" name="Word2 on Sentiment List #3: List3" dataDxfId="347" dataCellStyle="Normal"/>
  </tableColumns>
  <tableStyleInfo name="NodeXL Table"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3D4E3FD-CA74-425B-918A-A424F366D9E1}" name="VertexContent" displayName="VertexContent" ref="A1:C1774" totalsRowShown="0" headerRowDxfId="318" dataDxfId="317" dataCellStyle="Normal">
  <autoFilter ref="A1:C1774" xr:uid="{8C78665F-5923-41AA-BD05-2AB3F69E28D5}"/>
  <tableColumns count="3">
    <tableColumn id="1" xr3:uid="{A2AFC942-712B-496D-AFA0-6A4D84BB4BFC}" name="VertexID" dataDxfId="316" dataCellStyle="Normal"/>
    <tableColumn id="2" xr3:uid="{A39BCF20-FD05-4AB3-802B-75E82C42FC9D}" name="Word" dataDxfId="315" dataCellStyle="Normal"/>
    <tableColumn id="3" xr3:uid="{EFC71C1C-88B1-4F6B-AAA0-6B21BC8A5F7C}" name="Imported ID" dataDxfId="314" dataCellStyle="Normal"/>
  </tableColumns>
  <tableStyleInfo name="NodeXL Table"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D7F2A58-E9E6-4DB4-8A2C-00C95983BB73}" name="WordList" displayName="WordList" ref="A1:B7315" totalsRowShown="0" headerRowDxfId="313" dataDxfId="312" dataCellStyle="Normal">
  <autoFilter ref="A1:B7315" xr:uid="{173ABA90-0186-4376-89A6-E9B727903031}"/>
  <tableColumns count="2">
    <tableColumn id="1" xr3:uid="{515FA74E-F664-40BE-AADC-C31DC45B6D85}" name="Word" dataDxfId="311" dataCellStyle="Normal"/>
    <tableColumn id="2" xr3:uid="{47E60BAA-E24C-4F17-8F90-213CCD7CB267}" name="List" dataDxfId="310" dataCellStyle="Normal"/>
  </tableColumns>
  <tableStyleInfo name="NodeXL Table"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79764C2A-2B8D-4052-AF70-01B8D07043AB}" name="GroupEdges" displayName="GroupEdges" ref="A2:C35" totalsRowShown="0" headerRowDxfId="309" dataDxfId="308" dataCellStyle="NodeXL Required">
  <autoFilter ref="A2:C35" xr:uid="{8E4616BE-138F-454D-9C0B-A1CD2CD5DAD7}"/>
  <tableColumns count="3">
    <tableColumn id="1" xr3:uid="{2D9E3801-B6B4-4B55-8BE8-A8D7FEEE0071}" name="Group 1" dataDxfId="307" dataCellStyle="NodeXL Required"/>
    <tableColumn id="2" xr3:uid="{DA3E92B3-8775-4DE9-9CE1-2872BDF3EB4D}" name="Group 2" dataDxfId="306" dataCellStyle="NodeXL Required"/>
    <tableColumn id="3" xr3:uid="{8586679C-7D1D-48EE-961F-092D9CB8A33A}" name="Edges" dataDxfId="305" dataCellStyle="NodeXL Graph Metric"/>
  </tableColumns>
  <tableStyleInfo name="NodeXL Table"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22B705CA-A5AB-47D3-8983-A98F93C60448}" name="ExportOptions" displayName="ExportOptions" ref="A1:B7" totalsRowShown="0" headerRowDxfId="302" dataDxfId="301" dataCellStyle="Normal">
  <autoFilter ref="A1:B7" xr:uid="{B272A03D-E319-4B4E-BDAB-0694EE6DB7FA}"/>
  <tableColumns count="2">
    <tableColumn id="1" xr3:uid="{188ED876-E0B3-4676-9961-591DA10B2D0B}" name="Key" dataDxfId="287" dataCellStyle="Normal"/>
    <tableColumn id="2" xr3:uid="{D37088F4-9E2C-4712-8710-C6A5B5EF81DC}" name="Value" dataDxfId="286" dataCellStyle="Normal"/>
  </tableColumns>
  <tableStyleInfo name="NodeXL Table"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D8333D28-FAEE-44B6-A260-C24A5F9B07A0}" name="TopItems_1" displayName="TopItems_1" ref="A1:B11" totalsRowShown="0" headerRowDxfId="291" dataDxfId="290" dataCellStyle="Normal">
  <autoFilter ref="A1:B11" xr:uid="{6C0A59E1-27E5-4E58-B8B1-577EDB5EBBF5}"/>
  <tableColumns count="2">
    <tableColumn id="1" xr3:uid="{B24ABA48-56F9-467A-A51C-06526DCBA822}" name="Top 10 Vertices, Ranked by Betweenness Centrality" dataDxfId="289" dataCellStyle="Normal"/>
    <tableColumn id="2" xr3:uid="{A121CFE2-1822-4B91-86C9-B857BF7B35D6}" name="Betweenness Centrality" dataDxfId="288" dataCellStyle="Normal"/>
  </tableColumns>
  <tableStyleInfo name="NodeXL Table"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6403EFBC-BD8C-43A1-9512-6464DF263C92}" name="Edges27" displayName="Edges27" ref="A2:BU131" totalsRowShown="0" headerRowDxfId="73" dataDxfId="72">
  <autoFilter ref="A2:BU131" xr:uid="{00000000-0009-0000-0100-000001000000}"/>
  <tableColumns count="73">
    <tableColumn id="1" xr3:uid="{E09F9366-46F8-464D-A569-A3C21B6D0E60}" name="Vertex 1" dataDxfId="71" dataCellStyle="NodeXL Required"/>
    <tableColumn id="2" xr3:uid="{B6084A35-DDFD-4BED-8473-78B26AC0737D}" name="Vertex 2" dataDxfId="70" dataCellStyle="NodeXL Required"/>
    <tableColumn id="3" xr3:uid="{A3CA8D30-706F-42E6-9726-98B905AAAFEC}" name="Color" dataDxfId="69" dataCellStyle="NodeXL Visual Property"/>
    <tableColumn id="4" xr3:uid="{9B69355E-DBD7-46B2-8AD4-53CF9086CAC7}" name="Width" dataDxfId="68" dataCellStyle="NodeXL Visual Property"/>
    <tableColumn id="11" xr3:uid="{FBF42A85-C68F-4C64-90DB-60558CE2A5F3}" name="Style" dataDxfId="67" dataCellStyle="NodeXL Visual Property"/>
    <tableColumn id="5" xr3:uid="{97E3C269-B417-486C-A3D9-0B057927460A}" name="Opacity" dataDxfId="66" dataCellStyle="NodeXL Visual Property"/>
    <tableColumn id="6" xr3:uid="{53B7731C-9F74-46AB-8E28-5963F7A40B80}" name="Visibility" dataDxfId="65" dataCellStyle="NodeXL Visual Property"/>
    <tableColumn id="10" xr3:uid="{37D9A247-F035-449C-AF4E-9BEF8CA289A7}" name="Label" dataDxfId="64" dataCellStyle="NodeXL Label"/>
    <tableColumn id="12" xr3:uid="{BC6FF9A5-7308-4B80-B2BC-8B4EB96F0076}" name="Label Text Color" dataDxfId="63" dataCellStyle="NodeXL Label"/>
    <tableColumn id="13" xr3:uid="{290369B4-004A-4133-BB06-43F3DFDAE2A5}" name="Label Font Size" dataDxfId="62" dataCellStyle="NodeXL Label"/>
    <tableColumn id="14" xr3:uid="{33E9A5FA-2C54-4B9A-830C-02C8D9D778CF}" name="Reciprocated?" dataDxfId="61" dataCellStyle="NodeXL Graph Metric"/>
    <tableColumn id="7" xr3:uid="{507E79E3-4950-491E-A1CA-167E06A4E196}" name="ID" dataDxfId="60" dataCellStyle="NodeXL Do Not Edit"/>
    <tableColumn id="9" xr3:uid="{60C717DA-9719-4510-BAB8-B1D5A3B650FC}" name="Dynamic Filter" dataDxfId="59" dataCellStyle="NodeXL Do Not Edit"/>
    <tableColumn id="8" xr3:uid="{52AD1858-C3D8-4C7B-90F0-9E2362C5953E}" name="Add Your Own Columns Here" dataDxfId="58" dataCellStyle="NodeXL Other Column"/>
    <tableColumn id="15" xr3:uid="{8C7F49B3-4243-424A-8CFB-A5F49537BC8A}" name="Relationship" dataDxfId="57" dataCellStyle="Normal"/>
    <tableColumn id="16" xr3:uid="{DD5B65BB-3DBA-4B46-89FF-EDF28E902C86}" name="Relationship Date (UTC)" dataDxfId="56" dataCellStyle="Normal"/>
    <tableColumn id="17" xr3:uid="{C561918D-FEE4-4F07-8CB9-A7A99E4DD023}" name="Tweet" dataDxfId="55" dataCellStyle="Normal"/>
    <tableColumn id="18" xr3:uid="{4F8D9502-7058-4185-8C1C-1100F4AB3EDF}" name="Retweet Count" dataDxfId="54" dataCellStyle="Normal"/>
    <tableColumn id="19" xr3:uid="{C5F454FA-EC63-4265-9185-A86186C7AAC0}" name="Favorite Count" dataDxfId="53" dataCellStyle="Normal"/>
    <tableColumn id="20" xr3:uid="{58226FFE-8058-4AF2-89C7-C3861DA5EA79}" name="Reply Count" dataDxfId="52" dataCellStyle="Normal"/>
    <tableColumn id="21" xr3:uid="{23D52CAB-62DE-4A3C-9C28-0F4F9E5352E6}" name="Quote Count" dataDxfId="51" dataCellStyle="Normal"/>
    <tableColumn id="22" xr3:uid="{26630955-EA9A-4AE5-890B-DC3E584315E0}" name="Impression Count" dataDxfId="50" dataCellStyle="Normal"/>
    <tableColumn id="23" xr3:uid="{F933BF59-DDF1-4D7B-B859-1F65E452A2EB}" name="Hashtags in Tweet" dataDxfId="49" dataCellStyle="Normal"/>
    <tableColumn id="24" xr3:uid="{DBD77AC7-A30C-4721-9E34-09BD4D352A1C}" name="URLs in Tweet" dataDxfId="48" dataCellStyle="Normal"/>
    <tableColumn id="25" xr3:uid="{07E8F399-3457-498C-99C3-65ED7FF66DA6}" name="Domains in Tweet" dataDxfId="47" dataCellStyle="Normal"/>
    <tableColumn id="26" xr3:uid="{8E4270BD-DDAC-429C-9D85-ADAB20EEF4AA}" name="Mentions in Tweet" dataDxfId="46" dataCellStyle="Normal"/>
    <tableColumn id="27" xr3:uid="{153A7A8A-A677-4E89-B0C3-134784267D8E}" name="Media in Tweet" dataDxfId="45" dataCellStyle="Normal"/>
    <tableColumn id="28" xr3:uid="{EFECE9BB-DBB7-4718-94A6-EA4E6833505E}" name="Media Type" dataDxfId="44" dataCellStyle="Normal"/>
    <tableColumn id="29" xr3:uid="{D8A284AB-9468-4508-8576-06CD3CAC1B33}" name="Source" dataDxfId="43" dataCellStyle="Normal"/>
    <tableColumn id="30" xr3:uid="{A302F552-9986-4BBC-BF30-27900D5D0141}" name="Language" dataDxfId="42" dataCellStyle="Normal"/>
    <tableColumn id="31" xr3:uid="{BCCDF25F-8E98-4CD6-862D-2246C26D3C0C}" name="Twitter Page for Tweet" dataDxfId="41" dataCellStyle="Normal"/>
    <tableColumn id="32" xr3:uid="{E25830E6-A698-4429-BEEE-80AD99C33879}" name="Tweet Date (UTC)" dataDxfId="40" dataCellStyle="Normal"/>
    <tableColumn id="33" xr3:uid="{D7623D2F-4F31-464E-BC84-DBF8EEC7AECB}" name="Date" dataDxfId="39" dataCellStyle="Normal"/>
    <tableColumn id="34" xr3:uid="{9526194A-44F5-43D2-86B7-11D9FC5AAA99}" name="Time" dataDxfId="38" dataCellStyle="Normal"/>
    <tableColumn id="35" xr3:uid="{F6AFDE85-74E9-4479-A0D8-0AA8B766DA24}" name="Possibly Sensitive" dataDxfId="37" dataCellStyle="Normal"/>
    <tableColumn id="36" xr3:uid="{617DB35B-296A-4F71-BD62-9D73CCDE508C}" name="Place Bounding Box" dataDxfId="36" dataCellStyle="Normal"/>
    <tableColumn id="37" xr3:uid="{E6CA1722-DE4E-4933-B552-4B4299756F0A}" name="Place Country" dataDxfId="35" dataCellStyle="Normal"/>
    <tableColumn id="38" xr3:uid="{3D8FAB8D-05F3-45E6-B3A1-01E7244D7553}" name="Place Country Code" dataDxfId="34" dataCellStyle="Normal"/>
    <tableColumn id="39" xr3:uid="{7787E901-EEA9-4D50-8F0D-01F832CC014E}" name="Place Full Name" dataDxfId="33" dataCellStyle="Normal"/>
    <tableColumn id="40" xr3:uid="{06A796B7-26E4-475A-A759-0590F061894D}" name="Place ID" dataDxfId="32" dataCellStyle="Normal"/>
    <tableColumn id="41" xr3:uid="{8CCD701E-8A68-4CD1-872D-3F9D42752A83}" name="Place Name" dataDxfId="31" dataCellStyle="Normal"/>
    <tableColumn id="42" xr3:uid="{2C03BE1F-A972-4BFB-90D6-8F6EFAE6D00C}" name="Place Type" dataDxfId="30" dataCellStyle="Normal"/>
    <tableColumn id="43" xr3:uid="{81731960-8E04-4D9F-8C92-6FC84FE4DD08}" name="Media Key" dataDxfId="29" dataCellStyle="Normal"/>
    <tableColumn id="44" xr3:uid="{E01928B5-864F-44E9-88CA-1EE9AF54B96D}" name="Media Duration (ms)" dataDxfId="28" dataCellStyle="Normal"/>
    <tableColumn id="45" xr3:uid="{C5803077-1DDB-4EDA-B578-B9BEB4C9E1EB}" name="Media Height" dataDxfId="27" dataCellStyle="Normal"/>
    <tableColumn id="46" xr3:uid="{A3DF31A7-D9D3-4A43-8C6E-30D1A4DDE6A4}" name="Media Width" dataDxfId="26" dataCellStyle="Normal"/>
    <tableColumn id="47" xr3:uid="{B5D12800-531A-48E5-B359-CFFD531D6244}" name="Media View Count" dataDxfId="25" dataCellStyle="Normal"/>
    <tableColumn id="48" xr3:uid="{BDCE7BC0-5224-4B72-A2E7-F62F4FABE94F}" name="Tweet Image File" dataDxfId="24" dataCellStyle="Normal"/>
    <tableColumn id="49" xr3:uid="{ED00C9A2-3D29-4324-B8CC-15B649ABD1A8}" name="Imported ID" dataDxfId="23" dataCellStyle="Normal"/>
    <tableColumn id="50" xr3:uid="{2E1E419E-C01B-4921-B072-B898D65C348A}" name="Conversation ID" dataDxfId="22" dataCellStyle="Normal"/>
    <tableColumn id="51" xr3:uid="{4592E675-1A43-4F81-BE85-B1398A231B53}" name="In Reply To User ID" dataDxfId="21" dataCellStyle="Normal"/>
    <tableColumn id="52" xr3:uid="{FCE522C3-B342-4BAD-B4DF-85415F14A62D}" name="In Reply To Tweet ID" dataDxfId="20" dataCellStyle="Normal"/>
    <tableColumn id="53" xr3:uid="{27234B36-C9FA-4130-8F8F-03476E2B399C}" name="Quoted Status ID" dataDxfId="19" dataCellStyle="Normal"/>
    <tableColumn id="54" xr3:uid="{15DB1C3B-AA96-424B-A23D-2040B84E40A3}" name="Retweet ID" dataDxfId="18" dataCellStyle="Normal"/>
    <tableColumn id="55" xr3:uid="{1B7043D1-A25C-4E80-952A-81DF5010A2A0}" name="Unified Twitter ID" dataDxfId="17" dataCellStyle="Normal"/>
    <tableColumn id="56" xr3:uid="{9CB6DDAF-4F3E-4ED7-9603-BB74F381DBE5}" name="Author ID" dataDxfId="16" dataCellStyle="Normal"/>
    <tableColumn id="57" xr3:uid="{D9301746-F86B-43CD-B02F-35CD7D107035}" name="Poll ID" dataDxfId="15" dataCellStyle="Normal"/>
    <tableColumn id="58" xr3:uid="{D6A79A73-ED68-48C5-B524-7FF82086356B}" name="Poll Options" dataDxfId="14" dataCellStyle="Normal"/>
    <tableColumn id="59" xr3:uid="{8D010426-BBC8-4421-874F-725C1124C207}" name="Poll Duration" dataDxfId="13" dataCellStyle="Normal"/>
    <tableColumn id="60" xr3:uid="{75AB134D-8896-4BED-8947-34834EDCB38D}" name="Poll End Date" dataDxfId="12" dataCellStyle="Normal"/>
    <tableColumn id="61" xr3:uid="{D775C984-F7AC-4E3A-AD1B-3D22E83C802E}" name="Poll Voting Status" dataDxfId="11" dataCellStyle="Normal"/>
    <tableColumn id="62" xr3:uid="{104F90B2-40DC-4FBE-9BB1-9E2105796F9D}" name="Edge Weight" dataCellStyle="Normal"/>
    <tableColumn id="63" xr3:uid="{09E4E237-0478-4093-987E-5CC3E9A59CE9}" name="Vertex 1 Group" dataDxfId="10" dataCellStyle="Normal">
      <calculatedColumnFormula>REPLACE(INDEX(GroupVertices[Group], MATCH("~"&amp;Edges27[[#This Row],[Vertex 1]],GroupVertices[Vertex],0)),1,1,"")</calculatedColumnFormula>
    </tableColumn>
    <tableColumn id="64" xr3:uid="{3C0FA292-4C0F-4BE1-AE65-8E851AED257E}" name="Vertex 2 Group" dataDxfId="9" dataCellStyle="Normal">
      <calculatedColumnFormula>REPLACE(INDEX(GroupVertices[Group], MATCH("~"&amp;Edges27[[#This Row],[Vertex 2]],GroupVertices[Vertex],0)),1,1,"")</calculatedColumnFormula>
    </tableColumn>
    <tableColumn id="65" xr3:uid="{38E097E3-79A0-46FE-A0A3-C34CBAE11B9F}" name="Sentiment List #1: List1 Word Count" dataDxfId="8" dataCellStyle="NodeXL Graph Metric"/>
    <tableColumn id="66" xr3:uid="{2D8CC47F-1786-4401-971A-9ECB5F388582}" name="Sentiment List #1: List1 Word Percentage (%)" dataDxfId="7" dataCellStyle="NodeXL Graph Metric"/>
    <tableColumn id="67" xr3:uid="{E96A7590-0804-4460-9C9F-BE59F3D452B4}" name="Sentiment List #2: List2 Word Count" dataDxfId="6" dataCellStyle="NodeXL Graph Metric"/>
    <tableColumn id="68" xr3:uid="{8A38BDDF-BB4B-464C-B999-2F7DFA196AE7}" name="Sentiment List #2: List2 Word Percentage (%)" dataDxfId="5" dataCellStyle="NodeXL Graph Metric"/>
    <tableColumn id="69" xr3:uid="{DB171FF7-6A87-4FBA-88C3-24FDA94596AE}" name="Sentiment List #3: List3 Word Count" dataDxfId="4" dataCellStyle="NodeXL Graph Metric"/>
    <tableColumn id="70" xr3:uid="{3C74EE7C-494A-473E-B3FF-FE3C2A0D429D}" name="Sentiment List #3: List3 Word Percentage (%)" dataDxfId="3" dataCellStyle="NodeXL Graph Metric"/>
    <tableColumn id="71" xr3:uid="{4FA4096C-95E2-42BC-9D84-27A7C2F3AD19}" name="Non-categorized Word Count" dataDxfId="2" dataCellStyle="NodeXL Graph Metric"/>
    <tableColumn id="72" xr3:uid="{0335C644-B20A-43B3-A457-20AA5C4EBDA8}" name="Non-categorized Word Percentage (%)" dataDxfId="1" dataCellStyle="NodeXL Graph Metric"/>
    <tableColumn id="73" xr3:uid="{9537B9B7-5E21-49D3-A3B1-5DC306D0D4BD}" name="Edge Content Word Count" dataDxfId="0" dataCellStyle="NodeXL Graph Metric"/>
  </tableColumns>
  <tableStyleInfo name="NodeXL Table" showFirstColumn="0" showLastColumn="0" showRowStripes="0"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DD3DE6CD-9A0B-4B76-A6AF-49739AC14344}" name="NetworkTopItems_1" displayName="NetworkTopItems_1" ref="A1:V11" totalsRowShown="0" headerRowDxfId="285" dataDxfId="284" dataCellStyle="Normal">
  <autoFilter ref="A1:V11" xr:uid="{F2D5C71D-25DF-4FF0-A03F-EBE7D6CF0109}"/>
  <tableColumns count="22">
    <tableColumn id="1" xr3:uid="{298573D7-B645-4440-BBC7-4B7CBA82B406}" name="Top URLs in Tweet in Entire Graph" dataDxfId="283" dataCellStyle="Normal"/>
    <tableColumn id="2" xr3:uid="{E74A05B0-8540-4697-B00E-944C9C7ED547}" name="Entire Graph Count" dataDxfId="282" dataCellStyle="Normal"/>
    <tableColumn id="3" xr3:uid="{3D4AAABE-8A7E-49B5-92EB-5F6A13A1F566}" name="Top URLs in Tweet in G1" dataDxfId="281" dataCellStyle="Normal"/>
    <tableColumn id="4" xr3:uid="{F12E811F-13F4-43D8-B7AE-973FE5547969}" name="G1 Count" dataDxfId="280" dataCellStyle="Normal"/>
    <tableColumn id="5" xr3:uid="{DA3335A2-5298-4899-990E-9B184C17A9A7}" name="Top URLs in Tweet in G2" dataDxfId="279" dataCellStyle="Normal"/>
    <tableColumn id="6" xr3:uid="{2F2D44AF-B80D-4ACE-A549-812F51909944}" name="G2 Count" dataDxfId="278" dataCellStyle="Normal"/>
    <tableColumn id="7" xr3:uid="{6A40AEAF-1CDF-4408-9187-AA2ACDE483B8}" name="Top URLs in Tweet in G3" dataDxfId="277" dataCellStyle="Normal"/>
    <tableColumn id="8" xr3:uid="{8E18CB6A-6BCB-4D47-B214-E81139A25C2D}" name="G3 Count" dataDxfId="276" dataCellStyle="Normal"/>
    <tableColumn id="9" xr3:uid="{CB3102A5-4BC8-4683-ADC1-E1C88EB78FC4}" name="Top URLs in Tweet in G4" dataDxfId="275" dataCellStyle="Normal"/>
    <tableColumn id="10" xr3:uid="{4B19B19D-FB89-4A59-A1A7-5D1C72BBA61E}" name="G4 Count" dataDxfId="274" dataCellStyle="Normal"/>
    <tableColumn id="11" xr3:uid="{1995514A-88B1-45CB-BD6E-32328EE447D1}" name="Top URLs in Tweet in G5" dataDxfId="273" dataCellStyle="Normal"/>
    <tableColumn id="12" xr3:uid="{C7948009-1566-4DA3-9474-9DC1E35C3B28}" name="G5 Count" dataDxfId="272" dataCellStyle="Normal"/>
    <tableColumn id="13" xr3:uid="{507FE4AB-E6D2-4983-BD92-34AD75312FA1}" name="Top URLs in Tweet in G6" dataDxfId="271" dataCellStyle="Normal"/>
    <tableColumn id="14" xr3:uid="{5AF8B9AF-4F84-45D2-A192-C5AE5F1A32BD}" name="G6 Count" dataDxfId="270" dataCellStyle="Normal"/>
    <tableColumn id="15" xr3:uid="{89E54BDA-AB86-4282-AE4B-8B975F010EAE}" name="Top URLs in Tweet in G7" dataDxfId="269" dataCellStyle="Normal"/>
    <tableColumn id="16" xr3:uid="{640D2818-DC2C-4AB6-AAD9-3E587FFDD427}" name="G7 Count" dataDxfId="268" dataCellStyle="Normal"/>
    <tableColumn id="17" xr3:uid="{CAC31D8F-1018-49A1-ADE9-BE4C23777D5E}" name="Top URLs in Tweet in G8" dataDxfId="267" dataCellStyle="Normal"/>
    <tableColumn id="18" xr3:uid="{C4F1E87E-7A3F-426F-967F-692C71F88E6A}" name="G8 Count" dataDxfId="266" dataCellStyle="Normal"/>
    <tableColumn id="19" xr3:uid="{81734815-0A2F-497C-A02F-E3EC790FC3DD}" name="Top URLs in Tweet in G9" dataDxfId="265" dataCellStyle="Normal"/>
    <tableColumn id="20" xr3:uid="{03A8C87A-E207-425F-B8A1-91A8F1876882}" name="G9 Count" dataDxfId="264" dataCellStyle="Normal"/>
    <tableColumn id="21" xr3:uid="{6AC045F0-1113-4862-8FB9-DEE18F9E45F7}" name="Top URLs in Tweet in G10" dataDxfId="263" dataCellStyle="Normal"/>
    <tableColumn id="22" xr3:uid="{EA3D9D3A-EB76-42F7-B309-60B77D134426}" name="G10 Count" dataDxfId="262" dataCellStyle="Normal"/>
  </tableColumns>
  <tableStyleInfo name="NodeXL Tab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rtices" displayName="Vertices" ref="A2:CI126" totalsRowShown="0" headerRowDxfId="538" dataDxfId="489">
  <autoFilter ref="A2:CI126" xr:uid="{00000000-0009-0000-0100-000002000000}"/>
  <tableColumns count="87">
    <tableColumn id="1" xr3:uid="{00000000-0010-0000-0100-000001000000}" name="Vertex" dataDxfId="502" dataCellStyle="NodeXL Required"/>
    <tableColumn id="2" xr3:uid="{00000000-0010-0000-0100-000002000000}" name="Color" dataDxfId="501" dataCellStyle="NodeXL Visual Property"/>
    <tableColumn id="5" xr3:uid="{00000000-0010-0000-0100-000005000000}" name="Shape" dataDxfId="500" dataCellStyle="NodeXL Visual Property"/>
    <tableColumn id="6" xr3:uid="{00000000-0010-0000-0100-000006000000}" name="Size" dataDxfId="499" dataCellStyle="NodeXL Visual Property"/>
    <tableColumn id="4" xr3:uid="{00000000-0010-0000-0100-000004000000}" name="Opacity" dataDxfId="401" dataCellStyle="NodeXL Visual Property"/>
    <tableColumn id="7" xr3:uid="{00000000-0010-0000-0100-000007000000}" name="Image File" dataDxfId="399" dataCellStyle="NodeXL Visual Property"/>
    <tableColumn id="3" xr3:uid="{00000000-0010-0000-0100-000003000000}" name="Visibility" dataDxfId="400" dataCellStyle="NodeXL Visual Property"/>
    <tableColumn id="10" xr3:uid="{00000000-0010-0000-0100-00000A000000}" name="Label" dataDxfId="498" dataCellStyle="NodeXL Label"/>
    <tableColumn id="16" xr3:uid="{00000000-0010-0000-0100-000010000000}" name="Label Fill Color" dataDxfId="497" dataCellStyle="NodeXL Label"/>
    <tableColumn id="9" xr3:uid="{00000000-0010-0000-0100-000009000000}" name="Label Position" dataDxfId="396" dataCellStyle="NodeXL Label"/>
    <tableColumn id="8" xr3:uid="{00000000-0010-0000-0100-000008000000}" name="Tooltip" dataDxfId="394" dataCellStyle="NodeXL Label"/>
    <tableColumn id="18" xr3:uid="{00000000-0010-0000-0100-000012000000}" name="Layout Order" dataDxfId="395" dataCellStyle="NodeXL Layout"/>
    <tableColumn id="13" xr3:uid="{00000000-0010-0000-0100-00000D000000}" name="X" dataDxfId="496" dataCellStyle="NodeXL Layout"/>
    <tableColumn id="14" xr3:uid="{00000000-0010-0000-0100-00000E000000}" name="Y" dataDxfId="495" dataCellStyle="NodeXL Layout"/>
    <tableColumn id="12" xr3:uid="{00000000-0010-0000-0100-00000C000000}" name="Locked?" dataDxfId="494" dataCellStyle="NodeXL Layout"/>
    <tableColumn id="19" xr3:uid="{00000000-0010-0000-0100-000013000000}" name="Polar R" dataDxfId="493" dataCellStyle="NodeXL Layout"/>
    <tableColumn id="20" xr3:uid="{00000000-0010-0000-0100-000014000000}" name="Polar Angle" dataDxfId="492" dataCellStyle="NodeXL Layout"/>
    <tableColumn id="21" xr3:uid="{00000000-0010-0000-0100-000015000000}" name="Degree" dataDxfId="298" dataCellStyle="NodeXL Graph Metric"/>
    <tableColumn id="22" xr3:uid="{00000000-0010-0000-0100-000016000000}" name="In-Degree" dataDxfId="297" dataCellStyle="NodeXL Graph Metric"/>
    <tableColumn id="23" xr3:uid="{00000000-0010-0000-0100-000017000000}" name="Out-Degree" dataDxfId="295" dataCellStyle="NodeXL Graph Metric"/>
    <tableColumn id="24" xr3:uid="{00000000-0010-0000-0100-000018000000}" name="Betweenness Centrality" dataDxfId="296" dataCellStyle="NodeXL Graph Metric"/>
    <tableColumn id="25" xr3:uid="{00000000-0010-0000-0100-000019000000}" name="Closeness Centrality" dataDxfId="300" dataCellStyle="NodeXL Graph Metric"/>
    <tableColumn id="26" xr3:uid="{00000000-0010-0000-0100-00001A000000}" name="Eigenvector Centrality" dataDxfId="299" dataCellStyle="NodeXL Graph Metric"/>
    <tableColumn id="15" xr3:uid="{00000000-0010-0000-0100-00000F000000}" name="PageRank" dataDxfId="294" dataCellStyle="NodeXL Graph Metric"/>
    <tableColumn id="27" xr3:uid="{00000000-0010-0000-0100-00001B000000}" name="Clustering Coefficient" dataDxfId="292" dataCellStyle="NodeXL Graph Metric"/>
    <tableColumn id="29" xr3:uid="{00000000-0010-0000-0100-00001D000000}" name="Reciprocated Vertex Pair Ratio" dataDxfId="293" dataCellStyle="NodeXL Graph Metric"/>
    <tableColumn id="11" xr3:uid="{00000000-0010-0000-0100-00000B000000}" name="ID" dataDxfId="491" dataCellStyle="NodeXL Do Not Edit"/>
    <tableColumn id="28" xr3:uid="{00000000-0010-0000-0100-00001C000000}" name="Dynamic Filter" dataDxfId="490" dataCellStyle="NodeXL Do Not Edit"/>
    <tableColumn id="17" xr3:uid="{00000000-0010-0000-0100-000011000000}" name="Add Your Own Columns Here" dataDxfId="437" dataCellStyle="NodeXL Other Column"/>
    <tableColumn id="30" xr3:uid="{DE72E8E7-FCA8-4B5F-A1B1-AEF275780F32}" name="Name" dataDxfId="436" dataCellStyle="Normal"/>
    <tableColumn id="31" xr3:uid="{0630A222-7851-4C04-B6F7-B0631B8CF40A}" name="User ID" dataDxfId="435" dataCellStyle="Normal"/>
    <tableColumn id="32" xr3:uid="{B45E8593-1BA9-408B-A2A9-2BBE52C241D7}" name="Followers" dataDxfId="434" dataCellStyle="Normal"/>
    <tableColumn id="33" xr3:uid="{AEA79130-29C9-4708-A938-A1EB7AC31D9A}" name="Followed" dataDxfId="433" dataCellStyle="Normal"/>
    <tableColumn id="34" xr3:uid="{99A6BF6C-173B-4740-BB08-7F9633E9DE93}" name="Tweets" dataDxfId="432" dataCellStyle="Normal"/>
    <tableColumn id="35" xr3:uid="{F42964C6-561A-4B75-BD09-B9BE76297B79}" name="Listed Count" dataDxfId="431" dataCellStyle="Normal"/>
    <tableColumn id="36" xr3:uid="{ACEC845F-FB61-4F30-BC4D-6674C3D4F6BC}" name="Favourites Count" dataDxfId="430" dataCellStyle="Normal"/>
    <tableColumn id="37" xr3:uid="{F6E757F3-EE91-4797-A624-8AA74D0EFE1B}" name="Media Count" dataDxfId="429" dataCellStyle="Normal"/>
    <tableColumn id="38" xr3:uid="{878D8F27-1DA5-4D67-8355-8FC07874DF5F}" name="Verified" dataDxfId="428" dataCellStyle="Normal"/>
    <tableColumn id="39" xr3:uid="{6C11DBE6-773B-4C71-9206-21BBC8EB7AAF}" name="Joined Twitter Date (UTC)" dataDxfId="427" dataCellStyle="Normal"/>
    <tableColumn id="40" xr3:uid="{E5781CED-1FBB-4FBF-9228-3306E7442E6D}" name="Location" dataDxfId="426" dataCellStyle="Normal"/>
    <tableColumn id="41" xr3:uid="{C05BA266-780F-4A59-82AA-43115EE689BD}" name="Description" dataDxfId="425" dataCellStyle="Normal"/>
    <tableColumn id="42" xr3:uid="{53186812-AC91-4F6B-8AED-A3073716D47E}" name="URLs (Details)" dataDxfId="424" dataCellStyle="Normal"/>
    <tableColumn id="43" xr3:uid="{8657301D-CAC1-42EF-AE8E-B524CED698FD}" name="Expanded URLs (Details)" dataDxfId="423" dataCellStyle="Normal"/>
    <tableColumn id="44" xr3:uid="{1DD6574C-BBFB-4656-8768-ECCD34A86E4A}" name="Display URLs (Details)" dataDxfId="422" dataCellStyle="Normal"/>
    <tableColumn id="45" xr3:uid="{F03CA33E-19D0-4081-B150-2337FC41E829}" name="Description URLs (Details)" dataDxfId="421" dataCellStyle="Normal"/>
    <tableColumn id="46" xr3:uid="{E37A9821-D7D4-44DB-B195-5EA1C2129D79}" name="Description Expanded URLs (Details)" dataDxfId="420" dataCellStyle="Normal"/>
    <tableColumn id="47" xr3:uid="{EC1DD3FF-8DA1-40C9-90DB-CCC0083A5798}" name="Description Display URLS (Details)" dataDxfId="419" dataCellStyle="Normal"/>
    <tableColumn id="48" xr3:uid="{275A48D6-2B20-4368-8488-781E0C61C15D}" name="Pinned Tweet ID" dataDxfId="418" dataCellStyle="Normal"/>
    <tableColumn id="49" xr3:uid="{DB4E3167-4F13-438A-B03D-D730685D8D7A}" name="URL" dataDxfId="417" dataCellStyle="Normal"/>
    <tableColumn id="50" xr3:uid="{D305E910-D7B5-44DB-ADF4-6DAA5D9FDEA0}" name="Is Blue Verified" dataDxfId="416" dataCellStyle="Normal"/>
    <tableColumn id="51" xr3:uid="{ED5EAAD1-4405-45E9-ADEC-660FFC05897F}" name="You Are Followed By" dataDxfId="415" dataCellStyle="Normal"/>
    <tableColumn id="52" xr3:uid="{07A8FF44-565B-4C99-AA68-C7B39F818DDC}" name="You Are Following" dataDxfId="414" dataCellStyle="Normal"/>
    <tableColumn id="53" xr3:uid="{A81CC94B-DB88-4516-BA12-3EA449BC0C0D}" name="Can DM" dataDxfId="413" dataCellStyle="Normal"/>
    <tableColumn id="54" xr3:uid="{D7C15369-1035-4864-A2EC-AA8F13D2268D}" name="Can Media Tag" dataDxfId="412" dataCellStyle="Normal"/>
    <tableColumn id="55" xr3:uid="{42EE1258-BA76-49DF-AA32-8F4558C039A6}" name="Default Profile" dataDxfId="411" dataCellStyle="Normal"/>
    <tableColumn id="56" xr3:uid="{2BA02F67-C56C-4B97-BB45-AE6962E72905}" name="Default Profile Image" dataDxfId="410" dataCellStyle="Normal"/>
    <tableColumn id="57" xr3:uid="{31AAA9E5-0EDA-4E85-995A-4476A6BC9AF2}" name="Has Custom Timelines" dataDxfId="409" dataCellStyle="Normal"/>
    <tableColumn id="58" xr3:uid="{DAA1D614-3B85-4F1E-955D-D2C492F0CA94}" name="Is Translator" dataDxfId="408" dataCellStyle="Normal"/>
    <tableColumn id="59" xr3:uid="{79261973-0AB8-4C0D-9990-7D1BEF17CCDE}" name="Possibly Sensitive" dataDxfId="407" dataCellStyle="Normal"/>
    <tableColumn id="60" xr3:uid="{5620067B-0DFD-4BC0-9EDB-6302A0E840EF}" name="Profile Banner URL" dataDxfId="406" dataCellStyle="Normal"/>
    <tableColumn id="61" xr3:uid="{F93EE16E-0FA1-4AD9-BE9B-8F69AE011198}" name="Profile Interstitial Type" dataDxfId="405" dataCellStyle="Normal"/>
    <tableColumn id="62" xr3:uid="{01150A51-F5BA-481E-8025-9DD4958BD965}" name="Translator Type" dataDxfId="404" dataCellStyle="Normal"/>
    <tableColumn id="63" xr3:uid="{F9032AD0-5C1B-45A0-A6D4-19E45154E4D8}" name="Want Retweets" dataDxfId="403" dataCellStyle="Normal"/>
    <tableColumn id="64" xr3:uid="{9F00FF71-9916-4524-AA44-A8C81C08AA1C}" name="Withheld" dataDxfId="402" dataCellStyle="Normal"/>
    <tableColumn id="65" xr3:uid="{6EDFFB29-DADC-48D8-8FCF-FA7590746471}" name="Tweeted Search Term?" dataDxfId="398" dataCellStyle="Normal"/>
    <tableColumn id="66" xr3:uid="{3B300814-9BC6-438A-9321-B6B257F98937}" name="Custom Menu Item Text" dataDxfId="397" dataCellStyle="Normal"/>
    <tableColumn id="67" xr3:uid="{580D6BD5-A1AA-4147-A796-5E733810E75F}" name="Custom Menu Item Action" dataDxfId="386" dataCellStyle="Normal"/>
    <tableColumn id="68" xr3:uid="{208166BC-C9FD-413B-AF02-A06A0628EB39}" name="Vertex Group" dataDxfId="336" dataCellStyle="Normal">
      <calculatedColumnFormula>REPLACE(INDEX(GroupVertices[Group], MATCH("~"&amp;Vertices[[#This Row],[Vertex]],GroupVertices[Vertex],0)),1,1,"")</calculatedColumnFormula>
    </tableColumn>
    <tableColumn id="69" xr3:uid="{A219AC6D-54E6-46D2-99E3-A8C4628CD1F8}" name="Sentiment List #1: List1 Word Count" dataDxfId="335" dataCellStyle="NodeXL Graph Metric"/>
    <tableColumn id="70" xr3:uid="{C3259CB7-E592-4C51-83C1-CAE11671915E}" name="Sentiment List #1: List1 Word Percentage (%)" dataDxfId="334" dataCellStyle="NodeXL Graph Metric"/>
    <tableColumn id="71" xr3:uid="{7A46AFD3-EC1C-4198-AAA9-7F98EE3906AD}" name="Sentiment List #2: List2 Word Count" dataDxfId="333" dataCellStyle="NodeXL Graph Metric"/>
    <tableColumn id="72" xr3:uid="{63945B30-684E-45AE-A089-C9EFF624321D}" name="Sentiment List #2: List2 Word Percentage (%)" dataDxfId="332" dataCellStyle="NodeXL Graph Metric"/>
    <tableColumn id="73" xr3:uid="{D248A57E-38DE-4462-BCCF-D3E23ED8E17C}" name="Sentiment List #3: List3 Word Count" dataDxfId="331" dataCellStyle="NodeXL Graph Metric"/>
    <tableColumn id="74" xr3:uid="{334EB93C-EA12-43F6-AE06-BC941FCE43DD}" name="Sentiment List #3: List3 Word Percentage (%)" dataDxfId="330" dataCellStyle="NodeXL Graph Metric"/>
    <tableColumn id="75" xr3:uid="{6C47C4BE-B65A-46B0-B805-AF2192BD54A8}" name="Non-categorized Word Count" dataDxfId="329" dataCellStyle="NodeXL Graph Metric"/>
    <tableColumn id="76" xr3:uid="{DBB15107-98E9-42C6-80A0-4EAC5F90C7BE}" name="Non-categorized Word Percentage (%)" dataDxfId="328" dataCellStyle="NodeXL Graph Metric"/>
    <tableColumn id="77" xr3:uid="{7911FCD6-6930-4E20-A6C2-12AF82366EC6}" name="Vertex Content Word Count" dataDxfId="84" dataCellStyle="NodeXL Graph Metric"/>
    <tableColumn id="78" xr3:uid="{913A9C72-965B-4B1C-83C4-A9AAB80C4894}" name="URLs in Tweet by Count" dataDxfId="83" dataCellStyle="NodeXL Graph Metric"/>
    <tableColumn id="79" xr3:uid="{C8975A37-4A8A-43FC-82F4-98839B14F8FA}" name="URLs in Tweet by Salience" dataDxfId="82" dataCellStyle="NodeXL Graph Metric"/>
    <tableColumn id="80" xr3:uid="{823B369A-6567-43F5-92D8-F62EE970111D}" name="Domains in Tweet by Count" dataDxfId="81" dataCellStyle="NodeXL Graph Metric"/>
    <tableColumn id="81" xr3:uid="{9B076DC1-A998-4F43-9A2B-5F80C64A80D6}" name="Domains in Tweet by Salience" dataDxfId="80" dataCellStyle="NodeXL Graph Metric"/>
    <tableColumn id="82" xr3:uid="{EA5D2661-C9B4-48F7-B9EA-246C05E50C0A}" name="Hashtags in Tweet by Count" dataDxfId="79" dataCellStyle="NodeXL Graph Metric"/>
    <tableColumn id="83" xr3:uid="{9E4B2DC9-7D05-4CA9-8078-1AE1E76859B1}" name="Hashtags in Tweet by Salience" dataDxfId="78" dataCellStyle="NodeXL Graph Metric"/>
    <tableColumn id="84" xr3:uid="{9986E28E-4C64-413C-BA7A-9F7BF69C75F2}" name="Top Words in Tweet by Count" dataDxfId="77" dataCellStyle="NodeXL Graph Metric"/>
    <tableColumn id="85" xr3:uid="{DD8BC3FC-7C97-4F4D-8085-F20877C62ED4}" name="Top Words in Tweet by Salience" dataDxfId="76" dataCellStyle="NodeXL Graph Metric"/>
    <tableColumn id="86" xr3:uid="{37DF8838-E172-41A5-9220-9C5F96D1C3F7}" name="Top Word Pairs in Tweet by Count" dataDxfId="75" dataCellStyle="NodeXL Graph Metric"/>
    <tableColumn id="87" xr3:uid="{A03BAD2A-3FDB-4914-A751-74962A5E6356}" name="Top Word Pairs in Tweet by Salience" dataDxfId="74" dataCellStyle="NodeXL Graph Metric"/>
  </tableColumns>
  <tableStyleInfo name="NodeXL Table" showFirstColumn="0" showLastColumn="0" showRowStripes="0"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3A56CF0F-1947-4434-A05C-C741C6134A06}" name="NetworkTopItems_2" displayName="NetworkTopItems_2" ref="A14:V24" totalsRowShown="0" headerRowDxfId="260" dataDxfId="259" dataCellStyle="Normal">
  <autoFilter ref="A14:V24" xr:uid="{26A68B10-2080-4185-BEC8-B852285DF85F}"/>
  <tableColumns count="22">
    <tableColumn id="1" xr3:uid="{715D6296-B0A0-442D-8321-30BE0B0FFD8E}" name="Top Domains in Tweet in Entire Graph" dataDxfId="258" dataCellStyle="Normal"/>
    <tableColumn id="2" xr3:uid="{C016DB6D-C287-4F1E-B376-A1398E95A031}" name="Entire Graph Count" dataDxfId="257" dataCellStyle="Normal"/>
    <tableColumn id="3" xr3:uid="{D8FFE082-FE59-4B3C-9180-7573C412E2CE}" name="Top Domains in Tweet in G1" dataDxfId="256" dataCellStyle="Normal"/>
    <tableColumn id="4" xr3:uid="{49CDD412-E409-4B6B-9E79-DCF062A984EA}" name="G1 Count" dataDxfId="255" dataCellStyle="Normal"/>
    <tableColumn id="5" xr3:uid="{1C29B86C-F7E8-4C65-9113-4A7F4CFCA1B7}" name="Top Domains in Tweet in G2" dataDxfId="254" dataCellStyle="Normal"/>
    <tableColumn id="6" xr3:uid="{D2DC0674-08FA-4DB5-8320-5931762CBF01}" name="G2 Count" dataDxfId="253" dataCellStyle="Normal"/>
    <tableColumn id="7" xr3:uid="{CE81D131-68F4-4B07-ABED-63C4433FE076}" name="Top Domains in Tweet in G3" dataDxfId="252" dataCellStyle="Normal"/>
    <tableColumn id="8" xr3:uid="{55038D93-6270-491D-BD46-FFDBDA06C85A}" name="G3 Count" dataDxfId="251" dataCellStyle="Normal"/>
    <tableColumn id="9" xr3:uid="{C3A4C692-7A84-482E-9D3F-9886C47EAADF}" name="Top Domains in Tweet in G4" dataDxfId="250" dataCellStyle="Normal"/>
    <tableColumn id="10" xr3:uid="{C29E6F0A-9D67-40EA-88B7-CC77E0171AC7}" name="G4 Count" dataDxfId="249" dataCellStyle="Normal"/>
    <tableColumn id="11" xr3:uid="{297B0F5B-D4F1-4C29-A2CD-23FEC16EC5D0}" name="Top Domains in Tweet in G5" dataDxfId="248" dataCellStyle="Normal"/>
    <tableColumn id="12" xr3:uid="{4C0CBAFC-D9A3-4DA6-B0CA-518478A244E6}" name="G5 Count" dataDxfId="247" dataCellStyle="Normal"/>
    <tableColumn id="13" xr3:uid="{B67884DE-1899-441B-8AC1-FA0517B1A688}" name="Top Domains in Tweet in G6" dataDxfId="246" dataCellStyle="Normal"/>
    <tableColumn id="14" xr3:uid="{ABC6701F-DA5F-41F0-8B9E-3A7334F4E8B5}" name="G6 Count" dataDxfId="245" dataCellStyle="Normal"/>
    <tableColumn id="15" xr3:uid="{FEF3EB21-147E-4460-9A46-910F728C69E1}" name="Top Domains in Tweet in G7" dataDxfId="244" dataCellStyle="Normal"/>
    <tableColumn id="16" xr3:uid="{0197F235-ED14-484D-8536-0DBE5C61217A}" name="G7 Count" dataDxfId="243" dataCellStyle="Normal"/>
    <tableColumn id="17" xr3:uid="{8221B501-0365-475F-BD16-A2AD93138C2D}" name="Top Domains in Tweet in G8" dataDxfId="242" dataCellStyle="Normal"/>
    <tableColumn id="18" xr3:uid="{F5BBB115-59E7-4732-9931-2E97CC03467D}" name="G8 Count" dataDxfId="241" dataCellStyle="Normal"/>
    <tableColumn id="19" xr3:uid="{F716599E-78A1-48C1-B3A5-7F60C27F50CF}" name="Top Domains in Tweet in G9" dataDxfId="240" dataCellStyle="Normal"/>
    <tableColumn id="20" xr3:uid="{A8FE0A15-5894-45E1-94C4-2AFF78710786}" name="G9 Count" dataDxfId="239" dataCellStyle="Normal"/>
    <tableColumn id="21" xr3:uid="{C8732AFE-084D-4273-BB1D-B8F6B19D1BE5}" name="Top Domains in Tweet in G10" dataDxfId="238" dataCellStyle="Normal"/>
    <tableColumn id="22" xr3:uid="{A685BA57-B1A0-433F-AFD7-6D7835527DD4}" name="G10 Count" dataDxfId="237" dataCellStyle="Normal"/>
  </tableColumns>
  <tableStyleInfo name="NodeXL Table"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DCF34AD3-0E2A-4BC9-85C5-7C398511D924}" name="NetworkTopItems_3" displayName="NetworkTopItems_3" ref="A27:V37" totalsRowShown="0" headerRowDxfId="235" dataDxfId="234" dataCellStyle="Normal">
  <autoFilter ref="A27:V37" xr:uid="{14C8D52B-4B8D-4F03-A8C1-5A1F495268D5}"/>
  <tableColumns count="22">
    <tableColumn id="1" xr3:uid="{138D963B-9871-4DA4-9C49-8524C55F5BD5}" name="Top Hashtags in Tweet in Entire Graph" dataDxfId="233" dataCellStyle="Normal"/>
    <tableColumn id="2" xr3:uid="{02C11914-3704-4302-AFDE-9ED16CA63BD7}" name="Entire Graph Count" dataDxfId="232" dataCellStyle="Normal"/>
    <tableColumn id="3" xr3:uid="{8D0E28ED-5CF3-44F4-A689-4AB5BAF818BF}" name="Top Hashtags in Tweet in G1" dataDxfId="231" dataCellStyle="Normal"/>
    <tableColumn id="4" xr3:uid="{B6AA04B8-A905-4F0A-BA62-240E7AAC42B7}" name="G1 Count" dataDxfId="230" dataCellStyle="Normal"/>
    <tableColumn id="5" xr3:uid="{C48D4120-933F-4382-95F0-235F8F1CFBD6}" name="Top Hashtags in Tweet in G2" dataDxfId="229" dataCellStyle="Normal"/>
    <tableColumn id="6" xr3:uid="{2BC117FC-6F14-4B14-A8EA-46C7CE12207E}" name="G2 Count" dataDxfId="228" dataCellStyle="Normal"/>
    <tableColumn id="7" xr3:uid="{DEFA9BDA-5DCD-4250-995A-D20C28E94683}" name="Top Hashtags in Tweet in G3" dataDxfId="227" dataCellStyle="Normal"/>
    <tableColumn id="8" xr3:uid="{0045CB38-1333-4614-8B68-D653C2A4588A}" name="G3 Count" dataDxfId="226" dataCellStyle="Normal"/>
    <tableColumn id="9" xr3:uid="{7658AAD7-23F6-4CC0-B222-87DD2EF1B91F}" name="Top Hashtags in Tweet in G4" dataDxfId="225" dataCellStyle="Normal"/>
    <tableColumn id="10" xr3:uid="{1AC5DAF1-EDA9-43D5-B04D-A206202B727C}" name="G4 Count" dataDxfId="224" dataCellStyle="Normal"/>
    <tableColumn id="11" xr3:uid="{E60237F8-0E34-4732-A82B-4FA4471BA388}" name="Top Hashtags in Tweet in G5" dataDxfId="223" dataCellStyle="Normal"/>
    <tableColumn id="12" xr3:uid="{DAF7F9DA-D72E-4A51-B077-8221D3A729C5}" name="G5 Count" dataDxfId="222" dataCellStyle="Normal"/>
    <tableColumn id="13" xr3:uid="{A2A4880B-D93B-424F-90E9-FCE31AFC7E98}" name="Top Hashtags in Tweet in G6" dataDxfId="221" dataCellStyle="Normal"/>
    <tableColumn id="14" xr3:uid="{D38FF50E-B1D8-4864-85E5-2492789B3288}" name="G6 Count" dataDxfId="220" dataCellStyle="Normal"/>
    <tableColumn id="15" xr3:uid="{CBB35BAF-83D8-4CE1-963D-9DE9FA68E40D}" name="Top Hashtags in Tweet in G7" dataDxfId="219" dataCellStyle="Normal"/>
    <tableColumn id="16" xr3:uid="{58B3BA5E-DA85-4149-B27D-0858EB279E2D}" name="G7 Count" dataDxfId="218" dataCellStyle="Normal"/>
    <tableColumn id="17" xr3:uid="{7CC0CA42-4AB0-4E01-AB01-B423F0C89075}" name="Top Hashtags in Tweet in G8" dataDxfId="217" dataCellStyle="Normal"/>
    <tableColumn id="18" xr3:uid="{A35C0881-4183-46A2-BAC8-4AA0E2EC605A}" name="G8 Count" dataDxfId="216" dataCellStyle="Normal"/>
    <tableColumn id="19" xr3:uid="{09CBE7DE-958A-40AE-9299-C17842561BD3}" name="Top Hashtags in Tweet in G9" dataDxfId="215" dataCellStyle="Normal"/>
    <tableColumn id="20" xr3:uid="{92BE1396-0DCC-416F-BD65-B47F5331CD19}" name="G9 Count" dataDxfId="214" dataCellStyle="Normal"/>
    <tableColumn id="21" xr3:uid="{3E1021B3-5A50-4B3E-BFCE-AAF12B9E60FF}" name="Top Hashtags in Tweet in G10" dataDxfId="213" dataCellStyle="Normal"/>
    <tableColumn id="22" xr3:uid="{C00E2ACB-E32B-474C-AB6C-DC31947CC1EF}" name="G10 Count" dataDxfId="212" dataCellStyle="Normal"/>
  </tableColumns>
  <tableStyleInfo name="NodeXL Table"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7847BB0-9A6A-47B0-90EF-C0C516D5C5B6}" name="NetworkTopItems_4" displayName="NetworkTopItems_4" ref="A40:V50" totalsRowShown="0" headerRowDxfId="210" dataDxfId="209" dataCellStyle="Normal">
  <autoFilter ref="A40:V50" xr:uid="{618B0CEA-7AC6-44CA-9F44-C1EEC6B4B99B}"/>
  <tableColumns count="22">
    <tableColumn id="1" xr3:uid="{87DA9EC5-CB8C-4D51-A3E0-80CA0B903DB7}" name="Top Words in Tweet in Entire Graph" dataDxfId="208" dataCellStyle="Normal"/>
    <tableColumn id="2" xr3:uid="{B0811A58-7765-4B57-A0CF-DF6A329F7629}" name="Entire Graph Count" dataDxfId="207" dataCellStyle="Normal"/>
    <tableColumn id="3" xr3:uid="{EDDF4920-1E85-4463-8C42-64349DD67C22}" name="Top Words in Tweet in G1" dataDxfId="206" dataCellStyle="Normal"/>
    <tableColumn id="4" xr3:uid="{B270EEDF-2E06-4823-8599-8E5C2149CC61}" name="G1 Count" dataDxfId="205" dataCellStyle="Normal"/>
    <tableColumn id="5" xr3:uid="{45FCBF45-ACEE-419C-911F-7B338322F854}" name="Top Words in Tweet in G2" dataDxfId="204" dataCellStyle="Normal"/>
    <tableColumn id="6" xr3:uid="{88AEFEA0-C3E7-45F8-966E-03742219CD81}" name="G2 Count" dataDxfId="203" dataCellStyle="Normal"/>
    <tableColumn id="7" xr3:uid="{6FAE6720-5A81-42E1-BB60-E24A02A347C0}" name="Top Words in Tweet in G3" dataDxfId="202" dataCellStyle="Normal"/>
    <tableColumn id="8" xr3:uid="{E7B914D6-1C1D-46C9-A266-D535D96A4E7D}" name="G3 Count" dataDxfId="201" dataCellStyle="Normal"/>
    <tableColumn id="9" xr3:uid="{FD2F779C-E138-4485-9375-FEE3024AAA1C}" name="Top Words in Tweet in G4" dataDxfId="200" dataCellStyle="Normal"/>
    <tableColumn id="10" xr3:uid="{F04BA489-FEF5-4D75-A04F-974601717D91}" name="G4 Count" dataDxfId="199" dataCellStyle="Normal"/>
    <tableColumn id="11" xr3:uid="{A4683E8B-DBBD-4EFC-A3DA-6EBE575689B6}" name="Top Words in Tweet in G5" dataDxfId="198" dataCellStyle="Normal"/>
    <tableColumn id="12" xr3:uid="{53406C3F-2158-4C1B-8B01-684FFCA85359}" name="G5 Count" dataDxfId="197" dataCellStyle="Normal"/>
    <tableColumn id="13" xr3:uid="{B6D487B3-965A-4BE5-B26A-71285FEF2FF8}" name="Top Words in Tweet in G6" dataDxfId="196" dataCellStyle="Normal"/>
    <tableColumn id="14" xr3:uid="{BCC4C69D-EDBC-4C56-8797-07BBADB176DE}" name="G6 Count" dataDxfId="195" dataCellStyle="Normal"/>
    <tableColumn id="15" xr3:uid="{D17B3C41-4378-450C-9E31-F94282D00383}" name="Top Words in Tweet in G7" dataDxfId="194" dataCellStyle="Normal"/>
    <tableColumn id="16" xr3:uid="{0CB2177B-BF11-4C84-97D9-2CAD58EF7AF3}" name="G7 Count" dataDxfId="193" dataCellStyle="Normal"/>
    <tableColumn id="17" xr3:uid="{DD730194-78B6-437C-A160-B357A7BA92B5}" name="Top Words in Tweet in G8" dataDxfId="192" dataCellStyle="Normal"/>
    <tableColumn id="18" xr3:uid="{72D59503-FD97-454B-A13F-194F4A0BA271}" name="G8 Count" dataDxfId="191" dataCellStyle="Normal"/>
    <tableColumn id="19" xr3:uid="{938275C0-8A1D-433E-A611-3C8A7151D1AF}" name="Top Words in Tweet in G9" dataDxfId="190" dataCellStyle="Normal"/>
    <tableColumn id="20" xr3:uid="{41E1D227-171B-40C1-9F56-C29F8C95F628}" name="G9 Count" dataDxfId="189" dataCellStyle="Normal"/>
    <tableColumn id="21" xr3:uid="{EADE6616-E56F-43DA-B479-7E788F5A0769}" name="Top Words in Tweet in G10" dataDxfId="188" dataCellStyle="Normal"/>
    <tableColumn id="22" xr3:uid="{EC3A1D8F-366F-4E96-BDE0-E8CA3BE9DD6C}" name="G10 Count" dataDxfId="187" dataCellStyle="Normal"/>
  </tableColumns>
  <tableStyleInfo name="NodeXL Table"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C8A0AD68-C290-4B3A-A5B4-BC7B2C87441B}" name="NetworkTopItems_5" displayName="NetworkTopItems_5" ref="A53:V63" totalsRowShown="0" headerRowDxfId="185" dataDxfId="184" dataCellStyle="Normal">
  <autoFilter ref="A53:V63" xr:uid="{B8FA73CA-08CC-42CD-8D8C-302097FCFF0C}"/>
  <tableColumns count="22">
    <tableColumn id="1" xr3:uid="{8A7A1577-FA85-41EE-A54C-C7ABE5E6F202}" name="Top Word Pairs in Tweet in Entire Graph" dataDxfId="183" dataCellStyle="Normal"/>
    <tableColumn id="2" xr3:uid="{23328759-80A3-4F50-9758-5D7A7CCD6EE2}" name="Entire Graph Count" dataDxfId="182" dataCellStyle="Normal"/>
    <tableColumn id="3" xr3:uid="{6D7E13B7-A8E3-491F-8E35-0BE21E5A41E1}" name="Top Word Pairs in Tweet in G1" dataDxfId="181" dataCellStyle="Normal"/>
    <tableColumn id="4" xr3:uid="{6F072E1A-E00D-4A24-A6AB-B24EE2C21F8D}" name="G1 Count" dataDxfId="180" dataCellStyle="Normal"/>
    <tableColumn id="5" xr3:uid="{66028404-CA00-4BF5-B6E1-A7FD5B1C5810}" name="Top Word Pairs in Tweet in G2" dataDxfId="179" dataCellStyle="Normal"/>
    <tableColumn id="6" xr3:uid="{4C543757-1D25-4C53-9015-5EF7B6557EA0}" name="G2 Count" dataDxfId="178" dataCellStyle="Normal"/>
    <tableColumn id="7" xr3:uid="{FBFA3AC4-6688-4CBB-BF9A-DDF9DEC03AA2}" name="Top Word Pairs in Tweet in G3" dataDxfId="177" dataCellStyle="Normal"/>
    <tableColumn id="8" xr3:uid="{5BCB7D27-B519-4A80-9E14-496A75C65985}" name="G3 Count" dataDxfId="176" dataCellStyle="Normal"/>
    <tableColumn id="9" xr3:uid="{6C23519A-D90B-4149-BBB0-03652CFA0DE3}" name="Top Word Pairs in Tweet in G4" dataDxfId="175" dataCellStyle="Normal"/>
    <tableColumn id="10" xr3:uid="{6EF1895D-58C8-4EAF-8CAE-BB05D2AB3241}" name="G4 Count" dataDxfId="174" dataCellStyle="Normal"/>
    <tableColumn id="11" xr3:uid="{670F2D08-1DE6-4076-8C66-E58F91BFCF9C}" name="Top Word Pairs in Tweet in G5" dataDxfId="173" dataCellStyle="Normal"/>
    <tableColumn id="12" xr3:uid="{867AEA07-EB50-4532-A1C1-F98C35310B29}" name="G5 Count" dataDxfId="172" dataCellStyle="Normal"/>
    <tableColumn id="13" xr3:uid="{3738515B-5357-4C3A-8D6D-4D576C59D847}" name="Top Word Pairs in Tweet in G6" dataDxfId="171" dataCellStyle="Normal"/>
    <tableColumn id="14" xr3:uid="{1A4D3997-E4B7-4611-93D5-DC1B8AC52F6E}" name="G6 Count" dataDxfId="170" dataCellStyle="Normal"/>
    <tableColumn id="15" xr3:uid="{F671572F-C8F9-409A-BBBA-EB1EDBC5AB1E}" name="Top Word Pairs in Tweet in G7" dataDxfId="169" dataCellStyle="Normal"/>
    <tableColumn id="16" xr3:uid="{7DDC3F59-8215-4ED3-8A08-242F55E0E313}" name="G7 Count" dataDxfId="168" dataCellStyle="Normal"/>
    <tableColumn id="17" xr3:uid="{4938D9E9-7A38-4B57-B305-94884E40B734}" name="Top Word Pairs in Tweet in G8" dataDxfId="167" dataCellStyle="Normal"/>
    <tableColumn id="18" xr3:uid="{9A5EB364-EB91-45F0-96B6-20ADB09093A6}" name="G8 Count" dataDxfId="166" dataCellStyle="Normal"/>
    <tableColumn id="19" xr3:uid="{57AE1E70-07F9-4053-8783-E80BDAAE63BD}" name="Top Word Pairs in Tweet in G9" dataDxfId="165" dataCellStyle="Normal"/>
    <tableColumn id="20" xr3:uid="{8C5EBA30-DF34-4854-9AF0-6C09CD72CCBC}" name="G9 Count" dataDxfId="164" dataCellStyle="Normal"/>
    <tableColumn id="21" xr3:uid="{0F4EA218-BF10-4292-BF50-0B33ED0A46C1}" name="Top Word Pairs in Tweet in G10" dataDxfId="163" dataCellStyle="Normal"/>
    <tableColumn id="22" xr3:uid="{12B408F6-85E0-4ED8-A7D4-B665B499F70F}" name="G10 Count" dataDxfId="162" dataCellStyle="Normal"/>
  </tableColumns>
  <tableStyleInfo name="NodeXL Table"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B14FE161-B0D5-4D32-828E-35ECA810D99D}" name="NetworkTopItems_6" displayName="NetworkTopItems_6" ref="A66:V70" totalsRowShown="0" headerRowDxfId="160" dataDxfId="159" dataCellStyle="Normal">
  <autoFilter ref="A66:V70" xr:uid="{C233CD8A-96FE-4539-9C47-8F4E91933AD5}"/>
  <tableColumns count="22">
    <tableColumn id="1" xr3:uid="{0BB7FF7B-AC2A-4326-9A4F-3CF893A45840}" name="Top Replied-To in Entire Graph" dataDxfId="158" dataCellStyle="Normal"/>
    <tableColumn id="2" xr3:uid="{11938887-C386-46E0-8FA5-EF02BCC37504}" name="Entire Graph Count" dataDxfId="154" dataCellStyle="Normal"/>
    <tableColumn id="3" xr3:uid="{4C1233FB-DF2E-4EA6-B198-8A8C01615E72}" name="Top Replied-To in G1" dataDxfId="153" dataCellStyle="Normal"/>
    <tableColumn id="4" xr3:uid="{E12D3E11-7ABD-43E5-AF67-6041A0B4324D}" name="G1 Count" dataDxfId="150" dataCellStyle="Normal"/>
    <tableColumn id="5" xr3:uid="{45E0EED8-3A3E-45B0-AB30-CDBAFDABB2CA}" name="Top Replied-To in G2" dataDxfId="149" dataCellStyle="Normal"/>
    <tableColumn id="6" xr3:uid="{C28C8162-0800-404C-AE4A-123A1B8F1C85}" name="G2 Count" dataDxfId="146" dataCellStyle="Normal"/>
    <tableColumn id="7" xr3:uid="{5390C882-96C0-48EF-8BDD-EDD7E1FE833D}" name="Top Replied-To in G3" dataDxfId="145" dataCellStyle="Normal"/>
    <tableColumn id="8" xr3:uid="{36338C46-7C4E-497B-94BC-40EE99D653C5}" name="G3 Count" dataDxfId="142" dataCellStyle="Normal"/>
    <tableColumn id="9" xr3:uid="{8E2B2097-01F7-41A1-9F40-E27E2E1C8253}" name="Top Replied-To in G4" dataDxfId="141" dataCellStyle="Normal"/>
    <tableColumn id="10" xr3:uid="{D3233BB8-6BFE-4E39-A1C9-A7C4448D9EC4}" name="G4 Count" dataDxfId="138" dataCellStyle="Normal"/>
    <tableColumn id="11" xr3:uid="{C9B65C18-255D-4278-AE71-5D06F31B0DC8}" name="Top Replied-To in G5" dataDxfId="137" dataCellStyle="Normal"/>
    <tableColumn id="12" xr3:uid="{D445BB62-2840-4E10-AB0B-7D3ED9E1276B}" name="G5 Count" dataDxfId="134" dataCellStyle="Normal"/>
    <tableColumn id="13" xr3:uid="{6DD18E0B-40E7-489D-86A2-B9BBADC29C17}" name="Top Replied-To in G6" dataDxfId="133" dataCellStyle="Normal"/>
    <tableColumn id="14" xr3:uid="{B067791C-A371-4338-825E-760F9A56B4CD}" name="G6 Count" dataDxfId="130" dataCellStyle="Normal"/>
    <tableColumn id="15" xr3:uid="{9FF3C4E3-7203-4E43-8127-587FC181E052}" name="Top Replied-To in G7" dataDxfId="129" dataCellStyle="Normal"/>
    <tableColumn id="16" xr3:uid="{722642ED-0831-4581-96B2-4112AC0FC7E6}" name="G7 Count" dataDxfId="126" dataCellStyle="Normal"/>
    <tableColumn id="17" xr3:uid="{C18DFE7F-E45D-4955-B772-E2108797E663}" name="Top Replied-To in G8" dataDxfId="125" dataCellStyle="Normal"/>
    <tableColumn id="18" xr3:uid="{A20A6D40-13AF-4DE2-A1C7-5A1CA742EC54}" name="G8 Count" dataDxfId="122" dataCellStyle="Normal"/>
    <tableColumn id="19" xr3:uid="{2895FCDB-3739-4962-A24B-CDF1B759D55C}" name="Top Replied-To in G9" dataDxfId="121" dataCellStyle="Normal"/>
    <tableColumn id="20" xr3:uid="{CE9B2989-8DB1-4A2A-8C3D-DC876843EC7E}" name="G9 Count" dataDxfId="118" dataCellStyle="Normal"/>
    <tableColumn id="21" xr3:uid="{B90112C2-4A3E-49B6-915C-8AF61DA2573F}" name="Top Replied-To in G10" dataDxfId="117" dataCellStyle="Normal"/>
    <tableColumn id="22" xr3:uid="{4FDF8CB2-2547-40B7-9A8F-85FEF9E2A129}" name="G10 Count" dataDxfId="116" dataCellStyle="Normal"/>
  </tableColumns>
  <tableStyleInfo name="NodeXL Table"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7E84C826-F32E-4318-BA82-F2A48ACA3409}" name="NetworkTopItems_7" displayName="NetworkTopItems_7" ref="A73:V83" totalsRowShown="0" headerRowDxfId="157" dataDxfId="156" dataCellStyle="Normal">
  <autoFilter ref="A73:V83" xr:uid="{1078E9E7-CEE5-4881-84EC-C4A4CB8F7986}"/>
  <tableColumns count="22">
    <tableColumn id="1" xr3:uid="{4DD7AF37-DEA6-41A7-952E-C74F65421EB9}" name="Top Mentioned in Entire Graph" dataDxfId="155" dataCellStyle="Normal"/>
    <tableColumn id="2" xr3:uid="{DF54F20B-AE36-47DF-A5E8-D705D590CA0D}" name="Entire Graph Count" dataDxfId="152" dataCellStyle="Normal"/>
    <tableColumn id="3" xr3:uid="{AEAD1C35-F21E-4E01-A9ED-F7E64B05D39E}" name="Top Mentioned in G1" dataDxfId="151" dataCellStyle="Normal"/>
    <tableColumn id="4" xr3:uid="{C8DCA592-0E33-4A1D-AC71-AA99B374B01A}" name="G1 Count" dataDxfId="148" dataCellStyle="Normal"/>
    <tableColumn id="5" xr3:uid="{124890BF-8104-42A8-AEB0-737BEA8D2E6F}" name="Top Mentioned in G2" dataDxfId="147" dataCellStyle="Normal"/>
    <tableColumn id="6" xr3:uid="{92B3AC40-71ED-44B0-A7FD-8A578C369E2E}" name="G2 Count" dataDxfId="144" dataCellStyle="Normal"/>
    <tableColumn id="7" xr3:uid="{3286E937-9455-4934-A0B8-09B4B5909A73}" name="Top Mentioned in G3" dataDxfId="143" dataCellStyle="Normal"/>
    <tableColumn id="8" xr3:uid="{768A1B27-800E-4184-BF17-1F3C12B79FC9}" name="G3 Count" dataDxfId="140" dataCellStyle="Normal"/>
    <tableColumn id="9" xr3:uid="{9E0142AD-2C9B-4E7F-B726-DB8074D77F40}" name="Top Mentioned in G4" dataDxfId="139" dataCellStyle="Normal"/>
    <tableColumn id="10" xr3:uid="{1A1E7443-11AE-4DC5-9D97-24F231AA0463}" name="G4 Count" dataDxfId="136" dataCellStyle="Normal"/>
    <tableColumn id="11" xr3:uid="{CA105FE8-0274-4C78-A300-7B10C4FD0D3D}" name="Top Mentioned in G5" dataDxfId="135" dataCellStyle="Normal"/>
    <tableColumn id="12" xr3:uid="{5F720527-27B4-4DA2-9725-704B420D64BA}" name="G5 Count" dataDxfId="132" dataCellStyle="Normal"/>
    <tableColumn id="13" xr3:uid="{48FEABBC-CC9C-4176-AD49-DB9EE94FC178}" name="Top Mentioned in G6" dataDxfId="131" dataCellStyle="Normal"/>
    <tableColumn id="14" xr3:uid="{ADFA87B6-A209-482E-A2F7-CDF97F5BD039}" name="G6 Count" dataDxfId="128" dataCellStyle="Normal"/>
    <tableColumn id="15" xr3:uid="{3074B4C3-2D2E-4CA1-8E3E-30127FEFDCDB}" name="Top Mentioned in G7" dataDxfId="127" dataCellStyle="Normal"/>
    <tableColumn id="16" xr3:uid="{54C4EEB3-5535-4712-B29F-DD85DF9E4D21}" name="G7 Count" dataDxfId="124" dataCellStyle="Normal"/>
    <tableColumn id="17" xr3:uid="{1AC4A331-DD67-4EC2-9E38-9BD31B444F49}" name="Top Mentioned in G8" dataDxfId="123" dataCellStyle="Normal"/>
    <tableColumn id="18" xr3:uid="{BB96FBDD-5937-4FC1-AE8F-CB47E664FD64}" name="G8 Count" dataDxfId="120" dataCellStyle="Normal"/>
    <tableColumn id="19" xr3:uid="{DA059D71-CA80-449B-98F5-2726B8AAA694}" name="Top Mentioned in G9" dataDxfId="119" dataCellStyle="Normal"/>
    <tableColumn id="20" xr3:uid="{0FDCA28E-6F6B-46EE-8F7A-E40BD94CDD62}" name="G9 Count" dataDxfId="115" dataCellStyle="Normal"/>
    <tableColumn id="21" xr3:uid="{FBC275E9-27A9-49C1-85E6-A3163FF1334B}" name="Top Mentioned in G10" dataDxfId="114" dataCellStyle="Normal"/>
    <tableColumn id="22" xr3:uid="{35C7CFBF-B38F-45B8-98F0-D1496C99617B}" name="G10 Count" dataDxfId="113" dataCellStyle="Normal"/>
  </tableColumns>
  <tableStyleInfo name="NodeXL Table"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49D276D5-CF35-44D3-9E85-6EC063BE7F94}" name="NetworkTopItems_8" displayName="NetworkTopItems_8" ref="A86:V96" totalsRowShown="0" headerRowDxfId="110" dataDxfId="109" dataCellStyle="Normal">
  <autoFilter ref="A86:V96" xr:uid="{0C2530B6-18EC-441D-86B1-0C4E2D2265B2}"/>
  <tableColumns count="22">
    <tableColumn id="1" xr3:uid="{43496F8C-9C95-44A8-8FEE-2DB6443CE6F5}" name="Top Tweeters in Entire Graph" dataDxfId="108" dataCellStyle="Normal"/>
    <tableColumn id="2" xr3:uid="{3A9FB023-E010-49C2-9B59-0F04828E8A1D}" name="Entire Graph Count" dataDxfId="107" dataCellStyle="Normal"/>
    <tableColumn id="3" xr3:uid="{D037EC8D-F74F-4D4D-8468-A221D93A3BCB}" name="Top Tweeters in G1" dataDxfId="106" dataCellStyle="Normal"/>
    <tableColumn id="4" xr3:uid="{DE705229-71C4-4A2E-B61B-1FB01A1153A2}" name="G1 Count" dataDxfId="105" dataCellStyle="Normal"/>
    <tableColumn id="5" xr3:uid="{CC1D17BE-AC71-4764-A4BE-6F22E150E9B1}" name="Top Tweeters in G2" dataDxfId="104" dataCellStyle="Normal"/>
    <tableColumn id="6" xr3:uid="{7583FBD7-2935-4A94-BD5A-03C5CDA2FD1A}" name="G2 Count" dataDxfId="103" dataCellStyle="Normal"/>
    <tableColumn id="7" xr3:uid="{623BF516-9FF2-4943-935B-64B2EAEFA69D}" name="Top Tweeters in G3" dataDxfId="102" dataCellStyle="Normal"/>
    <tableColumn id="8" xr3:uid="{B87A9902-B625-4E7B-8D00-0BA3FF6EC79E}" name="G3 Count" dataDxfId="101" dataCellStyle="Normal"/>
    <tableColumn id="9" xr3:uid="{9A2FEDA6-BF2B-4C4B-ADB2-43EC5731B0B0}" name="Top Tweeters in G4" dataDxfId="100" dataCellStyle="Normal"/>
    <tableColumn id="10" xr3:uid="{0BB38F88-CAB3-404F-8BAA-9078A0EB99BA}" name="G4 Count" dataDxfId="99" dataCellStyle="Normal"/>
    <tableColumn id="11" xr3:uid="{9B6D8A98-79D0-4CDB-9241-9047127CE76D}" name="Top Tweeters in G5" dataDxfId="98" dataCellStyle="Normal"/>
    <tableColumn id="12" xr3:uid="{24356119-D3C7-4E20-AAC1-B6F05F880579}" name="G5 Count" dataDxfId="97" dataCellStyle="Normal"/>
    <tableColumn id="13" xr3:uid="{7782694C-E86D-4362-B97F-1F0667928518}" name="Top Tweeters in G6" dataDxfId="96" dataCellStyle="Normal"/>
    <tableColumn id="14" xr3:uid="{EB170BF8-A29E-4260-84A5-C8282E2F123C}" name="G6 Count" dataDxfId="95" dataCellStyle="Normal"/>
    <tableColumn id="15" xr3:uid="{E3F963B5-9117-48E2-ABFB-FC21147B38B1}" name="Top Tweeters in G7" dataDxfId="94" dataCellStyle="Normal"/>
    <tableColumn id="16" xr3:uid="{B81DCEB4-948B-4A1E-94F8-3523057EB5CD}" name="G7 Count" dataDxfId="93" dataCellStyle="Normal"/>
    <tableColumn id="17" xr3:uid="{30A3E95E-97FE-48F5-821A-C7182F2FB9A9}" name="Top Tweeters in G8" dataDxfId="92" dataCellStyle="Normal"/>
    <tableColumn id="18" xr3:uid="{BFA9E414-E36B-4D69-83A0-460B80569F00}" name="G8 Count" dataDxfId="91" dataCellStyle="Normal"/>
    <tableColumn id="19" xr3:uid="{CB419FDF-A2DE-4267-A465-7FE29764684A}" name="Top Tweeters in G9" dataDxfId="90" dataCellStyle="Normal"/>
    <tableColumn id="20" xr3:uid="{526D1E53-C36E-4E71-AC3F-FDA8146D87CF}" name="G9 Count" dataDxfId="89" dataCellStyle="Normal"/>
    <tableColumn id="21" xr3:uid="{D30B9B8C-DC65-4F89-935F-2160AB26A8B0}" name="Top Tweeters in G10" dataDxfId="88" dataCellStyle="Normal"/>
    <tableColumn id="22" xr3:uid="{E0218E74-7387-4C6B-9220-EE201F7971B7}" name="G10 Count" dataDxfId="87" dataCellStyle="Normal"/>
  </tableColumns>
  <tableStyleInfo name="NodeXL Tab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Groups" displayName="Groups" ref="A2:AO17" totalsRowShown="0" headerRowDxfId="537">
  <autoFilter ref="A2:AO17" xr:uid="{00000000-0009-0000-0100-000004000000}"/>
  <tableColumns count="41">
    <tableColumn id="1" xr3:uid="{00000000-0010-0000-0200-000001000000}" name="Group" dataDxfId="393" dataCellStyle="NodeXL Required"/>
    <tableColumn id="2" xr3:uid="{00000000-0010-0000-0200-000002000000}" name="Vertex Color" dataDxfId="392" dataCellStyle="NodeXL Visual Property"/>
    <tableColumn id="3" xr3:uid="{00000000-0010-0000-0200-000003000000}" name="Vertex Shape" dataDxfId="390" dataCellStyle="NodeXL Visual Property"/>
    <tableColumn id="22" xr3:uid="{00000000-0010-0000-0200-000016000000}" name="Visibility" dataDxfId="391" dataCellStyle="NodeXL Visual Property"/>
    <tableColumn id="4" xr3:uid="{00000000-0010-0000-0200-000004000000}" name="Collapsed?" dataCellStyle="NodeXL Visual Property"/>
    <tableColumn id="18" xr3:uid="{00000000-0010-0000-0200-000012000000}" name="Label" dataDxfId="536" dataCellStyle="NodeXL Label"/>
    <tableColumn id="20" xr3:uid="{00000000-0010-0000-0200-000014000000}" name="Collapsed X" dataCellStyle="NodeXL Layout"/>
    <tableColumn id="21" xr3:uid="{00000000-0010-0000-0200-000015000000}" name="Collapsed Y" dataCellStyle="NodeXL Layout"/>
    <tableColumn id="6" xr3:uid="{00000000-0010-0000-0200-000006000000}" name="ID" dataDxfId="535" dataCellStyle="NodeXL Do Not Edit"/>
    <tableColumn id="19" xr3:uid="{00000000-0010-0000-0200-000013000000}" name="Collapsed Properties" dataDxfId="384" dataCellStyle="NodeXL Do Not Edit"/>
    <tableColumn id="5" xr3:uid="{00000000-0010-0000-0200-000005000000}" name="Vertices" dataDxfId="383" dataCellStyle="NodeXL Graph Metric"/>
    <tableColumn id="7" xr3:uid="{00000000-0010-0000-0200-000007000000}" name="Unique Edges" dataDxfId="382" dataCellStyle="NodeXL Graph Metric"/>
    <tableColumn id="8" xr3:uid="{00000000-0010-0000-0200-000008000000}" name="Edges With Duplicates" dataDxfId="381" dataCellStyle="NodeXL Graph Metric"/>
    <tableColumn id="9" xr3:uid="{00000000-0010-0000-0200-000009000000}" name="Total Edges" dataDxfId="380" dataCellStyle="NodeXL Graph Metric"/>
    <tableColumn id="10" xr3:uid="{00000000-0010-0000-0200-00000A000000}" name="Self-Loops" dataDxfId="379" dataCellStyle="NodeXL Graph Metric"/>
    <tableColumn id="24" xr3:uid="{00000000-0010-0000-0200-000018000000}" name="Reciprocated Vertex Pair Ratio" dataDxfId="378" dataCellStyle="NodeXL Graph Metric"/>
    <tableColumn id="25" xr3:uid="{00000000-0010-0000-0200-000019000000}" name="Reciprocated Edge Ratio" dataDxfId="377" dataCellStyle="NodeXL Graph Metric"/>
    <tableColumn id="11" xr3:uid="{00000000-0010-0000-0200-00000B000000}" name="Connected Components" dataDxfId="376" dataCellStyle="NodeXL Graph Metric"/>
    <tableColumn id="12" xr3:uid="{00000000-0010-0000-0200-00000C000000}" name="Single-Vertex Connected Components" dataDxfId="375" dataCellStyle="NodeXL Graph Metric"/>
    <tableColumn id="13" xr3:uid="{00000000-0010-0000-0200-00000D000000}" name="Maximum Vertices in a Connected Component" dataDxfId="374" dataCellStyle="NodeXL Graph Metric"/>
    <tableColumn id="14" xr3:uid="{00000000-0010-0000-0200-00000E000000}" name="Maximum Edges in a Connected Component" dataDxfId="373" dataCellStyle="NodeXL Graph Metric"/>
    <tableColumn id="15" xr3:uid="{00000000-0010-0000-0200-00000F000000}" name="Maximum Geodesic Distance (Diameter)" dataDxfId="372" dataCellStyle="NodeXL Graph Metric"/>
    <tableColumn id="16" xr3:uid="{00000000-0010-0000-0200-000010000000}" name="Average Geodesic Distance" dataDxfId="371" dataCellStyle="NodeXL Graph Metric"/>
    <tableColumn id="17" xr3:uid="{00000000-0010-0000-0200-000011000000}" name="Graph Density" dataDxfId="327" dataCellStyle="NodeXL Graph Metric"/>
    <tableColumn id="23" xr3:uid="{B4242A04-47F4-4D29-AA55-49249DE025AF}" name="Sentiment List #1: List1 Word Count" dataDxfId="326" dataCellStyle="NodeXL Graph Metric"/>
    <tableColumn id="26" xr3:uid="{711B6751-A4ED-48C3-A7A1-64F256A0DC37}" name="Sentiment List #1: List1 Word Percentage (%)" dataDxfId="325" dataCellStyle="NodeXL Graph Metric"/>
    <tableColumn id="27" xr3:uid="{3E5C4953-95F4-4923-89B3-A1DC94AC254F}" name="Sentiment List #2: List2 Word Count" dataDxfId="324" dataCellStyle="NodeXL Graph Metric"/>
    <tableColumn id="28" xr3:uid="{87AED61F-AAD9-42D5-A850-D61629880F52}" name="Sentiment List #2: List2 Word Percentage (%)" dataDxfId="323" dataCellStyle="NodeXL Graph Metric"/>
    <tableColumn id="29" xr3:uid="{04C3EA87-46B6-4524-A1DC-2974B157E85E}" name="Sentiment List #3: List3 Word Count" dataDxfId="322" dataCellStyle="NodeXL Graph Metric"/>
    <tableColumn id="30" xr3:uid="{82680653-0C42-44DA-B509-8A1BF7E5B6D7}" name="Sentiment List #3: List3 Word Percentage (%)" dataDxfId="321" dataCellStyle="NodeXL Graph Metric"/>
    <tableColumn id="31" xr3:uid="{3398D190-722F-4AFA-9CA7-4E358DCCA470}" name="Non-categorized Word Count" dataDxfId="320" dataCellStyle="NodeXL Graph Metric"/>
    <tableColumn id="32" xr3:uid="{C28ECD45-C8A5-4DF9-A4EB-854DE9A19CDB}" name="Non-categorized Word Percentage (%)" dataDxfId="319" dataCellStyle="NodeXL Graph Metric"/>
    <tableColumn id="33" xr3:uid="{D441B105-9795-4897-B39E-D778D35A7E73}" name="Group Content Word Count" dataDxfId="261" dataCellStyle="NodeXL Graph Metric"/>
    <tableColumn id="34" xr3:uid="{9EAE906A-C5A5-4497-A185-E06D703EE55E}" name="Top URLs in Tweet" dataDxfId="236" dataCellStyle="Normal"/>
    <tableColumn id="35" xr3:uid="{88451215-FFB9-44E7-9000-0995796992EC}" name="Top Domains in Tweet" dataDxfId="211" dataCellStyle="Normal"/>
    <tableColumn id="36" xr3:uid="{FB275F1B-B321-4596-84F2-D787B86B2016}" name="Top Hashtags in Tweet" dataDxfId="186" dataCellStyle="Normal"/>
    <tableColumn id="37" xr3:uid="{B18409F7-7217-4FCB-B348-A4911E2C7834}" name="Top Words in Tweet" dataDxfId="161" dataCellStyle="Normal"/>
    <tableColumn id="38" xr3:uid="{6FF96952-A0F8-44FB-9F33-9DE4B309937B}" name="Top Word Pairs in Tweet" dataDxfId="112" dataCellStyle="Normal"/>
    <tableColumn id="39" xr3:uid="{460B3D06-2BF8-4A08-AC02-EB60E71C06E0}" name="Top Replied-To in Tweet" dataDxfId="111" dataCellStyle="Normal"/>
    <tableColumn id="40" xr3:uid="{97A33A5A-684A-4C29-8A88-35364EDC693F}" name="Top Mentioned in Tweet" dataDxfId="86" dataCellStyle="Normal"/>
    <tableColumn id="41" xr3:uid="{EDD14764-2ADC-4755-A838-A46A0D3598AD}" name="Top Tweeters" dataDxfId="85" dataCellStyle="Normal"/>
  </tableColumns>
  <tableStyleInfo name="NodeXL 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GroupVertices" displayName="GroupVertices" ref="A1:C125" totalsRowShown="0" headerRowDxfId="534" dataDxfId="533">
  <autoFilter ref="A1:C125" xr:uid="{00000000-0009-0000-0100-000005000000}"/>
  <tableColumns count="3">
    <tableColumn id="1" xr3:uid="{00000000-0010-0000-0300-000001000000}" name="Group" dataDxfId="389" dataCellStyle="Normal"/>
    <tableColumn id="2" xr3:uid="{00000000-0010-0000-0300-000002000000}" name="Vertex" dataDxfId="388" dataCellStyle="Normal"/>
    <tableColumn id="3" xr3:uid="{00000000-0010-0000-0300-000003000000}" name="Vertex ID" dataDxfId="387" dataCellStyle="Normal">
      <calculatedColumnFormula>VLOOKUP("~"&amp;GroupVertices[[#This Row],[Vertex]], Vertices[], MATCH("ID", Vertices[#Headers], 0), FALSE)</calculatedColumnFormula>
    </tableColumn>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verallMetrics" displayName="OverallMetrics" ref="A1:B54" totalsRowShown="0" dataCellStyle="NodeXL Graph Metric">
  <autoFilter ref="A1:B54" xr:uid="{00000000-0009-0000-0100-000006000000}"/>
  <tableColumns count="2">
    <tableColumn id="1" xr3:uid="{00000000-0010-0000-0400-000001000000}" name="Graph Metric" dataDxfId="304" dataCellStyle="NodeXL Graph Metric"/>
    <tableColumn id="2" xr3:uid="{00000000-0010-0000-0400-000002000000}" name="Value" dataDxfId="303" dataCellStyle="NodeXL Graph Metric"/>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HistogramBins" displayName="HistogramBins" ref="D1:U36" totalsRowShown="0">
  <autoFilter ref="D1:U36" xr:uid="{00000000-0009-0000-0100-000003000000}"/>
  <tableColumns count="18">
    <tableColumn id="1" xr3:uid="{00000000-0010-0000-0500-000001000000}" name="Degree Bin" dataDxfId="532"/>
    <tableColumn id="2" xr3:uid="{00000000-0010-0000-0500-000002000000}" name="Degree Frequency" dataDxfId="531">
      <calculatedColumnFormula>COUNTIF(Vertices[Degree], "&gt;= " &amp; D2) - COUNTIF(Vertices[Degree], "&gt;=" &amp; D3)</calculatedColumnFormula>
    </tableColumn>
    <tableColumn id="3" xr3:uid="{00000000-0010-0000-0500-000003000000}" name="In-Degree Bin" dataDxfId="530"/>
    <tableColumn id="4" xr3:uid="{00000000-0010-0000-0500-000004000000}" name="In-Degree Frequency" dataDxfId="529">
      <calculatedColumnFormula>COUNTIF(Vertices[In-Degree], "&gt;= " &amp; F2) - COUNTIF(Vertices[In-Degree], "&gt;=" &amp; F3)</calculatedColumnFormula>
    </tableColumn>
    <tableColumn id="5" xr3:uid="{00000000-0010-0000-0500-000005000000}" name="Out-Degree Bin" dataDxfId="528"/>
    <tableColumn id="6" xr3:uid="{00000000-0010-0000-0500-000006000000}" name="Out-Degree Frequency" dataDxfId="527">
      <calculatedColumnFormula>COUNTIF(Vertices[Out-Degree], "&gt;= " &amp; H2) - COUNTIF(Vertices[Out-Degree], "&gt;=" &amp; H3)</calculatedColumnFormula>
    </tableColumn>
    <tableColumn id="7" xr3:uid="{00000000-0010-0000-0500-000007000000}" name="Betweenness Centrality Bin" dataDxfId="526"/>
    <tableColumn id="8" xr3:uid="{00000000-0010-0000-0500-000008000000}" name="Betweenness Centrality Frequency" dataDxfId="525">
      <calculatedColumnFormula>COUNTIF(Vertices[Betweenness Centrality], "&gt;= " &amp; J2) - COUNTIF(Vertices[Betweenness Centrality], "&gt;=" &amp; J3)</calculatedColumnFormula>
    </tableColumn>
    <tableColumn id="9" xr3:uid="{00000000-0010-0000-0500-000009000000}" name="Closeness Centrality Bin" dataDxfId="524"/>
    <tableColumn id="10" xr3:uid="{00000000-0010-0000-0500-00000A000000}" name="Closeness Centrality Frequency" dataDxfId="523">
      <calculatedColumnFormula>COUNTIF(Vertices[Closeness Centrality], "&gt;= " &amp; L2) - COUNTIF(Vertices[Closeness Centrality], "&gt;=" &amp; L3)</calculatedColumnFormula>
    </tableColumn>
    <tableColumn id="11" xr3:uid="{00000000-0010-0000-0500-00000B000000}" name="Eigenvector Centrality Bin" dataDxfId="522"/>
    <tableColumn id="12" xr3:uid="{00000000-0010-0000-0500-00000C000000}" name="Eigenvector Centrality Frequency" dataDxfId="521">
      <calculatedColumnFormula>COUNTIF(Vertices[Eigenvector Centrality], "&gt;= " &amp; N2) - COUNTIF(Vertices[Eigenvector Centrality], "&gt;=" &amp; N3)</calculatedColumnFormula>
    </tableColumn>
    <tableColumn id="18" xr3:uid="{00000000-0010-0000-0500-000012000000}" name="PageRank Bin" dataDxfId="520"/>
    <tableColumn id="17" xr3:uid="{00000000-0010-0000-0500-000011000000}" name="PageRank Frequency" dataDxfId="519">
      <calculatedColumnFormula>COUNTIF(Vertices[Eigenvector Centrality], "&gt;= " &amp; P2) - COUNTIF(Vertices[Eigenvector Centrality], "&gt;=" &amp; P3)</calculatedColumnFormula>
    </tableColumn>
    <tableColumn id="13" xr3:uid="{00000000-0010-0000-0500-00000D000000}" name="Clustering Coefficient Bin" dataDxfId="518"/>
    <tableColumn id="14" xr3:uid="{00000000-0010-0000-0500-00000E000000}" name="Clustering Coefficient Frequency" dataDxfId="517">
      <calculatedColumnFormula>COUNTIF(Vertices[Clustering Coefficient], "&gt;= " &amp; R2) - COUNTIF(Vertices[Clustering Coefficient], "&gt;=" &amp; R3)</calculatedColumnFormula>
    </tableColumn>
    <tableColumn id="15" xr3:uid="{00000000-0010-0000-0500-00000F000000}" name="Dynamic Filter Bin" dataDxfId="516"/>
    <tableColumn id="16" xr3:uid="{00000000-0010-0000-0500-000010000000}" name="Dynamic Filter Frequency" dataDxfId="515">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HistogramProperties" displayName="HistogramProperties" ref="W1:X4" totalsRowShown="0">
  <autoFilter ref="W1:X4" xr:uid="{00000000-0009-0000-0100-00000F000000}"/>
  <tableColumns count="2">
    <tableColumn id="1" xr3:uid="{00000000-0010-0000-0600-000001000000}" name="Histogram Property"/>
    <tableColumn id="2" xr3:uid="{00000000-0010-0000-0600-000002000000}" name="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OverallReadabilityMetrics" displayName="OverallReadabilityMetrics" ref="A60:B61" insertRow="1" totalsRowShown="0" dataCellStyle="NodeXL Graph Metric">
  <autoFilter ref="A60:B61" xr:uid="{00000000-0009-0000-0100-000009000000}"/>
  <tableColumns count="2">
    <tableColumn id="1" xr3:uid="{00000000-0010-0000-0700-000001000000}" name="Readability Metric" dataCellStyle="NodeXL Graph Metric"/>
    <tableColumn id="2" xr3:uid="{00000000-0010-0000-0700-000002000000}"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PerWorkbookSettings" displayName="PerWorkbookSettings" ref="J1:K25" totalsRowShown="0" headerRowDxfId="514">
  <autoFilter ref="J1:K25" xr:uid="{00000000-0009-0000-0100-000007000000}"/>
  <tableColumns count="2">
    <tableColumn id="1" xr3:uid="{00000000-0010-0000-0800-000001000000}" name="Per-Workbook Setting"/>
    <tableColumn id="2" xr3:uid="{00000000-0010-0000-0800-000002000000}"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vmlDrawing" Target="../drawings/vmlDrawing6.vml"/><Relationship Id="rId1" Type="http://schemas.openxmlformats.org/officeDocument/2006/relationships/printerSettings" Target="../printerSettings/printerSettings8.bin"/><Relationship Id="rId4" Type="http://schemas.openxmlformats.org/officeDocument/2006/relationships/comments" Target="../comments6.xml"/></Relationships>
</file>

<file path=xl/worksheets/_rels/sheet16.xml.rels><?xml version="1.0" encoding="UTF-8" standalone="yes"?>
<Relationships xmlns="http://schemas.openxmlformats.org/package/2006/relationships"><Relationship Id="rId13" Type="http://schemas.openxmlformats.org/officeDocument/2006/relationships/hyperlink" Target="https://journals.sagepub.com/doi/abs/10.1177/10776990221108722" TargetMode="External"/><Relationship Id="rId18" Type="http://schemas.openxmlformats.org/officeDocument/2006/relationships/hyperlink" Target="https://www.aejmc.org/jobads/?p=19459" TargetMode="External"/><Relationship Id="rId26" Type="http://schemas.openxmlformats.org/officeDocument/2006/relationships/hyperlink" Target="https://www.higheredjobs.com/faculty/details.cfm?JobCode=178596364" TargetMode="External"/><Relationship Id="rId39" Type="http://schemas.openxmlformats.org/officeDocument/2006/relationships/hyperlink" Target="https://journals.sagepub.com/doi/10.1177/10776990231206366" TargetMode="External"/><Relationship Id="rId21" Type="http://schemas.openxmlformats.org/officeDocument/2006/relationships/hyperlink" Target="https://www.schooljobs.com/careers/bgsu/jobs/4264712/assistant-professor-school-of-media-and-communication?page=3&amp;pagetype=jobOpportunitiesJobs" TargetMode="External"/><Relationship Id="rId34" Type="http://schemas.openxmlformats.org/officeDocument/2006/relationships/hyperlink" Target="https://journals.sagepub.com/doi/abs/10.1177/10776990231202702" TargetMode="External"/><Relationship Id="rId42" Type="http://schemas.openxmlformats.org/officeDocument/2006/relationships/hyperlink" Target="http://spr.ly/6013uYH8H" TargetMode="External"/><Relationship Id="rId47" Type="http://schemas.openxmlformats.org/officeDocument/2006/relationships/table" Target="../tables/table21.xml"/><Relationship Id="rId50" Type="http://schemas.openxmlformats.org/officeDocument/2006/relationships/table" Target="../tables/table24.xml"/><Relationship Id="rId7" Type="http://schemas.openxmlformats.org/officeDocument/2006/relationships/hyperlink" Target="https://journals.sagepub.com/doi/abs/10.1177/0973258617743625" TargetMode="External"/><Relationship Id="rId2" Type="http://schemas.openxmlformats.org/officeDocument/2006/relationships/hyperlink" Target="https://journals.sagepub.com/doi/abs/10.1177/10776990211049451" TargetMode="External"/><Relationship Id="rId16" Type="http://schemas.openxmlformats.org/officeDocument/2006/relationships/hyperlink" Target="https://www.aejmc.com/home/wp-content/uploads/2023/10/Burd-Award-for-Research-in-Urban-Journalism-Studies.pdf" TargetMode="External"/><Relationship Id="rId29" Type="http://schemas.openxmlformats.org/officeDocument/2006/relationships/hyperlink" Target="https://bit.ly/3FJt4WK" TargetMode="External"/><Relationship Id="rId11" Type="http://schemas.openxmlformats.org/officeDocument/2006/relationships/hyperlink" Target="https://journals.sagepub.com/doi/abs/10.1177/0973258617743625" TargetMode="External"/><Relationship Id="rId24" Type="http://schemas.openxmlformats.org/officeDocument/2006/relationships/hyperlink" Target="https://www.higheredjobs.com/faculty/details.cfm?JobCode=178595177" TargetMode="External"/><Relationship Id="rId32" Type="http://schemas.openxmlformats.org/officeDocument/2006/relationships/hyperlink" Target="https://journals.sagepub.com/doi/abs/10.1177/10776990211049451" TargetMode="External"/><Relationship Id="rId37" Type="http://schemas.openxmlformats.org/officeDocument/2006/relationships/hyperlink" Target="https://bostonu.zoom.us/meeting/register/tJAkc-Gsqj8qGNfbayeDGxjSAisWKFmTXJAs" TargetMode="External"/><Relationship Id="rId40" Type="http://schemas.openxmlformats.org/officeDocument/2006/relationships/hyperlink" Target="https://ci.uky.edu/about-ci/2024-aejmc-southeast-colloquium/paper-submissions" TargetMode="External"/><Relationship Id="rId45" Type="http://schemas.openxmlformats.org/officeDocument/2006/relationships/table" Target="../tables/table19.xml"/><Relationship Id="rId5" Type="http://schemas.openxmlformats.org/officeDocument/2006/relationships/hyperlink" Target="https://ci.uky.edu/about-ci/2024-aejmc-southeast-colloquium/paper-submissions" TargetMode="External"/><Relationship Id="rId15" Type="http://schemas.openxmlformats.org/officeDocument/2006/relationships/hyperlink" Target="https://www.aejmc.com/home/2023/09/resolution-four-2023/" TargetMode="External"/><Relationship Id="rId23" Type="http://schemas.openxmlformats.org/officeDocument/2006/relationships/hyperlink" Target="https://www.higheredjobs.com/faculty/details.cfm?JobCode=178596886" TargetMode="External"/><Relationship Id="rId28" Type="http://schemas.openxmlformats.org/officeDocument/2006/relationships/hyperlink" Target="https://eeik.fa.us2.oraclecloud.com/hcmUI/CandidateExperience/en/sites/CX_1/requisitions/preview/233303/?keyword=Professor&amp;mode=location" TargetMode="External"/><Relationship Id="rId36" Type="http://schemas.openxmlformats.org/officeDocument/2006/relationships/hyperlink" Target="https://www.degruyter.com/journal/key/omgc/html" TargetMode="External"/><Relationship Id="rId49" Type="http://schemas.openxmlformats.org/officeDocument/2006/relationships/table" Target="../tables/table23.xml"/><Relationship Id="rId10" Type="http://schemas.openxmlformats.org/officeDocument/2006/relationships/hyperlink" Target="https://theieca.org/page/Join" TargetMode="External"/><Relationship Id="rId19" Type="http://schemas.openxmlformats.org/officeDocument/2006/relationships/hyperlink" Target="https://www.aejmc.org/jobads/?p=19429" TargetMode="External"/><Relationship Id="rId31" Type="http://schemas.openxmlformats.org/officeDocument/2006/relationships/hyperlink" Target="https://journals.sagepub.com/doi/abs/10.1177/10776990221108722" TargetMode="External"/><Relationship Id="rId44" Type="http://schemas.openxmlformats.org/officeDocument/2006/relationships/hyperlink" Target="https://mmedivision.wordpress.com/2023/10/31/paper-call-aejmc-midwinter-conference/" TargetMode="External"/><Relationship Id="rId52" Type="http://schemas.openxmlformats.org/officeDocument/2006/relationships/table" Target="../tables/table26.xml"/><Relationship Id="rId4" Type="http://schemas.openxmlformats.org/officeDocument/2006/relationships/hyperlink" Target="https://employment.marquette.edu/postings/20457" TargetMode="External"/><Relationship Id="rId9" Type="http://schemas.openxmlformats.org/officeDocument/2006/relationships/hyperlink" Target="https://tucsonagenda.substack.com/p/monday-q-and-a-with-dr-jessica-retis?utm_campaign=email-half-post&amp;r=n7i1h&amp;utm_source=substack&amp;utm_medium=email&amp;utm_source=trellis&amp;utm_medium=email&amp;utm_campaign=Clips%20for%20Sep.%2023-25,%202023" TargetMode="External"/><Relationship Id="rId14" Type="http://schemas.openxmlformats.org/officeDocument/2006/relationships/hyperlink" Target="https://www.aejmc.com/home/wp-content/uploads/2023/10/Eleanor-Blum-Distinguished-Service-to-Research-Award.pdf" TargetMode="External"/><Relationship Id="rId22" Type="http://schemas.openxmlformats.org/officeDocument/2006/relationships/hyperlink" Target="https://employment.marquette.edu/postings/20457" TargetMode="External"/><Relationship Id="rId27" Type="http://schemas.openxmlformats.org/officeDocument/2006/relationships/hyperlink" Target="https://www.higheredjobs.com/faculty/details.cfm?JobCode=178594235" TargetMode="External"/><Relationship Id="rId30" Type="http://schemas.openxmlformats.org/officeDocument/2006/relationships/hyperlink" Target="https://olemiss.zoom.us/j/91781083553" TargetMode="External"/><Relationship Id="rId35" Type="http://schemas.openxmlformats.org/officeDocument/2006/relationships/hyperlink" Target="https://journals.sagepub.com/doi/full/10.1177/10776990231202692" TargetMode="External"/><Relationship Id="rId43" Type="http://schemas.openxmlformats.org/officeDocument/2006/relationships/hyperlink" Target="https://www.celt.iastate.edu/event/a-culture-of-gratitude-best-practices-for-promotion-and-tenure/" TargetMode="External"/><Relationship Id="rId48" Type="http://schemas.openxmlformats.org/officeDocument/2006/relationships/table" Target="../tables/table22.xml"/><Relationship Id="rId8" Type="http://schemas.openxmlformats.org/officeDocument/2006/relationships/hyperlink" Target="https://www.higheredjobs.com/faculty/details.cfm?JobCode=178596886" TargetMode="External"/><Relationship Id="rId51" Type="http://schemas.openxmlformats.org/officeDocument/2006/relationships/table" Target="../tables/table25.xml"/><Relationship Id="rId3" Type="http://schemas.openxmlformats.org/officeDocument/2006/relationships/hyperlink" Target="https://www.schooljobs.com/careers/bgsu/jobs/4264712/assistant-professor-school-of-media-and-communication?page=3&amp;pagetype=jobOpportunitiesJobs" TargetMode="External"/><Relationship Id="rId12" Type="http://schemas.openxmlformats.org/officeDocument/2006/relationships/hyperlink" Target="https://journals.sagepub.com/doi/abs/10.1177/10776990211049451" TargetMode="External"/><Relationship Id="rId17" Type="http://schemas.openxmlformats.org/officeDocument/2006/relationships/hyperlink" Target="https://www.aejmc.com/home/wp-content/uploads/2023/10/Deutschmann-Award.pdf" TargetMode="External"/><Relationship Id="rId25" Type="http://schemas.openxmlformats.org/officeDocument/2006/relationships/hyperlink" Target="https://www.higheredjobs.com/faculty/details.cfm?JobCode=178596185" TargetMode="External"/><Relationship Id="rId33" Type="http://schemas.openxmlformats.org/officeDocument/2006/relationships/hyperlink" Target="https://journals.sagepub.com/doi/10.1177/14614448231205893" TargetMode="External"/><Relationship Id="rId38" Type="http://schemas.openxmlformats.org/officeDocument/2006/relationships/hyperlink" Target="https://ow.ly/JyA050PZrHG" TargetMode="External"/><Relationship Id="rId46" Type="http://schemas.openxmlformats.org/officeDocument/2006/relationships/table" Target="../tables/table20.xml"/><Relationship Id="rId20" Type="http://schemas.openxmlformats.org/officeDocument/2006/relationships/hyperlink" Target="https://ci.uky.edu/about-ci/2024-aejmc-southeast-colloquium/paper-submissions" TargetMode="External"/><Relationship Id="rId41" Type="http://schemas.openxmlformats.org/officeDocument/2006/relationships/hyperlink" Target="https://theieca.org/page/Join" TargetMode="External"/><Relationship Id="rId1" Type="http://schemas.openxmlformats.org/officeDocument/2006/relationships/hyperlink" Target="https://journals.sagepub.com/doi/abs/10.1177/10776990221108722" TargetMode="External"/><Relationship Id="rId6" Type="http://schemas.openxmlformats.org/officeDocument/2006/relationships/hyperlink" Target="https://bostonu.zoom.us/meeting/register/tJAkc-Gsqj8qGNfbayeDGxjSAisWKFmTXJAs" TargetMode="External"/></Relationships>
</file>

<file path=xl/worksheets/_rels/sheet1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U296"/>
  <sheetViews>
    <sheetView workbookViewId="0">
      <pane xSplit="2" ySplit="2" topLeftCell="C3" activePane="bottomRight" state="frozen"/>
      <selection pane="topRight" activeCell="C1" sqref="C1"/>
      <selection pane="bottomLeft" activeCell="A3" sqref="A3"/>
      <selection pane="bottomRight" activeCell="A3" sqref="A3"/>
    </sheetView>
  </sheetViews>
  <sheetFormatPr defaultRowHeight="15" x14ac:dyDescent="0.25"/>
  <cols>
    <col min="1" max="2" width="10.42578125" style="1" customWidth="1"/>
    <col min="3" max="3" width="7.85546875" style="3" hidden="1" customWidth="1"/>
    <col min="4" max="4" width="8.7109375" style="2" hidden="1" customWidth="1"/>
    <col min="5" max="5" width="7.7109375" style="2" hidden="1" customWidth="1"/>
    <col min="6" max="6" width="9.85546875" style="2" hidden="1" customWidth="1"/>
    <col min="7" max="7" width="11" style="3" hidden="1" customWidth="1"/>
    <col min="8" max="8" width="8" style="1" hidden="1" customWidth="1"/>
    <col min="9" max="9" width="12.28515625" style="3" hidden="1" customWidth="1"/>
    <col min="10" max="10" width="12.42578125" style="3" hidden="1" customWidth="1"/>
    <col min="11" max="11" width="15.5703125" style="3" customWidth="1"/>
    <col min="12" max="12" width="11" hidden="1" customWidth="1"/>
    <col min="13" max="13" width="10.85546875" hidden="1" customWidth="1"/>
    <col min="14" max="14" width="16" bestFit="1" customWidth="1"/>
    <col min="15" max="15" width="12.7109375" bestFit="1" customWidth="1"/>
    <col min="16" max="16" width="14.42578125" bestFit="1" customWidth="1"/>
    <col min="17" max="17" width="8.85546875" bestFit="1" customWidth="1"/>
    <col min="18" max="18" width="10.85546875" bestFit="1" customWidth="1"/>
    <col min="19" max="19" width="10.5703125" bestFit="1" customWidth="1"/>
    <col min="20" max="20" width="8.5703125" bestFit="1" customWidth="1"/>
    <col min="21" max="21" width="8.85546875" bestFit="1" customWidth="1"/>
    <col min="22" max="22" width="13.140625" bestFit="1" customWidth="1"/>
    <col min="23" max="23" width="13.28515625" bestFit="1" customWidth="1"/>
    <col min="24" max="24" width="9.5703125" bestFit="1" customWidth="1"/>
    <col min="25" max="25" width="13.140625" bestFit="1" customWidth="1"/>
    <col min="26" max="26" width="13.85546875" bestFit="1" customWidth="1"/>
    <col min="27" max="27" width="11" bestFit="1" customWidth="1"/>
    <col min="28" max="28" width="8.85546875" bestFit="1" customWidth="1"/>
    <col min="29" max="29" width="9.28515625" bestFit="1" customWidth="1"/>
    <col min="30" max="30" width="11.5703125" bestFit="1" customWidth="1"/>
    <col min="31" max="31" width="14.42578125" bestFit="1" customWidth="1"/>
    <col min="32" max="32" width="13.42578125" bestFit="1" customWidth="1"/>
    <col min="33" max="33" width="7.42578125" bestFit="1" customWidth="1"/>
    <col min="34" max="34" width="7.7109375" bestFit="1" customWidth="1"/>
    <col min="35" max="35" width="11.42578125" bestFit="1" customWidth="1"/>
    <col min="36" max="36" width="17" bestFit="1" customWidth="1"/>
    <col min="37" max="37" width="10.28515625" bestFit="1" customWidth="1"/>
    <col min="38" max="38" width="15.5703125" bestFit="1" customWidth="1"/>
    <col min="39" max="39" width="11.7109375" bestFit="1" customWidth="1"/>
    <col min="40" max="40" width="10.28515625" bestFit="1" customWidth="1"/>
    <col min="41" max="41" width="8.5703125" bestFit="1" customWidth="1"/>
    <col min="42" max="42" width="8" bestFit="1" customWidth="1"/>
    <col min="43" max="43" width="8.85546875" bestFit="1" customWidth="1"/>
    <col min="44" max="44" width="17.140625" bestFit="1" customWidth="1"/>
    <col min="46" max="46" width="8.85546875" bestFit="1" customWidth="1"/>
    <col min="47" max="47" width="13.85546875" bestFit="1" customWidth="1"/>
    <col min="48" max="48" width="14.7109375" bestFit="1" customWidth="1"/>
    <col min="49" max="49" width="11.5703125" bestFit="1" customWidth="1"/>
    <col min="50" max="50" width="12.7109375" bestFit="1" customWidth="1"/>
    <col min="51" max="52" width="13" bestFit="1" customWidth="1"/>
    <col min="53" max="53" width="11" bestFit="1" customWidth="1"/>
    <col min="54" max="54" width="13.140625" bestFit="1" customWidth="1"/>
    <col min="55" max="55" width="12" bestFit="1" customWidth="1"/>
    <col min="56" max="56" width="11.7109375" bestFit="1" customWidth="1"/>
    <col min="57" max="57" width="9" bestFit="1" customWidth="1"/>
    <col min="58" max="58" width="10.28515625" bestFit="1" customWidth="1"/>
    <col min="59" max="59" width="11" bestFit="1" customWidth="1"/>
    <col min="60" max="60" width="10.42578125" bestFit="1" customWidth="1"/>
    <col min="61" max="61" width="13" bestFit="1" customWidth="1"/>
    <col min="62" max="62" width="14.42578125" customWidth="1"/>
    <col min="63" max="64" width="11.140625" bestFit="1" customWidth="1"/>
    <col min="65" max="65" width="19.7109375" bestFit="1" customWidth="1"/>
    <col min="66" max="66" width="24.28515625" bestFit="1" customWidth="1"/>
    <col min="67" max="67" width="19.7109375" bestFit="1" customWidth="1"/>
    <col min="68" max="68" width="24.28515625" bestFit="1" customWidth="1"/>
    <col min="69" max="69" width="19.7109375" bestFit="1" customWidth="1"/>
    <col min="70" max="70" width="24.28515625" bestFit="1" customWidth="1"/>
    <col min="71" max="71" width="18.5703125" bestFit="1" customWidth="1"/>
    <col min="72" max="72" width="22.28515625" bestFit="1" customWidth="1"/>
    <col min="73" max="73" width="15.7109375" bestFit="1" customWidth="1"/>
  </cols>
  <sheetData>
    <row r="1" spans="1:73" x14ac:dyDescent="0.25">
      <c r="C1" s="17" t="s">
        <v>39</v>
      </c>
      <c r="D1" s="18"/>
      <c r="E1" s="18"/>
      <c r="F1" s="18"/>
      <c r="G1" s="17"/>
      <c r="H1" s="15" t="s">
        <v>43</v>
      </c>
      <c r="I1" s="52"/>
      <c r="J1" s="52"/>
      <c r="K1" s="34" t="s">
        <v>42</v>
      </c>
      <c r="L1" s="19" t="s">
        <v>40</v>
      </c>
      <c r="M1" s="19"/>
      <c r="N1" s="16" t="s">
        <v>41</v>
      </c>
    </row>
    <row r="2" spans="1:73" ht="30" customHeight="1" x14ac:dyDescent="0.2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194</v>
      </c>
      <c r="P2" s="13" t="s">
        <v>195</v>
      </c>
      <c r="Q2" s="13" t="s">
        <v>196</v>
      </c>
      <c r="R2" s="13" t="s">
        <v>197</v>
      </c>
      <c r="S2" s="13" t="s">
        <v>198</v>
      </c>
      <c r="T2" s="13" t="s">
        <v>199</v>
      </c>
      <c r="U2" s="13" t="s">
        <v>200</v>
      </c>
      <c r="V2" s="13" t="s">
        <v>201</v>
      </c>
      <c r="W2" s="13" t="s">
        <v>202</v>
      </c>
      <c r="X2" s="13" t="s">
        <v>203</v>
      </c>
      <c r="Y2" s="13" t="s">
        <v>204</v>
      </c>
      <c r="Z2" s="13" t="s">
        <v>205</v>
      </c>
      <c r="AA2" s="13" t="s">
        <v>206</v>
      </c>
      <c r="AB2" s="13" t="s">
        <v>207</v>
      </c>
      <c r="AC2" s="13" t="s">
        <v>208</v>
      </c>
      <c r="AD2" s="13" t="s">
        <v>209</v>
      </c>
      <c r="AE2" s="13" t="s">
        <v>210</v>
      </c>
      <c r="AF2" s="13" t="s">
        <v>211</v>
      </c>
      <c r="AG2" s="13" t="s">
        <v>212</v>
      </c>
      <c r="AH2" s="13" t="s">
        <v>213</v>
      </c>
      <c r="AI2" s="13" t="s">
        <v>214</v>
      </c>
      <c r="AJ2" s="13" t="s">
        <v>215</v>
      </c>
      <c r="AK2" s="13" t="s">
        <v>216</v>
      </c>
      <c r="AL2" s="13" t="s">
        <v>217</v>
      </c>
      <c r="AM2" s="13" t="s">
        <v>218</v>
      </c>
      <c r="AN2" s="13" t="s">
        <v>219</v>
      </c>
      <c r="AO2" s="13" t="s">
        <v>220</v>
      </c>
      <c r="AP2" s="13" t="s">
        <v>221</v>
      </c>
      <c r="AQ2" s="13" t="s">
        <v>222</v>
      </c>
      <c r="AR2" s="13" t="s">
        <v>223</v>
      </c>
      <c r="AS2" s="13" t="s">
        <v>224</v>
      </c>
      <c r="AT2" s="13" t="s">
        <v>225</v>
      </c>
      <c r="AU2" s="13" t="s">
        <v>226</v>
      </c>
      <c r="AV2" s="13" t="s">
        <v>227</v>
      </c>
      <c r="AW2" s="13" t="s">
        <v>228</v>
      </c>
      <c r="AX2" s="13" t="s">
        <v>229</v>
      </c>
      <c r="AY2" s="13" t="s">
        <v>230</v>
      </c>
      <c r="AZ2" s="13" t="s">
        <v>231</v>
      </c>
      <c r="BA2" s="13" t="s">
        <v>232</v>
      </c>
      <c r="BB2" s="13" t="s">
        <v>233</v>
      </c>
      <c r="BC2" s="13" t="s">
        <v>234</v>
      </c>
      <c r="BD2" s="13" t="s">
        <v>235</v>
      </c>
      <c r="BE2" s="13" t="s">
        <v>236</v>
      </c>
      <c r="BF2" s="13" t="s">
        <v>237</v>
      </c>
      <c r="BG2" s="13" t="s">
        <v>238</v>
      </c>
      <c r="BH2" s="13" t="s">
        <v>239</v>
      </c>
      <c r="BI2" s="13" t="s">
        <v>240</v>
      </c>
      <c r="BJ2" t="s">
        <v>1599</v>
      </c>
      <c r="BK2" s="13" t="s">
        <v>1628</v>
      </c>
      <c r="BL2" s="13" t="s">
        <v>1629</v>
      </c>
      <c r="BM2" s="54" t="s">
        <v>1965</v>
      </c>
      <c r="BN2" s="54" t="s">
        <v>1966</v>
      </c>
      <c r="BO2" s="54" t="s">
        <v>1967</v>
      </c>
      <c r="BP2" s="54" t="s">
        <v>1968</v>
      </c>
      <c r="BQ2" s="54" t="s">
        <v>1969</v>
      </c>
      <c r="BR2" s="54" t="s">
        <v>1970</v>
      </c>
      <c r="BS2" s="54" t="s">
        <v>1971</v>
      </c>
      <c r="BT2" s="54" t="s">
        <v>1972</v>
      </c>
      <c r="BU2" s="54" t="s">
        <v>1973</v>
      </c>
    </row>
    <row r="3" spans="1:73" ht="15" customHeight="1" x14ac:dyDescent="0.25">
      <c r="A3" s="65" t="s">
        <v>282</v>
      </c>
      <c r="B3" s="65" t="s">
        <v>364</v>
      </c>
      <c r="C3" s="66" t="s">
        <v>10073</v>
      </c>
      <c r="D3" s="67">
        <v>3</v>
      </c>
      <c r="E3" s="68" t="s">
        <v>132</v>
      </c>
      <c r="F3" s="69">
        <v>35</v>
      </c>
      <c r="G3" s="66"/>
      <c r="H3" s="70"/>
      <c r="I3" s="71"/>
      <c r="J3" s="71"/>
      <c r="K3" s="35" t="s">
        <v>65</v>
      </c>
      <c r="L3" s="72">
        <v>3</v>
      </c>
      <c r="M3" s="72"/>
      <c r="N3" s="73"/>
      <c r="O3" s="80" t="s">
        <v>370</v>
      </c>
      <c r="P3" s="82">
        <v>45222.768067129633</v>
      </c>
      <c r="Q3" s="80" t="s">
        <v>435</v>
      </c>
      <c r="R3" s="80">
        <v>2</v>
      </c>
      <c r="S3" s="80">
        <v>5</v>
      </c>
      <c r="T3" s="80">
        <v>0</v>
      </c>
      <c r="U3" s="80">
        <v>1</v>
      </c>
      <c r="V3" s="80">
        <v>1431</v>
      </c>
      <c r="W3" s="80"/>
      <c r="X3" s="85" t="str">
        <f>HYPERLINK("https://ci.uky.edu/about-ci/2024-aejmc-southeast-colloquium/paper-submissions")</f>
        <v>https://ci.uky.edu/about-ci/2024-aejmc-southeast-colloquium/paper-submissions</v>
      </c>
      <c r="Y3" s="80" t="s">
        <v>510</v>
      </c>
      <c r="Z3" s="80" t="s">
        <v>543</v>
      </c>
      <c r="AA3" s="80"/>
      <c r="AB3" s="80"/>
      <c r="AC3" s="87" t="s">
        <v>582</v>
      </c>
      <c r="AD3" s="80" t="s">
        <v>588</v>
      </c>
      <c r="AE3" s="85" t="str">
        <f>HYPERLINK("https://twitter.com/aejmc_nond/status/1716521373886218438")</f>
        <v>https://twitter.com/aejmc_nond/status/1716521373886218438</v>
      </c>
      <c r="AF3" s="82">
        <v>45222.768067129633</v>
      </c>
      <c r="AG3" s="88">
        <v>45222</v>
      </c>
      <c r="AH3" s="87" t="s">
        <v>669</v>
      </c>
      <c r="AI3" s="80" t="b">
        <v>0</v>
      </c>
      <c r="AJ3" s="80"/>
      <c r="AK3" s="80"/>
      <c r="AL3" s="80"/>
      <c r="AM3" s="80"/>
      <c r="AN3" s="80"/>
      <c r="AO3" s="80"/>
      <c r="AP3" s="80"/>
      <c r="AQ3" s="80"/>
      <c r="AR3" s="80"/>
      <c r="AS3" s="80"/>
      <c r="AT3" s="80"/>
      <c r="AU3" s="80"/>
      <c r="AV3" s="85" t="str">
        <f>HYPERLINK("https://pbs.twimg.com/profile_images/884110390493425664/HGSOS2S8_normal.jpg")</f>
        <v>https://pbs.twimg.com/profile_images/884110390493425664/HGSOS2S8_normal.jpg</v>
      </c>
      <c r="AW3" s="87" t="s">
        <v>823</v>
      </c>
      <c r="AX3" s="87" t="s">
        <v>823</v>
      </c>
      <c r="AY3" s="80"/>
      <c r="AZ3" s="87" t="s">
        <v>879</v>
      </c>
      <c r="BA3" s="87" t="s">
        <v>825</v>
      </c>
      <c r="BB3" s="87" t="s">
        <v>879</v>
      </c>
      <c r="BC3" s="87" t="s">
        <v>825</v>
      </c>
      <c r="BD3" s="80">
        <v>744265436</v>
      </c>
      <c r="BE3" s="80"/>
      <c r="BF3" s="80"/>
      <c r="BG3" s="80"/>
      <c r="BH3" s="80"/>
      <c r="BI3" s="80"/>
      <c r="BJ3">
        <v>1</v>
      </c>
      <c r="BK3" s="80" t="str">
        <f>REPLACE(INDEX(GroupVertices[Group], MATCH("~"&amp;Edges[[#This Row],[Vertex 1]],GroupVertices[Vertex],0)),1,1,"")</f>
        <v>6</v>
      </c>
      <c r="BL3" s="80" t="str">
        <f>REPLACE(INDEX(GroupVertices[Group], MATCH("~"&amp;Edges[[#This Row],[Vertex 2]],GroupVertices[Vertex],0)),1,1,"")</f>
        <v>6</v>
      </c>
      <c r="BM3" s="49"/>
      <c r="BN3" s="50"/>
      <c r="BO3" s="49"/>
      <c r="BP3" s="50"/>
      <c r="BQ3" s="49"/>
      <c r="BR3" s="50"/>
      <c r="BS3" s="49"/>
      <c r="BT3" s="50"/>
      <c r="BU3" s="49"/>
    </row>
    <row r="4" spans="1:73" ht="15" customHeight="1" x14ac:dyDescent="0.25">
      <c r="A4" s="65" t="s">
        <v>241</v>
      </c>
      <c r="B4" s="65" t="s">
        <v>289</v>
      </c>
      <c r="C4" s="66" t="s">
        <v>10073</v>
      </c>
      <c r="D4" s="67">
        <v>3</v>
      </c>
      <c r="E4" s="68" t="s">
        <v>132</v>
      </c>
      <c r="F4" s="69">
        <v>35</v>
      </c>
      <c r="G4" s="66"/>
      <c r="H4" s="70"/>
      <c r="I4" s="71"/>
      <c r="J4" s="71"/>
      <c r="K4" s="35" t="s">
        <v>65</v>
      </c>
      <c r="L4" s="79">
        <v>4</v>
      </c>
      <c r="M4" s="79"/>
      <c r="N4" s="73"/>
      <c r="O4" s="81" t="s">
        <v>365</v>
      </c>
      <c r="P4" s="83">
        <v>45230.925243055557</v>
      </c>
      <c r="Q4" s="81" t="s">
        <v>372</v>
      </c>
      <c r="R4" s="81">
        <v>5</v>
      </c>
      <c r="S4" s="81">
        <v>0</v>
      </c>
      <c r="T4" s="81">
        <v>0</v>
      </c>
      <c r="U4" s="81">
        <v>0</v>
      </c>
      <c r="V4" s="81"/>
      <c r="W4" s="81"/>
      <c r="X4" s="81"/>
      <c r="Y4" s="81"/>
      <c r="Z4" s="81" t="s">
        <v>289</v>
      </c>
      <c r="AA4" s="81"/>
      <c r="AB4" s="81"/>
      <c r="AC4" s="84" t="s">
        <v>579</v>
      </c>
      <c r="AD4" s="81" t="s">
        <v>588</v>
      </c>
      <c r="AE4" s="86" t="str">
        <f>HYPERLINK("https://twitter.com/med_lafouairas/status/1719477436407021691")</f>
        <v>https://twitter.com/med_lafouairas/status/1719477436407021691</v>
      </c>
      <c r="AF4" s="83">
        <v>45230.925243055557</v>
      </c>
      <c r="AG4" s="89">
        <v>45230</v>
      </c>
      <c r="AH4" s="84" t="s">
        <v>590</v>
      </c>
      <c r="AI4" s="81" t="b">
        <v>0</v>
      </c>
      <c r="AJ4" s="81"/>
      <c r="AK4" s="81"/>
      <c r="AL4" s="81"/>
      <c r="AM4" s="81"/>
      <c r="AN4" s="81"/>
      <c r="AO4" s="81"/>
      <c r="AP4" s="81"/>
      <c r="AQ4" s="81"/>
      <c r="AR4" s="81"/>
      <c r="AS4" s="81"/>
      <c r="AT4" s="81"/>
      <c r="AU4" s="81"/>
      <c r="AV4" s="86" t="str">
        <f>HYPERLINK("https://pbs.twimg.com/profile_images/879370206400958464/D876GW69_normal.jpg")</f>
        <v>https://pbs.twimg.com/profile_images/879370206400958464/D876GW69_normal.jpg</v>
      </c>
      <c r="AW4" s="84" t="s">
        <v>744</v>
      </c>
      <c r="AX4" s="84" t="s">
        <v>744</v>
      </c>
      <c r="AY4" s="81"/>
      <c r="AZ4" s="84" t="s">
        <v>879</v>
      </c>
      <c r="BA4" s="84" t="s">
        <v>879</v>
      </c>
      <c r="BB4" s="84" t="s">
        <v>839</v>
      </c>
      <c r="BC4" s="84" t="s">
        <v>839</v>
      </c>
      <c r="BD4" s="84" t="s">
        <v>881</v>
      </c>
      <c r="BE4" s="81"/>
      <c r="BF4" s="81"/>
      <c r="BG4" s="81"/>
      <c r="BH4" s="81"/>
      <c r="BI4" s="81"/>
      <c r="BJ4">
        <v>1</v>
      </c>
      <c r="BK4" s="80" t="str">
        <f>REPLACE(INDEX(GroupVertices[Group], MATCH("~"&amp;Edges[[#This Row],[Vertex 1]],GroupVertices[Vertex],0)),1,1,"")</f>
        <v>3</v>
      </c>
      <c r="BL4" s="80" t="str">
        <f>REPLACE(INDEX(GroupVertices[Group], MATCH("~"&amp;Edges[[#This Row],[Vertex 2]],GroupVertices[Vertex],0)),1,1,"")</f>
        <v>10</v>
      </c>
      <c r="BM4" s="49">
        <v>0</v>
      </c>
      <c r="BN4" s="50">
        <v>0</v>
      </c>
      <c r="BO4" s="49">
        <v>0</v>
      </c>
      <c r="BP4" s="50">
        <v>0</v>
      </c>
      <c r="BQ4" s="49">
        <v>0</v>
      </c>
      <c r="BR4" s="50">
        <v>0</v>
      </c>
      <c r="BS4" s="49">
        <v>13</v>
      </c>
      <c r="BT4" s="50">
        <v>54.166666666666664</v>
      </c>
      <c r="BU4" s="49">
        <v>24</v>
      </c>
    </row>
    <row r="5" spans="1:73" x14ac:dyDescent="0.25">
      <c r="A5" s="65" t="s">
        <v>241</v>
      </c>
      <c r="B5" s="65" t="s">
        <v>275</v>
      </c>
      <c r="C5" s="66" t="s">
        <v>10073</v>
      </c>
      <c r="D5" s="67">
        <v>3</v>
      </c>
      <c r="E5" s="68" t="s">
        <v>132</v>
      </c>
      <c r="F5" s="69">
        <v>35</v>
      </c>
      <c r="G5" s="66"/>
      <c r="H5" s="70"/>
      <c r="I5" s="71"/>
      <c r="J5" s="71"/>
      <c r="K5" s="35" t="s">
        <v>65</v>
      </c>
      <c r="L5" s="79">
        <v>5</v>
      </c>
      <c r="M5" s="79"/>
      <c r="N5" s="73"/>
      <c r="O5" s="81" t="s">
        <v>366</v>
      </c>
      <c r="P5" s="83">
        <v>45232.920590277776</v>
      </c>
      <c r="Q5" s="81" t="s">
        <v>373</v>
      </c>
      <c r="R5" s="81">
        <v>4</v>
      </c>
      <c r="S5" s="81">
        <v>0</v>
      </c>
      <c r="T5" s="81">
        <v>0</v>
      </c>
      <c r="U5" s="81">
        <v>0</v>
      </c>
      <c r="V5" s="81"/>
      <c r="W5" s="81"/>
      <c r="X5" s="81"/>
      <c r="Y5" s="81"/>
      <c r="Z5" s="81" t="s">
        <v>518</v>
      </c>
      <c r="AA5" s="81"/>
      <c r="AB5" s="81"/>
      <c r="AC5" s="84" t="s">
        <v>579</v>
      </c>
      <c r="AD5" s="81" t="s">
        <v>588</v>
      </c>
      <c r="AE5" s="86" t="str">
        <f>HYPERLINK("https://twitter.com/med_lafouairas/status/1720200524060917847")</f>
        <v>https://twitter.com/med_lafouairas/status/1720200524060917847</v>
      </c>
      <c r="AF5" s="83">
        <v>45232.920590277776</v>
      </c>
      <c r="AG5" s="89">
        <v>45232</v>
      </c>
      <c r="AH5" s="84" t="s">
        <v>591</v>
      </c>
      <c r="AI5" s="81" t="b">
        <v>0</v>
      </c>
      <c r="AJ5" s="81"/>
      <c r="AK5" s="81"/>
      <c r="AL5" s="81"/>
      <c r="AM5" s="81"/>
      <c r="AN5" s="81"/>
      <c r="AO5" s="81"/>
      <c r="AP5" s="81"/>
      <c r="AQ5" s="81"/>
      <c r="AR5" s="81"/>
      <c r="AS5" s="81"/>
      <c r="AT5" s="81"/>
      <c r="AU5" s="81"/>
      <c r="AV5" s="86" t="str">
        <f>HYPERLINK("https://pbs.twimg.com/profile_images/879370206400958464/D876GW69_normal.jpg")</f>
        <v>https://pbs.twimg.com/profile_images/879370206400958464/D876GW69_normal.jpg</v>
      </c>
      <c r="AW5" s="84" t="s">
        <v>745</v>
      </c>
      <c r="AX5" s="84" t="s">
        <v>745</v>
      </c>
      <c r="AY5" s="81"/>
      <c r="AZ5" s="84" t="s">
        <v>879</v>
      </c>
      <c r="BA5" s="84" t="s">
        <v>879</v>
      </c>
      <c r="BB5" s="84" t="s">
        <v>801</v>
      </c>
      <c r="BC5" s="84" t="s">
        <v>801</v>
      </c>
      <c r="BD5" s="84" t="s">
        <v>881</v>
      </c>
      <c r="BE5" s="81"/>
      <c r="BF5" s="81"/>
      <c r="BG5" s="81"/>
      <c r="BH5" s="81"/>
      <c r="BI5" s="81"/>
      <c r="BJ5">
        <v>1</v>
      </c>
      <c r="BK5" s="80" t="str">
        <f>REPLACE(INDEX(GroupVertices[Group], MATCH("~"&amp;Edges[[#This Row],[Vertex 1]],GroupVertices[Vertex],0)),1,1,"")</f>
        <v>3</v>
      </c>
      <c r="BL5" s="80" t="str">
        <f>REPLACE(INDEX(GroupVertices[Group], MATCH("~"&amp;Edges[[#This Row],[Vertex 2]],GroupVertices[Vertex],0)),1,1,"")</f>
        <v>3</v>
      </c>
      <c r="BM5" s="49"/>
      <c r="BN5" s="50"/>
      <c r="BO5" s="49"/>
      <c r="BP5" s="50"/>
      <c r="BQ5" s="49"/>
      <c r="BR5" s="50"/>
      <c r="BS5" s="49"/>
      <c r="BT5" s="50"/>
      <c r="BU5" s="49"/>
    </row>
    <row r="6" spans="1:73" x14ac:dyDescent="0.25">
      <c r="A6" s="65" t="s">
        <v>241</v>
      </c>
      <c r="B6" s="65" t="s">
        <v>249</v>
      </c>
      <c r="C6" s="66" t="s">
        <v>10073</v>
      </c>
      <c r="D6" s="67">
        <v>3</v>
      </c>
      <c r="E6" s="68" t="s">
        <v>132</v>
      </c>
      <c r="F6" s="69">
        <v>35</v>
      </c>
      <c r="G6" s="66"/>
      <c r="H6" s="70"/>
      <c r="I6" s="71"/>
      <c r="J6" s="71"/>
      <c r="K6" s="35" t="s">
        <v>65</v>
      </c>
      <c r="L6" s="79">
        <v>6</v>
      </c>
      <c r="M6" s="79"/>
      <c r="N6" s="73"/>
      <c r="O6" s="81" t="s">
        <v>366</v>
      </c>
      <c r="P6" s="83">
        <v>45232.920590277776</v>
      </c>
      <c r="Q6" s="81" t="s">
        <v>373</v>
      </c>
      <c r="R6" s="81">
        <v>4</v>
      </c>
      <c r="S6" s="81">
        <v>0</v>
      </c>
      <c r="T6" s="81">
        <v>0</v>
      </c>
      <c r="U6" s="81">
        <v>0</v>
      </c>
      <c r="V6" s="81"/>
      <c r="W6" s="81"/>
      <c r="X6" s="81"/>
      <c r="Y6" s="81"/>
      <c r="Z6" s="81" t="s">
        <v>518</v>
      </c>
      <c r="AA6" s="81"/>
      <c r="AB6" s="81"/>
      <c r="AC6" s="84" t="s">
        <v>579</v>
      </c>
      <c r="AD6" s="81" t="s">
        <v>588</v>
      </c>
      <c r="AE6" s="86" t="str">
        <f>HYPERLINK("https://twitter.com/med_lafouairas/status/1720200524060917847")</f>
        <v>https://twitter.com/med_lafouairas/status/1720200524060917847</v>
      </c>
      <c r="AF6" s="83">
        <v>45232.920590277776</v>
      </c>
      <c r="AG6" s="89">
        <v>45232</v>
      </c>
      <c r="AH6" s="84" t="s">
        <v>591</v>
      </c>
      <c r="AI6" s="81" t="b">
        <v>0</v>
      </c>
      <c r="AJ6" s="81"/>
      <c r="AK6" s="81"/>
      <c r="AL6" s="81"/>
      <c r="AM6" s="81"/>
      <c r="AN6" s="81"/>
      <c r="AO6" s="81"/>
      <c r="AP6" s="81"/>
      <c r="AQ6" s="81"/>
      <c r="AR6" s="81"/>
      <c r="AS6" s="81"/>
      <c r="AT6" s="81"/>
      <c r="AU6" s="81"/>
      <c r="AV6" s="86" t="str">
        <f>HYPERLINK("https://pbs.twimg.com/profile_images/879370206400958464/D876GW69_normal.jpg")</f>
        <v>https://pbs.twimg.com/profile_images/879370206400958464/D876GW69_normal.jpg</v>
      </c>
      <c r="AW6" s="84" t="s">
        <v>745</v>
      </c>
      <c r="AX6" s="84" t="s">
        <v>745</v>
      </c>
      <c r="AY6" s="81"/>
      <c r="AZ6" s="84" t="s">
        <v>879</v>
      </c>
      <c r="BA6" s="84" t="s">
        <v>879</v>
      </c>
      <c r="BB6" s="84" t="s">
        <v>801</v>
      </c>
      <c r="BC6" s="84" t="s">
        <v>801</v>
      </c>
      <c r="BD6" s="84" t="s">
        <v>881</v>
      </c>
      <c r="BE6" s="81"/>
      <c r="BF6" s="81"/>
      <c r="BG6" s="81"/>
      <c r="BH6" s="81"/>
      <c r="BI6" s="81"/>
      <c r="BJ6">
        <v>1</v>
      </c>
      <c r="BK6" s="80" t="str">
        <f>REPLACE(INDEX(GroupVertices[Group], MATCH("~"&amp;Edges[[#This Row],[Vertex 1]],GroupVertices[Vertex],0)),1,1,"")</f>
        <v>3</v>
      </c>
      <c r="BL6" s="80" t="str">
        <f>REPLACE(INDEX(GroupVertices[Group], MATCH("~"&amp;Edges[[#This Row],[Vertex 2]],GroupVertices[Vertex],0)),1,1,"")</f>
        <v>3</v>
      </c>
      <c r="BM6" s="49"/>
      <c r="BN6" s="50"/>
      <c r="BO6" s="49"/>
      <c r="BP6" s="50"/>
      <c r="BQ6" s="49"/>
      <c r="BR6" s="50"/>
      <c r="BS6" s="49"/>
      <c r="BT6" s="50"/>
      <c r="BU6" s="49"/>
    </row>
    <row r="7" spans="1:73" x14ac:dyDescent="0.25">
      <c r="A7" s="65" t="s">
        <v>241</v>
      </c>
      <c r="B7" s="65" t="s">
        <v>249</v>
      </c>
      <c r="C7" s="66" t="s">
        <v>10073</v>
      </c>
      <c r="D7" s="67">
        <v>3</v>
      </c>
      <c r="E7" s="68" t="s">
        <v>132</v>
      </c>
      <c r="F7" s="69">
        <v>35</v>
      </c>
      <c r="G7" s="66"/>
      <c r="H7" s="70"/>
      <c r="I7" s="71"/>
      <c r="J7" s="71"/>
      <c r="K7" s="35" t="s">
        <v>65</v>
      </c>
      <c r="L7" s="79">
        <v>7</v>
      </c>
      <c r="M7" s="79"/>
      <c r="N7" s="73"/>
      <c r="O7" s="81" t="s">
        <v>365</v>
      </c>
      <c r="P7" s="83">
        <v>45232.920590277776</v>
      </c>
      <c r="Q7" s="81" t="s">
        <v>373</v>
      </c>
      <c r="R7" s="81">
        <v>4</v>
      </c>
      <c r="S7" s="81">
        <v>0</v>
      </c>
      <c r="T7" s="81">
        <v>0</v>
      </c>
      <c r="U7" s="81">
        <v>0</v>
      </c>
      <c r="V7" s="81"/>
      <c r="W7" s="81"/>
      <c r="X7" s="81"/>
      <c r="Y7" s="81"/>
      <c r="Z7" s="81" t="s">
        <v>518</v>
      </c>
      <c r="AA7" s="81"/>
      <c r="AB7" s="81"/>
      <c r="AC7" s="84" t="s">
        <v>579</v>
      </c>
      <c r="AD7" s="81" t="s">
        <v>588</v>
      </c>
      <c r="AE7" s="86" t="str">
        <f>HYPERLINK("https://twitter.com/med_lafouairas/status/1720200524060917847")</f>
        <v>https://twitter.com/med_lafouairas/status/1720200524060917847</v>
      </c>
      <c r="AF7" s="83">
        <v>45232.920590277776</v>
      </c>
      <c r="AG7" s="89">
        <v>45232</v>
      </c>
      <c r="AH7" s="84" t="s">
        <v>591</v>
      </c>
      <c r="AI7" s="81" t="b">
        <v>0</v>
      </c>
      <c r="AJ7" s="81"/>
      <c r="AK7" s="81"/>
      <c r="AL7" s="81"/>
      <c r="AM7" s="81"/>
      <c r="AN7" s="81"/>
      <c r="AO7" s="81"/>
      <c r="AP7" s="81"/>
      <c r="AQ7" s="81"/>
      <c r="AR7" s="81"/>
      <c r="AS7" s="81"/>
      <c r="AT7" s="81"/>
      <c r="AU7" s="81"/>
      <c r="AV7" s="86" t="str">
        <f>HYPERLINK("https://pbs.twimg.com/profile_images/879370206400958464/D876GW69_normal.jpg")</f>
        <v>https://pbs.twimg.com/profile_images/879370206400958464/D876GW69_normal.jpg</v>
      </c>
      <c r="AW7" s="84" t="s">
        <v>745</v>
      </c>
      <c r="AX7" s="84" t="s">
        <v>745</v>
      </c>
      <c r="AY7" s="81"/>
      <c r="AZ7" s="84" t="s">
        <v>879</v>
      </c>
      <c r="BA7" s="84" t="s">
        <v>879</v>
      </c>
      <c r="BB7" s="84" t="s">
        <v>801</v>
      </c>
      <c r="BC7" s="84" t="s">
        <v>801</v>
      </c>
      <c r="BD7" s="84" t="s">
        <v>881</v>
      </c>
      <c r="BE7" s="81"/>
      <c r="BF7" s="81"/>
      <c r="BG7" s="81"/>
      <c r="BH7" s="81"/>
      <c r="BI7" s="81"/>
      <c r="BJ7">
        <v>1</v>
      </c>
      <c r="BK7" s="80" t="str">
        <f>REPLACE(INDEX(GroupVertices[Group], MATCH("~"&amp;Edges[[#This Row],[Vertex 1]],GroupVertices[Vertex],0)),1,1,"")</f>
        <v>3</v>
      </c>
      <c r="BL7" s="80" t="str">
        <f>REPLACE(INDEX(GroupVertices[Group], MATCH("~"&amp;Edges[[#This Row],[Vertex 2]],GroupVertices[Vertex],0)),1,1,"")</f>
        <v>3</v>
      </c>
      <c r="BM7" s="49">
        <v>2</v>
      </c>
      <c r="BN7" s="50">
        <v>9.5238095238095237</v>
      </c>
      <c r="BO7" s="49">
        <v>0</v>
      </c>
      <c r="BP7" s="50">
        <v>0</v>
      </c>
      <c r="BQ7" s="49">
        <v>0</v>
      </c>
      <c r="BR7" s="50">
        <v>0</v>
      </c>
      <c r="BS7" s="49">
        <v>11</v>
      </c>
      <c r="BT7" s="50">
        <v>52.38095238095238</v>
      </c>
      <c r="BU7" s="49">
        <v>21</v>
      </c>
    </row>
    <row r="8" spans="1:73" x14ac:dyDescent="0.25">
      <c r="A8" s="65" t="s">
        <v>242</v>
      </c>
      <c r="B8" s="65" t="s">
        <v>249</v>
      </c>
      <c r="C8" s="66" t="s">
        <v>10073</v>
      </c>
      <c r="D8" s="67">
        <v>3</v>
      </c>
      <c r="E8" s="68" t="s">
        <v>132</v>
      </c>
      <c r="F8" s="69">
        <v>35</v>
      </c>
      <c r="G8" s="66"/>
      <c r="H8" s="70"/>
      <c r="I8" s="71"/>
      <c r="J8" s="71"/>
      <c r="K8" s="35" t="s">
        <v>65</v>
      </c>
      <c r="L8" s="79">
        <v>8</v>
      </c>
      <c r="M8" s="79"/>
      <c r="N8" s="73"/>
      <c r="O8" s="81" t="s">
        <v>365</v>
      </c>
      <c r="P8" s="83">
        <v>45234.655370370368</v>
      </c>
      <c r="Q8" s="81" t="s">
        <v>374</v>
      </c>
      <c r="R8" s="81">
        <v>4</v>
      </c>
      <c r="S8" s="81">
        <v>0</v>
      </c>
      <c r="T8" s="81">
        <v>0</v>
      </c>
      <c r="U8" s="81">
        <v>0</v>
      </c>
      <c r="V8" s="81"/>
      <c r="W8" s="84" t="s">
        <v>470</v>
      </c>
      <c r="X8" s="81"/>
      <c r="Y8" s="81"/>
      <c r="Z8" s="81" t="s">
        <v>249</v>
      </c>
      <c r="AA8" s="81"/>
      <c r="AB8" s="81"/>
      <c r="AC8" s="84" t="s">
        <v>580</v>
      </c>
      <c r="AD8" s="81" t="s">
        <v>588</v>
      </c>
      <c r="AE8" s="86" t="str">
        <f>HYPERLINK("https://twitter.com/mahedikabir2/status/1720829189832483273")</f>
        <v>https://twitter.com/mahedikabir2/status/1720829189832483273</v>
      </c>
      <c r="AF8" s="83">
        <v>45234.655370370368</v>
      </c>
      <c r="AG8" s="89">
        <v>45234</v>
      </c>
      <c r="AH8" s="84" t="s">
        <v>592</v>
      </c>
      <c r="AI8" s="81"/>
      <c r="AJ8" s="81"/>
      <c r="AK8" s="81"/>
      <c r="AL8" s="81"/>
      <c r="AM8" s="81"/>
      <c r="AN8" s="81"/>
      <c r="AO8" s="81"/>
      <c r="AP8" s="81"/>
      <c r="AQ8" s="81"/>
      <c r="AR8" s="81"/>
      <c r="AS8" s="81"/>
      <c r="AT8" s="81"/>
      <c r="AU8" s="81"/>
      <c r="AV8" s="86" t="str">
        <f>HYPERLINK("https://pbs.twimg.com/profile_images/1688156554258771969/atYOIiFN_normal.jpg")</f>
        <v>https://pbs.twimg.com/profile_images/1688156554258771969/atYOIiFN_normal.jpg</v>
      </c>
      <c r="AW8" s="84" t="s">
        <v>746</v>
      </c>
      <c r="AX8" s="84" t="s">
        <v>746</v>
      </c>
      <c r="AY8" s="81"/>
      <c r="AZ8" s="84" t="s">
        <v>879</v>
      </c>
      <c r="BA8" s="84" t="s">
        <v>879</v>
      </c>
      <c r="BB8" s="84" t="s">
        <v>754</v>
      </c>
      <c r="BC8" s="84" t="s">
        <v>754</v>
      </c>
      <c r="BD8" s="81">
        <v>3190959720</v>
      </c>
      <c r="BE8" s="81"/>
      <c r="BF8" s="81"/>
      <c r="BG8" s="81"/>
      <c r="BH8" s="81"/>
      <c r="BI8" s="81"/>
      <c r="BJ8">
        <v>1</v>
      </c>
      <c r="BK8" s="80" t="str">
        <f>REPLACE(INDEX(GroupVertices[Group], MATCH("~"&amp;Edges[[#This Row],[Vertex 1]],GroupVertices[Vertex],0)),1,1,"")</f>
        <v>3</v>
      </c>
      <c r="BL8" s="80" t="str">
        <f>REPLACE(INDEX(GroupVertices[Group], MATCH("~"&amp;Edges[[#This Row],[Vertex 2]],GroupVertices[Vertex],0)),1,1,"")</f>
        <v>3</v>
      </c>
      <c r="BM8" s="49">
        <v>3</v>
      </c>
      <c r="BN8" s="50">
        <v>12.5</v>
      </c>
      <c r="BO8" s="49">
        <v>0</v>
      </c>
      <c r="BP8" s="50">
        <v>0</v>
      </c>
      <c r="BQ8" s="49">
        <v>0</v>
      </c>
      <c r="BR8" s="50">
        <v>0</v>
      </c>
      <c r="BS8" s="49">
        <v>9</v>
      </c>
      <c r="BT8" s="50">
        <v>37.5</v>
      </c>
      <c r="BU8" s="49">
        <v>24</v>
      </c>
    </row>
    <row r="9" spans="1:73" x14ac:dyDescent="0.25">
      <c r="A9" s="65" t="s">
        <v>243</v>
      </c>
      <c r="B9" s="65" t="s">
        <v>309</v>
      </c>
      <c r="C9" s="66" t="s">
        <v>10073</v>
      </c>
      <c r="D9" s="67">
        <v>3</v>
      </c>
      <c r="E9" s="68" t="s">
        <v>132</v>
      </c>
      <c r="F9" s="69">
        <v>35</v>
      </c>
      <c r="G9" s="66"/>
      <c r="H9" s="70"/>
      <c r="I9" s="71"/>
      <c r="J9" s="71"/>
      <c r="K9" s="35" t="s">
        <v>65</v>
      </c>
      <c r="L9" s="79">
        <v>9</v>
      </c>
      <c r="M9" s="79"/>
      <c r="N9" s="73"/>
      <c r="O9" s="81" t="s">
        <v>367</v>
      </c>
      <c r="P9" s="83">
        <v>45232.739606481482</v>
      </c>
      <c r="Q9" s="81" t="s">
        <v>375</v>
      </c>
      <c r="R9" s="81">
        <v>1</v>
      </c>
      <c r="S9" s="81">
        <v>4</v>
      </c>
      <c r="T9" s="81">
        <v>0</v>
      </c>
      <c r="U9" s="81">
        <v>0</v>
      </c>
      <c r="V9" s="81">
        <v>852</v>
      </c>
      <c r="W9" s="84" t="s">
        <v>471</v>
      </c>
      <c r="X9" s="86" t="str">
        <f>HYPERLINK("https://newhouse.syracuse.edu/news/newhouse-students-honored-for-visual-projects-in-college-photographer-of-the-year-and-aejmc-competitions/")</f>
        <v>https://newhouse.syracuse.edu/news/newhouse-students-honored-for-visual-projects-in-college-photographer-of-the-year-and-aejmc-competitions/</v>
      </c>
      <c r="Y9" s="81" t="s">
        <v>497</v>
      </c>
      <c r="Z9" s="81" t="s">
        <v>519</v>
      </c>
      <c r="AA9" s="81" t="s">
        <v>557</v>
      </c>
      <c r="AB9" s="81" t="s">
        <v>575</v>
      </c>
      <c r="AC9" s="84" t="s">
        <v>581</v>
      </c>
      <c r="AD9" s="81" t="s">
        <v>588</v>
      </c>
      <c r="AE9" s="86" t="str">
        <f>HYPERLINK("https://twitter.com/newhousesu/status/1720134936496116148")</f>
        <v>https://twitter.com/newhousesu/status/1720134936496116148</v>
      </c>
      <c r="AF9" s="83">
        <v>45232.739606481482</v>
      </c>
      <c r="AG9" s="89">
        <v>45232</v>
      </c>
      <c r="AH9" s="84" t="s">
        <v>593</v>
      </c>
      <c r="AI9" s="81" t="b">
        <v>0</v>
      </c>
      <c r="AJ9" s="81"/>
      <c r="AK9" s="81"/>
      <c r="AL9" s="81"/>
      <c r="AM9" s="81"/>
      <c r="AN9" s="81"/>
      <c r="AO9" s="81"/>
      <c r="AP9" s="81"/>
      <c r="AQ9" s="81" t="s">
        <v>726</v>
      </c>
      <c r="AR9" s="81"/>
      <c r="AS9" s="81"/>
      <c r="AT9" s="81"/>
      <c r="AU9" s="81"/>
      <c r="AV9" s="86" t="str">
        <f>HYPERLINK("https://pbs.twimg.com/media/F98lm41XkAAfs2k.jpg")</f>
        <v>https://pbs.twimg.com/media/F98lm41XkAAfs2k.jpg</v>
      </c>
      <c r="AW9" s="84" t="s">
        <v>747</v>
      </c>
      <c r="AX9" s="84" t="s">
        <v>747</v>
      </c>
      <c r="AY9" s="81"/>
      <c r="AZ9" s="84" t="s">
        <v>879</v>
      </c>
      <c r="BA9" s="84" t="s">
        <v>879</v>
      </c>
      <c r="BB9" s="84" t="s">
        <v>879</v>
      </c>
      <c r="BC9" s="84" t="s">
        <v>747</v>
      </c>
      <c r="BD9" s="81">
        <v>14295896</v>
      </c>
      <c r="BE9" s="81"/>
      <c r="BF9" s="81"/>
      <c r="BG9" s="81"/>
      <c r="BH9" s="81"/>
      <c r="BI9" s="81"/>
      <c r="BJ9">
        <v>1</v>
      </c>
      <c r="BK9" s="80" t="str">
        <f>REPLACE(INDEX(GroupVertices[Group], MATCH("~"&amp;Edges[[#This Row],[Vertex 1]],GroupVertices[Vertex],0)),1,1,"")</f>
        <v>1</v>
      </c>
      <c r="BL9" s="80" t="str">
        <f>REPLACE(INDEX(GroupVertices[Group], MATCH("~"&amp;Edges[[#This Row],[Vertex 2]],GroupVertices[Vertex],0)),1,1,"")</f>
        <v>1</v>
      </c>
      <c r="BM9" s="49"/>
      <c r="BN9" s="50"/>
      <c r="BO9" s="49"/>
      <c r="BP9" s="50"/>
      <c r="BQ9" s="49"/>
      <c r="BR9" s="50"/>
      <c r="BS9" s="49"/>
      <c r="BT9" s="50"/>
      <c r="BU9" s="49"/>
    </row>
    <row r="10" spans="1:73" x14ac:dyDescent="0.25">
      <c r="A10" s="65" t="s">
        <v>244</v>
      </c>
      <c r="B10" s="65" t="s">
        <v>309</v>
      </c>
      <c r="C10" s="66" t="s">
        <v>10073</v>
      </c>
      <c r="D10" s="67">
        <v>3</v>
      </c>
      <c r="E10" s="68" t="s">
        <v>132</v>
      </c>
      <c r="F10" s="69">
        <v>35</v>
      </c>
      <c r="G10" s="66"/>
      <c r="H10" s="70"/>
      <c r="I10" s="71"/>
      <c r="J10" s="71"/>
      <c r="K10" s="35" t="s">
        <v>65</v>
      </c>
      <c r="L10" s="79">
        <v>10</v>
      </c>
      <c r="M10" s="79"/>
      <c r="N10" s="73"/>
      <c r="O10" s="81" t="s">
        <v>366</v>
      </c>
      <c r="P10" s="83">
        <v>45232.802835648145</v>
      </c>
      <c r="Q10" s="81" t="s">
        <v>376</v>
      </c>
      <c r="R10" s="81">
        <v>1</v>
      </c>
      <c r="S10" s="81">
        <v>0</v>
      </c>
      <c r="T10" s="81">
        <v>0</v>
      </c>
      <c r="U10" s="81">
        <v>0</v>
      </c>
      <c r="V10" s="81"/>
      <c r="W10" s="81"/>
      <c r="X10" s="81"/>
      <c r="Y10" s="81"/>
      <c r="Z10" s="81" t="s">
        <v>520</v>
      </c>
      <c r="AA10" s="81"/>
      <c r="AB10" s="81"/>
      <c r="AC10" s="84" t="s">
        <v>579</v>
      </c>
      <c r="AD10" s="81" t="s">
        <v>588</v>
      </c>
      <c r="AE10" s="86" t="str">
        <f>HYPERLINK("https://twitter.com/isaiah_photo/status/1720157850465411279")</f>
        <v>https://twitter.com/isaiah_photo/status/1720157850465411279</v>
      </c>
      <c r="AF10" s="83">
        <v>45232.802835648145</v>
      </c>
      <c r="AG10" s="89">
        <v>45232</v>
      </c>
      <c r="AH10" s="84" t="s">
        <v>594</v>
      </c>
      <c r="AI10" s="81"/>
      <c r="AJ10" s="81"/>
      <c r="AK10" s="81"/>
      <c r="AL10" s="81"/>
      <c r="AM10" s="81"/>
      <c r="AN10" s="81"/>
      <c r="AO10" s="81"/>
      <c r="AP10" s="81"/>
      <c r="AQ10" s="81"/>
      <c r="AR10" s="81"/>
      <c r="AS10" s="81"/>
      <c r="AT10" s="81"/>
      <c r="AU10" s="81"/>
      <c r="AV10" s="86" t="str">
        <f>HYPERLINK("https://pbs.twimg.com/profile_images/1531774008953282561/q_a9l7rN_normal.jpg")</f>
        <v>https://pbs.twimg.com/profile_images/1531774008953282561/q_a9l7rN_normal.jpg</v>
      </c>
      <c r="AW10" s="84" t="s">
        <v>748</v>
      </c>
      <c r="AX10" s="84" t="s">
        <v>748</v>
      </c>
      <c r="AY10" s="81"/>
      <c r="AZ10" s="84" t="s">
        <v>879</v>
      </c>
      <c r="BA10" s="84" t="s">
        <v>879</v>
      </c>
      <c r="BB10" s="84" t="s">
        <v>747</v>
      </c>
      <c r="BC10" s="84" t="s">
        <v>747</v>
      </c>
      <c r="BD10" s="81">
        <v>381453828</v>
      </c>
      <c r="BE10" s="81"/>
      <c r="BF10" s="81"/>
      <c r="BG10" s="81"/>
      <c r="BH10" s="81"/>
      <c r="BI10" s="81"/>
      <c r="BJ10">
        <v>1</v>
      </c>
      <c r="BK10" s="80" t="str">
        <f>REPLACE(INDEX(GroupVertices[Group], MATCH("~"&amp;Edges[[#This Row],[Vertex 1]],GroupVertices[Vertex],0)),1,1,"")</f>
        <v>1</v>
      </c>
      <c r="BL10" s="80" t="str">
        <f>REPLACE(INDEX(GroupVertices[Group], MATCH("~"&amp;Edges[[#This Row],[Vertex 2]],GroupVertices[Vertex],0)),1,1,"")</f>
        <v>1</v>
      </c>
      <c r="BM10" s="49"/>
      <c r="BN10" s="50"/>
      <c r="BO10" s="49"/>
      <c r="BP10" s="50"/>
      <c r="BQ10" s="49"/>
      <c r="BR10" s="50"/>
      <c r="BS10" s="49"/>
      <c r="BT10" s="50"/>
      <c r="BU10" s="49"/>
    </row>
    <row r="11" spans="1:73" x14ac:dyDescent="0.25">
      <c r="A11" s="65" t="s">
        <v>243</v>
      </c>
      <c r="B11" s="65" t="s">
        <v>244</v>
      </c>
      <c r="C11" s="66" t="s">
        <v>10073</v>
      </c>
      <c r="D11" s="67">
        <v>3</v>
      </c>
      <c r="E11" s="68" t="s">
        <v>132</v>
      </c>
      <c r="F11" s="69">
        <v>35</v>
      </c>
      <c r="G11" s="66"/>
      <c r="H11" s="70"/>
      <c r="I11" s="71"/>
      <c r="J11" s="71"/>
      <c r="K11" s="35" t="s">
        <v>66</v>
      </c>
      <c r="L11" s="79">
        <v>11</v>
      </c>
      <c r="M11" s="79"/>
      <c r="N11" s="73"/>
      <c r="O11" s="81" t="s">
        <v>367</v>
      </c>
      <c r="P11" s="83">
        <v>45232.739606481482</v>
      </c>
      <c r="Q11" s="81" t="s">
        <v>375</v>
      </c>
      <c r="R11" s="81">
        <v>1</v>
      </c>
      <c r="S11" s="81">
        <v>4</v>
      </c>
      <c r="T11" s="81">
        <v>0</v>
      </c>
      <c r="U11" s="81">
        <v>0</v>
      </c>
      <c r="V11" s="81">
        <v>852</v>
      </c>
      <c r="W11" s="84" t="s">
        <v>471</v>
      </c>
      <c r="X11" s="86" t="str">
        <f>HYPERLINK("https://newhouse.syracuse.edu/news/newhouse-students-honored-for-visual-projects-in-college-photographer-of-the-year-and-aejmc-competitions/")</f>
        <v>https://newhouse.syracuse.edu/news/newhouse-students-honored-for-visual-projects-in-college-photographer-of-the-year-and-aejmc-competitions/</v>
      </c>
      <c r="Y11" s="81" t="s">
        <v>497</v>
      </c>
      <c r="Z11" s="81" t="s">
        <v>519</v>
      </c>
      <c r="AA11" s="81" t="s">
        <v>557</v>
      </c>
      <c r="AB11" s="81" t="s">
        <v>575</v>
      </c>
      <c r="AC11" s="84" t="s">
        <v>581</v>
      </c>
      <c r="AD11" s="81" t="s">
        <v>588</v>
      </c>
      <c r="AE11" s="86" t="str">
        <f>HYPERLINK("https://twitter.com/newhousesu/status/1720134936496116148")</f>
        <v>https://twitter.com/newhousesu/status/1720134936496116148</v>
      </c>
      <c r="AF11" s="83">
        <v>45232.739606481482</v>
      </c>
      <c r="AG11" s="89">
        <v>45232</v>
      </c>
      <c r="AH11" s="84" t="s">
        <v>593</v>
      </c>
      <c r="AI11" s="81" t="b">
        <v>0</v>
      </c>
      <c r="AJ11" s="81"/>
      <c r="AK11" s="81"/>
      <c r="AL11" s="81"/>
      <c r="AM11" s="81"/>
      <c r="AN11" s="81"/>
      <c r="AO11" s="81"/>
      <c r="AP11" s="81"/>
      <c r="AQ11" s="81" t="s">
        <v>726</v>
      </c>
      <c r="AR11" s="81"/>
      <c r="AS11" s="81"/>
      <c r="AT11" s="81"/>
      <c r="AU11" s="81"/>
      <c r="AV11" s="86" t="str">
        <f>HYPERLINK("https://pbs.twimg.com/media/F98lm41XkAAfs2k.jpg")</f>
        <v>https://pbs.twimg.com/media/F98lm41XkAAfs2k.jpg</v>
      </c>
      <c r="AW11" s="84" t="s">
        <v>747</v>
      </c>
      <c r="AX11" s="84" t="s">
        <v>747</v>
      </c>
      <c r="AY11" s="81"/>
      <c r="AZ11" s="84" t="s">
        <v>879</v>
      </c>
      <c r="BA11" s="84" t="s">
        <v>879</v>
      </c>
      <c r="BB11" s="84" t="s">
        <v>879</v>
      </c>
      <c r="BC11" s="84" t="s">
        <v>747</v>
      </c>
      <c r="BD11" s="81">
        <v>14295896</v>
      </c>
      <c r="BE11" s="81"/>
      <c r="BF11" s="81"/>
      <c r="BG11" s="81"/>
      <c r="BH11" s="81"/>
      <c r="BI11" s="81"/>
      <c r="BJ11">
        <v>1</v>
      </c>
      <c r="BK11" s="80" t="str">
        <f>REPLACE(INDEX(GroupVertices[Group], MATCH("~"&amp;Edges[[#This Row],[Vertex 1]],GroupVertices[Vertex],0)),1,1,"")</f>
        <v>1</v>
      </c>
      <c r="BL11" s="80" t="str">
        <f>REPLACE(INDEX(GroupVertices[Group], MATCH("~"&amp;Edges[[#This Row],[Vertex 2]],GroupVertices[Vertex],0)),1,1,"")</f>
        <v>1</v>
      </c>
      <c r="BM11" s="49"/>
      <c r="BN11" s="50"/>
      <c r="BO11" s="49"/>
      <c r="BP11" s="50"/>
      <c r="BQ11" s="49"/>
      <c r="BR11" s="50"/>
      <c r="BS11" s="49"/>
      <c r="BT11" s="50"/>
      <c r="BU11" s="49"/>
    </row>
    <row r="12" spans="1:73" x14ac:dyDescent="0.25">
      <c r="A12" s="65" t="s">
        <v>244</v>
      </c>
      <c r="B12" s="65" t="s">
        <v>268</v>
      </c>
      <c r="C12" s="66" t="s">
        <v>10073</v>
      </c>
      <c r="D12" s="67">
        <v>3</v>
      </c>
      <c r="E12" s="68" t="s">
        <v>132</v>
      </c>
      <c r="F12" s="69">
        <v>35</v>
      </c>
      <c r="G12" s="66"/>
      <c r="H12" s="70"/>
      <c r="I12" s="71"/>
      <c r="J12" s="71"/>
      <c r="K12" s="35" t="s">
        <v>65</v>
      </c>
      <c r="L12" s="79">
        <v>12</v>
      </c>
      <c r="M12" s="79"/>
      <c r="N12" s="73"/>
      <c r="O12" s="81" t="s">
        <v>366</v>
      </c>
      <c r="P12" s="83">
        <v>45232.802835648145</v>
      </c>
      <c r="Q12" s="81" t="s">
        <v>376</v>
      </c>
      <c r="R12" s="81">
        <v>1</v>
      </c>
      <c r="S12" s="81">
        <v>0</v>
      </c>
      <c r="T12" s="81">
        <v>0</v>
      </c>
      <c r="U12" s="81">
        <v>0</v>
      </c>
      <c r="V12" s="81"/>
      <c r="W12" s="81"/>
      <c r="X12" s="81"/>
      <c r="Y12" s="81"/>
      <c r="Z12" s="81" t="s">
        <v>520</v>
      </c>
      <c r="AA12" s="81"/>
      <c r="AB12" s="81"/>
      <c r="AC12" s="84" t="s">
        <v>579</v>
      </c>
      <c r="AD12" s="81" t="s">
        <v>588</v>
      </c>
      <c r="AE12" s="86" t="str">
        <f>HYPERLINK("https://twitter.com/isaiah_photo/status/1720157850465411279")</f>
        <v>https://twitter.com/isaiah_photo/status/1720157850465411279</v>
      </c>
      <c r="AF12" s="83">
        <v>45232.802835648145</v>
      </c>
      <c r="AG12" s="89">
        <v>45232</v>
      </c>
      <c r="AH12" s="84" t="s">
        <v>594</v>
      </c>
      <c r="AI12" s="81"/>
      <c r="AJ12" s="81"/>
      <c r="AK12" s="81"/>
      <c r="AL12" s="81"/>
      <c r="AM12" s="81"/>
      <c r="AN12" s="81"/>
      <c r="AO12" s="81"/>
      <c r="AP12" s="81"/>
      <c r="AQ12" s="81"/>
      <c r="AR12" s="81"/>
      <c r="AS12" s="81"/>
      <c r="AT12" s="81"/>
      <c r="AU12" s="81"/>
      <c r="AV12" s="86" t="str">
        <f>HYPERLINK("https://pbs.twimg.com/profile_images/1531774008953282561/q_a9l7rN_normal.jpg")</f>
        <v>https://pbs.twimg.com/profile_images/1531774008953282561/q_a9l7rN_normal.jpg</v>
      </c>
      <c r="AW12" s="84" t="s">
        <v>748</v>
      </c>
      <c r="AX12" s="84" t="s">
        <v>748</v>
      </c>
      <c r="AY12" s="81"/>
      <c r="AZ12" s="84" t="s">
        <v>879</v>
      </c>
      <c r="BA12" s="84" t="s">
        <v>879</v>
      </c>
      <c r="BB12" s="84" t="s">
        <v>747</v>
      </c>
      <c r="BC12" s="84" t="s">
        <v>747</v>
      </c>
      <c r="BD12" s="81">
        <v>381453828</v>
      </c>
      <c r="BE12" s="81"/>
      <c r="BF12" s="81"/>
      <c r="BG12" s="81"/>
      <c r="BH12" s="81"/>
      <c r="BI12" s="81"/>
      <c r="BJ12">
        <v>1</v>
      </c>
      <c r="BK12" s="80" t="str">
        <f>REPLACE(INDEX(GroupVertices[Group], MATCH("~"&amp;Edges[[#This Row],[Vertex 1]],GroupVertices[Vertex],0)),1,1,"")</f>
        <v>1</v>
      </c>
      <c r="BL12" s="80" t="str">
        <f>REPLACE(INDEX(GroupVertices[Group], MATCH("~"&amp;Edges[[#This Row],[Vertex 2]],GroupVertices[Vertex],0)),1,1,"")</f>
        <v>1</v>
      </c>
      <c r="BM12" s="49">
        <v>1</v>
      </c>
      <c r="BN12" s="50">
        <v>4.7619047619047619</v>
      </c>
      <c r="BO12" s="49">
        <v>0</v>
      </c>
      <c r="BP12" s="50">
        <v>0</v>
      </c>
      <c r="BQ12" s="49">
        <v>0</v>
      </c>
      <c r="BR12" s="50">
        <v>0</v>
      </c>
      <c r="BS12" s="49">
        <v>9</v>
      </c>
      <c r="BT12" s="50">
        <v>42.857142857142854</v>
      </c>
      <c r="BU12" s="49">
        <v>21</v>
      </c>
    </row>
    <row r="13" spans="1:73" x14ac:dyDescent="0.25">
      <c r="A13" s="65" t="s">
        <v>244</v>
      </c>
      <c r="B13" s="65" t="s">
        <v>243</v>
      </c>
      <c r="C13" s="66" t="s">
        <v>10073</v>
      </c>
      <c r="D13" s="67">
        <v>3</v>
      </c>
      <c r="E13" s="68" t="s">
        <v>132</v>
      </c>
      <c r="F13" s="69">
        <v>35</v>
      </c>
      <c r="G13" s="66"/>
      <c r="H13" s="70"/>
      <c r="I13" s="71"/>
      <c r="J13" s="71"/>
      <c r="K13" s="35" t="s">
        <v>66</v>
      </c>
      <c r="L13" s="79">
        <v>13</v>
      </c>
      <c r="M13" s="79"/>
      <c r="N13" s="73"/>
      <c r="O13" s="81" t="s">
        <v>366</v>
      </c>
      <c r="P13" s="83">
        <v>45232.802835648145</v>
      </c>
      <c r="Q13" s="81" t="s">
        <v>376</v>
      </c>
      <c r="R13" s="81">
        <v>1</v>
      </c>
      <c r="S13" s="81">
        <v>0</v>
      </c>
      <c r="T13" s="81">
        <v>0</v>
      </c>
      <c r="U13" s="81">
        <v>0</v>
      </c>
      <c r="V13" s="81"/>
      <c r="W13" s="81"/>
      <c r="X13" s="81"/>
      <c r="Y13" s="81"/>
      <c r="Z13" s="81" t="s">
        <v>520</v>
      </c>
      <c r="AA13" s="81"/>
      <c r="AB13" s="81"/>
      <c r="AC13" s="84" t="s">
        <v>579</v>
      </c>
      <c r="AD13" s="81" t="s">
        <v>588</v>
      </c>
      <c r="AE13" s="86" t="str">
        <f>HYPERLINK("https://twitter.com/isaiah_photo/status/1720157850465411279")</f>
        <v>https://twitter.com/isaiah_photo/status/1720157850465411279</v>
      </c>
      <c r="AF13" s="83">
        <v>45232.802835648145</v>
      </c>
      <c r="AG13" s="89">
        <v>45232</v>
      </c>
      <c r="AH13" s="84" t="s">
        <v>594</v>
      </c>
      <c r="AI13" s="81"/>
      <c r="AJ13" s="81"/>
      <c r="AK13" s="81"/>
      <c r="AL13" s="81"/>
      <c r="AM13" s="81"/>
      <c r="AN13" s="81"/>
      <c r="AO13" s="81"/>
      <c r="AP13" s="81"/>
      <c r="AQ13" s="81"/>
      <c r="AR13" s="81"/>
      <c r="AS13" s="81"/>
      <c r="AT13" s="81"/>
      <c r="AU13" s="81"/>
      <c r="AV13" s="86" t="str">
        <f>HYPERLINK("https://pbs.twimg.com/profile_images/1531774008953282561/q_a9l7rN_normal.jpg")</f>
        <v>https://pbs.twimg.com/profile_images/1531774008953282561/q_a9l7rN_normal.jpg</v>
      </c>
      <c r="AW13" s="84" t="s">
        <v>748</v>
      </c>
      <c r="AX13" s="84" t="s">
        <v>748</v>
      </c>
      <c r="AY13" s="81"/>
      <c r="AZ13" s="84" t="s">
        <v>879</v>
      </c>
      <c r="BA13" s="84" t="s">
        <v>879</v>
      </c>
      <c r="BB13" s="84" t="s">
        <v>747</v>
      </c>
      <c r="BC13" s="84" t="s">
        <v>747</v>
      </c>
      <c r="BD13" s="81">
        <v>381453828</v>
      </c>
      <c r="BE13" s="81"/>
      <c r="BF13" s="81"/>
      <c r="BG13" s="81"/>
      <c r="BH13" s="81"/>
      <c r="BI13" s="81"/>
      <c r="BJ13">
        <v>1</v>
      </c>
      <c r="BK13" s="80" t="str">
        <f>REPLACE(INDEX(GroupVertices[Group], MATCH("~"&amp;Edges[[#This Row],[Vertex 1]],GroupVertices[Vertex],0)),1,1,"")</f>
        <v>1</v>
      </c>
      <c r="BL13" s="80" t="str">
        <f>REPLACE(INDEX(GroupVertices[Group], MATCH("~"&amp;Edges[[#This Row],[Vertex 2]],GroupVertices[Vertex],0)),1,1,"")</f>
        <v>1</v>
      </c>
      <c r="BM13" s="49"/>
      <c r="BN13" s="50"/>
      <c r="BO13" s="49"/>
      <c r="BP13" s="50"/>
      <c r="BQ13" s="49"/>
      <c r="BR13" s="50"/>
      <c r="BS13" s="49"/>
      <c r="BT13" s="50"/>
      <c r="BU13" s="49"/>
    </row>
    <row r="14" spans="1:73" x14ac:dyDescent="0.25">
      <c r="A14" s="65" t="s">
        <v>244</v>
      </c>
      <c r="B14" s="65" t="s">
        <v>243</v>
      </c>
      <c r="C14" s="66" t="s">
        <v>10073</v>
      </c>
      <c r="D14" s="67">
        <v>3</v>
      </c>
      <c r="E14" s="68" t="s">
        <v>132</v>
      </c>
      <c r="F14" s="69">
        <v>35</v>
      </c>
      <c r="G14" s="66"/>
      <c r="H14" s="70"/>
      <c r="I14" s="71"/>
      <c r="J14" s="71"/>
      <c r="K14" s="35" t="s">
        <v>66</v>
      </c>
      <c r="L14" s="79">
        <v>14</v>
      </c>
      <c r="M14" s="79"/>
      <c r="N14" s="73"/>
      <c r="O14" s="81" t="s">
        <v>365</v>
      </c>
      <c r="P14" s="83">
        <v>45232.802835648145</v>
      </c>
      <c r="Q14" s="81" t="s">
        <v>376</v>
      </c>
      <c r="R14" s="81">
        <v>1</v>
      </c>
      <c r="S14" s="81">
        <v>0</v>
      </c>
      <c r="T14" s="81">
        <v>0</v>
      </c>
      <c r="U14" s="81">
        <v>0</v>
      </c>
      <c r="V14" s="81"/>
      <c r="W14" s="81"/>
      <c r="X14" s="81"/>
      <c r="Y14" s="81"/>
      <c r="Z14" s="81" t="s">
        <v>520</v>
      </c>
      <c r="AA14" s="81"/>
      <c r="AB14" s="81"/>
      <c r="AC14" s="84" t="s">
        <v>579</v>
      </c>
      <c r="AD14" s="81" t="s">
        <v>588</v>
      </c>
      <c r="AE14" s="86" t="str">
        <f>HYPERLINK("https://twitter.com/isaiah_photo/status/1720157850465411279")</f>
        <v>https://twitter.com/isaiah_photo/status/1720157850465411279</v>
      </c>
      <c r="AF14" s="83">
        <v>45232.802835648145</v>
      </c>
      <c r="AG14" s="89">
        <v>45232</v>
      </c>
      <c r="AH14" s="84" t="s">
        <v>594</v>
      </c>
      <c r="AI14" s="81"/>
      <c r="AJ14" s="81"/>
      <c r="AK14" s="81"/>
      <c r="AL14" s="81"/>
      <c r="AM14" s="81"/>
      <c r="AN14" s="81"/>
      <c r="AO14" s="81"/>
      <c r="AP14" s="81"/>
      <c r="AQ14" s="81"/>
      <c r="AR14" s="81"/>
      <c r="AS14" s="81"/>
      <c r="AT14" s="81"/>
      <c r="AU14" s="81"/>
      <c r="AV14" s="86" t="str">
        <f>HYPERLINK("https://pbs.twimg.com/profile_images/1531774008953282561/q_a9l7rN_normal.jpg")</f>
        <v>https://pbs.twimg.com/profile_images/1531774008953282561/q_a9l7rN_normal.jpg</v>
      </c>
      <c r="AW14" s="84" t="s">
        <v>748</v>
      </c>
      <c r="AX14" s="84" t="s">
        <v>748</v>
      </c>
      <c r="AY14" s="81"/>
      <c r="AZ14" s="84" t="s">
        <v>879</v>
      </c>
      <c r="BA14" s="84" t="s">
        <v>879</v>
      </c>
      <c r="BB14" s="84" t="s">
        <v>747</v>
      </c>
      <c r="BC14" s="84" t="s">
        <v>747</v>
      </c>
      <c r="BD14" s="81">
        <v>381453828</v>
      </c>
      <c r="BE14" s="81"/>
      <c r="BF14" s="81"/>
      <c r="BG14" s="81"/>
      <c r="BH14" s="81"/>
      <c r="BI14" s="81"/>
      <c r="BJ14">
        <v>1</v>
      </c>
      <c r="BK14" s="80" t="str">
        <f>REPLACE(INDEX(GroupVertices[Group], MATCH("~"&amp;Edges[[#This Row],[Vertex 1]],GroupVertices[Vertex],0)),1,1,"")</f>
        <v>1</v>
      </c>
      <c r="BL14" s="80" t="str">
        <f>REPLACE(INDEX(GroupVertices[Group], MATCH("~"&amp;Edges[[#This Row],[Vertex 2]],GroupVertices[Vertex],0)),1,1,"")</f>
        <v>1</v>
      </c>
      <c r="BM14" s="49"/>
      <c r="BN14" s="50"/>
      <c r="BO14" s="49"/>
      <c r="BP14" s="50"/>
      <c r="BQ14" s="49"/>
      <c r="BR14" s="50"/>
      <c r="BS14" s="49"/>
      <c r="BT14" s="50"/>
      <c r="BU14" s="49"/>
    </row>
    <row r="15" spans="1:73" x14ac:dyDescent="0.25">
      <c r="A15" s="65" t="s">
        <v>245</v>
      </c>
      <c r="B15" s="65" t="s">
        <v>310</v>
      </c>
      <c r="C15" s="66" t="s">
        <v>10073</v>
      </c>
      <c r="D15" s="67">
        <v>3</v>
      </c>
      <c r="E15" s="68" t="s">
        <v>132</v>
      </c>
      <c r="F15" s="69">
        <v>35</v>
      </c>
      <c r="G15" s="66"/>
      <c r="H15" s="70"/>
      <c r="I15" s="71"/>
      <c r="J15" s="71"/>
      <c r="K15" s="35" t="s">
        <v>65</v>
      </c>
      <c r="L15" s="79">
        <v>15</v>
      </c>
      <c r="M15" s="79"/>
      <c r="N15" s="73"/>
      <c r="O15" s="81" t="s">
        <v>368</v>
      </c>
      <c r="P15" s="83">
        <v>45234.080277777779</v>
      </c>
      <c r="Q15" s="81" t="s">
        <v>377</v>
      </c>
      <c r="R15" s="81">
        <v>0</v>
      </c>
      <c r="S15" s="81">
        <v>1</v>
      </c>
      <c r="T15" s="81">
        <v>0</v>
      </c>
      <c r="U15" s="81">
        <v>0</v>
      </c>
      <c r="V15" s="81">
        <v>20</v>
      </c>
      <c r="W15" s="81"/>
      <c r="X15" s="81"/>
      <c r="Y15" s="81"/>
      <c r="Z15" s="81" t="s">
        <v>521</v>
      </c>
      <c r="AA15" s="81"/>
      <c r="AB15" s="81"/>
      <c r="AC15" s="84" t="s">
        <v>582</v>
      </c>
      <c r="AD15" s="81" t="s">
        <v>588</v>
      </c>
      <c r="AE15" s="86" t="str">
        <f>HYPERLINK("https://twitter.com/profkakie/status/1720620782651351141")</f>
        <v>https://twitter.com/profkakie/status/1720620782651351141</v>
      </c>
      <c r="AF15" s="83">
        <v>45234.080277777779</v>
      </c>
      <c r="AG15" s="89">
        <v>45234</v>
      </c>
      <c r="AH15" s="84" t="s">
        <v>595</v>
      </c>
      <c r="AI15" s="81"/>
      <c r="AJ15" s="81"/>
      <c r="AK15" s="81"/>
      <c r="AL15" s="81"/>
      <c r="AM15" s="81"/>
      <c r="AN15" s="81"/>
      <c r="AO15" s="81"/>
      <c r="AP15" s="81"/>
      <c r="AQ15" s="81"/>
      <c r="AR15" s="81"/>
      <c r="AS15" s="81"/>
      <c r="AT15" s="81"/>
      <c r="AU15" s="81"/>
      <c r="AV15" s="86" t="str">
        <f>HYPERLINK("https://pbs.twimg.com/profile_images/506305736834428928/l7hB0YVf_normal.jpeg")</f>
        <v>https://pbs.twimg.com/profile_images/506305736834428928/l7hB0YVf_normal.jpeg</v>
      </c>
      <c r="AW15" s="84" t="s">
        <v>749</v>
      </c>
      <c r="AX15" s="84" t="s">
        <v>873</v>
      </c>
      <c r="AY15" s="84" t="s">
        <v>875</v>
      </c>
      <c r="AZ15" s="84" t="s">
        <v>880</v>
      </c>
      <c r="BA15" s="84" t="s">
        <v>879</v>
      </c>
      <c r="BB15" s="84" t="s">
        <v>879</v>
      </c>
      <c r="BC15" s="84" t="s">
        <v>880</v>
      </c>
      <c r="BD15" s="81">
        <v>24373764</v>
      </c>
      <c r="BE15" s="81"/>
      <c r="BF15" s="81"/>
      <c r="BG15" s="81"/>
      <c r="BH15" s="81"/>
      <c r="BI15" s="81"/>
      <c r="BJ15">
        <v>1</v>
      </c>
      <c r="BK15" s="80" t="str">
        <f>REPLACE(INDEX(GroupVertices[Group], MATCH("~"&amp;Edges[[#This Row],[Vertex 1]],GroupVertices[Vertex],0)),1,1,"")</f>
        <v>12</v>
      </c>
      <c r="BL15" s="80" t="str">
        <f>REPLACE(INDEX(GroupVertices[Group], MATCH("~"&amp;Edges[[#This Row],[Vertex 2]],GroupVertices[Vertex],0)),1,1,"")</f>
        <v>12</v>
      </c>
      <c r="BM15" s="49"/>
      <c r="BN15" s="50"/>
      <c r="BO15" s="49"/>
      <c r="BP15" s="50"/>
      <c r="BQ15" s="49"/>
      <c r="BR15" s="50"/>
      <c r="BS15" s="49"/>
      <c r="BT15" s="50"/>
      <c r="BU15" s="49"/>
    </row>
    <row r="16" spans="1:73" x14ac:dyDescent="0.25">
      <c r="A16" s="65" t="s">
        <v>245</v>
      </c>
      <c r="B16" s="65" t="s">
        <v>311</v>
      </c>
      <c r="C16" s="66" t="s">
        <v>10073</v>
      </c>
      <c r="D16" s="67">
        <v>3</v>
      </c>
      <c r="E16" s="68" t="s">
        <v>132</v>
      </c>
      <c r="F16" s="69">
        <v>35</v>
      </c>
      <c r="G16" s="66"/>
      <c r="H16" s="70"/>
      <c r="I16" s="71"/>
      <c r="J16" s="71"/>
      <c r="K16" s="35" t="s">
        <v>65</v>
      </c>
      <c r="L16" s="79">
        <v>16</v>
      </c>
      <c r="M16" s="79"/>
      <c r="N16" s="73"/>
      <c r="O16" s="81" t="s">
        <v>368</v>
      </c>
      <c r="P16" s="83">
        <v>45234.080277777779</v>
      </c>
      <c r="Q16" s="81" t="s">
        <v>377</v>
      </c>
      <c r="R16" s="81">
        <v>0</v>
      </c>
      <c r="S16" s="81">
        <v>1</v>
      </c>
      <c r="T16" s="81">
        <v>0</v>
      </c>
      <c r="U16" s="81">
        <v>0</v>
      </c>
      <c r="V16" s="81">
        <v>20</v>
      </c>
      <c r="W16" s="81"/>
      <c r="X16" s="81"/>
      <c r="Y16" s="81"/>
      <c r="Z16" s="81" t="s">
        <v>521</v>
      </c>
      <c r="AA16" s="81"/>
      <c r="AB16" s="81"/>
      <c r="AC16" s="84" t="s">
        <v>582</v>
      </c>
      <c r="AD16" s="81" t="s">
        <v>588</v>
      </c>
      <c r="AE16" s="86" t="str">
        <f>HYPERLINK("https://twitter.com/profkakie/status/1720620782651351141")</f>
        <v>https://twitter.com/profkakie/status/1720620782651351141</v>
      </c>
      <c r="AF16" s="83">
        <v>45234.080277777779</v>
      </c>
      <c r="AG16" s="89">
        <v>45234</v>
      </c>
      <c r="AH16" s="84" t="s">
        <v>595</v>
      </c>
      <c r="AI16" s="81"/>
      <c r="AJ16" s="81"/>
      <c r="AK16" s="81"/>
      <c r="AL16" s="81"/>
      <c r="AM16" s="81"/>
      <c r="AN16" s="81"/>
      <c r="AO16" s="81"/>
      <c r="AP16" s="81"/>
      <c r="AQ16" s="81"/>
      <c r="AR16" s="81"/>
      <c r="AS16" s="81"/>
      <c r="AT16" s="81"/>
      <c r="AU16" s="81"/>
      <c r="AV16" s="86" t="str">
        <f>HYPERLINK("https://pbs.twimg.com/profile_images/506305736834428928/l7hB0YVf_normal.jpeg")</f>
        <v>https://pbs.twimg.com/profile_images/506305736834428928/l7hB0YVf_normal.jpeg</v>
      </c>
      <c r="AW16" s="84" t="s">
        <v>749</v>
      </c>
      <c r="AX16" s="84" t="s">
        <v>873</v>
      </c>
      <c r="AY16" s="84" t="s">
        <v>875</v>
      </c>
      <c r="AZ16" s="84" t="s">
        <v>880</v>
      </c>
      <c r="BA16" s="84" t="s">
        <v>879</v>
      </c>
      <c r="BB16" s="84" t="s">
        <v>879</v>
      </c>
      <c r="BC16" s="84" t="s">
        <v>880</v>
      </c>
      <c r="BD16" s="81">
        <v>24373764</v>
      </c>
      <c r="BE16" s="81"/>
      <c r="BF16" s="81"/>
      <c r="BG16" s="81"/>
      <c r="BH16" s="81"/>
      <c r="BI16" s="81"/>
      <c r="BJ16">
        <v>1</v>
      </c>
      <c r="BK16" s="80" t="str">
        <f>REPLACE(INDEX(GroupVertices[Group], MATCH("~"&amp;Edges[[#This Row],[Vertex 1]],GroupVertices[Vertex],0)),1,1,"")</f>
        <v>12</v>
      </c>
      <c r="BL16" s="80" t="str">
        <f>REPLACE(INDEX(GroupVertices[Group], MATCH("~"&amp;Edges[[#This Row],[Vertex 2]],GroupVertices[Vertex],0)),1,1,"")</f>
        <v>12</v>
      </c>
      <c r="BM16" s="49"/>
      <c r="BN16" s="50"/>
      <c r="BO16" s="49"/>
      <c r="BP16" s="50"/>
      <c r="BQ16" s="49"/>
      <c r="BR16" s="50"/>
      <c r="BS16" s="49"/>
      <c r="BT16" s="50"/>
      <c r="BU16" s="49"/>
    </row>
    <row r="17" spans="1:73" x14ac:dyDescent="0.25">
      <c r="A17" s="65" t="s">
        <v>245</v>
      </c>
      <c r="B17" s="65" t="s">
        <v>311</v>
      </c>
      <c r="C17" s="66" t="s">
        <v>10073</v>
      </c>
      <c r="D17" s="67">
        <v>3</v>
      </c>
      <c r="E17" s="68" t="s">
        <v>132</v>
      </c>
      <c r="F17" s="69">
        <v>35</v>
      </c>
      <c r="G17" s="66"/>
      <c r="H17" s="70"/>
      <c r="I17" s="71"/>
      <c r="J17" s="71"/>
      <c r="K17" s="35" t="s">
        <v>65</v>
      </c>
      <c r="L17" s="79">
        <v>17</v>
      </c>
      <c r="M17" s="79"/>
      <c r="N17" s="73"/>
      <c r="O17" s="81" t="s">
        <v>369</v>
      </c>
      <c r="P17" s="83">
        <v>45234.080277777779</v>
      </c>
      <c r="Q17" s="81" t="s">
        <v>377</v>
      </c>
      <c r="R17" s="81">
        <v>0</v>
      </c>
      <c r="S17" s="81">
        <v>1</v>
      </c>
      <c r="T17" s="81">
        <v>0</v>
      </c>
      <c r="U17" s="81">
        <v>0</v>
      </c>
      <c r="V17" s="81">
        <v>20</v>
      </c>
      <c r="W17" s="81"/>
      <c r="X17" s="81"/>
      <c r="Y17" s="81"/>
      <c r="Z17" s="81" t="s">
        <v>521</v>
      </c>
      <c r="AA17" s="81"/>
      <c r="AB17" s="81"/>
      <c r="AC17" s="84" t="s">
        <v>582</v>
      </c>
      <c r="AD17" s="81" t="s">
        <v>588</v>
      </c>
      <c r="AE17" s="86" t="str">
        <f>HYPERLINK("https://twitter.com/profkakie/status/1720620782651351141")</f>
        <v>https://twitter.com/profkakie/status/1720620782651351141</v>
      </c>
      <c r="AF17" s="83">
        <v>45234.080277777779</v>
      </c>
      <c r="AG17" s="89">
        <v>45234</v>
      </c>
      <c r="AH17" s="84" t="s">
        <v>595</v>
      </c>
      <c r="AI17" s="81"/>
      <c r="AJ17" s="81"/>
      <c r="AK17" s="81"/>
      <c r="AL17" s="81"/>
      <c r="AM17" s="81"/>
      <c r="AN17" s="81"/>
      <c r="AO17" s="81"/>
      <c r="AP17" s="81"/>
      <c r="AQ17" s="81"/>
      <c r="AR17" s="81"/>
      <c r="AS17" s="81"/>
      <c r="AT17" s="81"/>
      <c r="AU17" s="81"/>
      <c r="AV17" s="86" t="str">
        <f>HYPERLINK("https://pbs.twimg.com/profile_images/506305736834428928/l7hB0YVf_normal.jpeg")</f>
        <v>https://pbs.twimg.com/profile_images/506305736834428928/l7hB0YVf_normal.jpeg</v>
      </c>
      <c r="AW17" s="84" t="s">
        <v>749</v>
      </c>
      <c r="AX17" s="84" t="s">
        <v>873</v>
      </c>
      <c r="AY17" s="84" t="s">
        <v>875</v>
      </c>
      <c r="AZ17" s="84" t="s">
        <v>880</v>
      </c>
      <c r="BA17" s="84" t="s">
        <v>879</v>
      </c>
      <c r="BB17" s="84" t="s">
        <v>879</v>
      </c>
      <c r="BC17" s="84" t="s">
        <v>880</v>
      </c>
      <c r="BD17" s="81">
        <v>24373764</v>
      </c>
      <c r="BE17" s="81"/>
      <c r="BF17" s="81"/>
      <c r="BG17" s="81"/>
      <c r="BH17" s="81"/>
      <c r="BI17" s="81"/>
      <c r="BJ17">
        <v>1</v>
      </c>
      <c r="BK17" s="80" t="str">
        <f>REPLACE(INDEX(GroupVertices[Group], MATCH("~"&amp;Edges[[#This Row],[Vertex 1]],GroupVertices[Vertex],0)),1,1,"")</f>
        <v>12</v>
      </c>
      <c r="BL17" s="80" t="str">
        <f>REPLACE(INDEX(GroupVertices[Group], MATCH("~"&amp;Edges[[#This Row],[Vertex 2]],GroupVertices[Vertex],0)),1,1,"")</f>
        <v>12</v>
      </c>
      <c r="BM17" s="49">
        <v>0</v>
      </c>
      <c r="BN17" s="50">
        <v>0</v>
      </c>
      <c r="BO17" s="49">
        <v>0</v>
      </c>
      <c r="BP17" s="50">
        <v>0</v>
      </c>
      <c r="BQ17" s="49">
        <v>0</v>
      </c>
      <c r="BR17" s="50">
        <v>0</v>
      </c>
      <c r="BS17" s="49">
        <v>7</v>
      </c>
      <c r="BT17" s="50">
        <v>63.636363636363633</v>
      </c>
      <c r="BU17" s="49">
        <v>11</v>
      </c>
    </row>
    <row r="18" spans="1:73" x14ac:dyDescent="0.25">
      <c r="A18" s="65" t="s">
        <v>246</v>
      </c>
      <c r="B18" s="65" t="s">
        <v>304</v>
      </c>
      <c r="C18" s="66" t="s">
        <v>10073</v>
      </c>
      <c r="D18" s="67">
        <v>3</v>
      </c>
      <c r="E18" s="68" t="s">
        <v>132</v>
      </c>
      <c r="F18" s="69">
        <v>35</v>
      </c>
      <c r="G18" s="66"/>
      <c r="H18" s="70"/>
      <c r="I18" s="71"/>
      <c r="J18" s="71"/>
      <c r="K18" s="35" t="s">
        <v>65</v>
      </c>
      <c r="L18" s="79">
        <v>18</v>
      </c>
      <c r="M18" s="79"/>
      <c r="N18" s="73"/>
      <c r="O18" s="81" t="s">
        <v>366</v>
      </c>
      <c r="P18" s="83">
        <v>45232.629733796297</v>
      </c>
      <c r="Q18" s="81" t="s">
        <v>378</v>
      </c>
      <c r="R18" s="81">
        <v>3</v>
      </c>
      <c r="S18" s="81">
        <v>0</v>
      </c>
      <c r="T18" s="81">
        <v>0</v>
      </c>
      <c r="U18" s="81">
        <v>0</v>
      </c>
      <c r="V18" s="81"/>
      <c r="W18" s="81"/>
      <c r="X18" s="81"/>
      <c r="Y18" s="81"/>
      <c r="Z18" s="81" t="s">
        <v>522</v>
      </c>
      <c r="AA18" s="81"/>
      <c r="AB18" s="81"/>
      <c r="AC18" s="84" t="s">
        <v>582</v>
      </c>
      <c r="AD18" s="81" t="s">
        <v>588</v>
      </c>
      <c r="AE18" s="86" t="str">
        <f>HYPERLINK("https://twitter.com/commscholar/status/1720095122522878120")</f>
        <v>https://twitter.com/commscholar/status/1720095122522878120</v>
      </c>
      <c r="AF18" s="83">
        <v>45232.629733796297</v>
      </c>
      <c r="AG18" s="89">
        <v>45232</v>
      </c>
      <c r="AH18" s="84" t="s">
        <v>596</v>
      </c>
      <c r="AI18" s="81" t="b">
        <v>0</v>
      </c>
      <c r="AJ18" s="81"/>
      <c r="AK18" s="81"/>
      <c r="AL18" s="81"/>
      <c r="AM18" s="81"/>
      <c r="AN18" s="81"/>
      <c r="AO18" s="81"/>
      <c r="AP18" s="81"/>
      <c r="AQ18" s="81"/>
      <c r="AR18" s="81"/>
      <c r="AS18" s="81"/>
      <c r="AT18" s="81"/>
      <c r="AU18" s="81"/>
      <c r="AV18" s="86" t="str">
        <f>HYPERLINK("https://pbs.twimg.com/profile_images/1323088857424867329/wUJsjb2M_normal.jpg")</f>
        <v>https://pbs.twimg.com/profile_images/1323088857424867329/wUJsjb2M_normal.jpg</v>
      </c>
      <c r="AW18" s="84" t="s">
        <v>750</v>
      </c>
      <c r="AX18" s="84" t="s">
        <v>750</v>
      </c>
      <c r="AY18" s="81"/>
      <c r="AZ18" s="84" t="s">
        <v>879</v>
      </c>
      <c r="BA18" s="84" t="s">
        <v>879</v>
      </c>
      <c r="BB18" s="84" t="s">
        <v>866</v>
      </c>
      <c r="BC18" s="84" t="s">
        <v>866</v>
      </c>
      <c r="BD18" s="81">
        <v>282661518</v>
      </c>
      <c r="BE18" s="81"/>
      <c r="BF18" s="81"/>
      <c r="BG18" s="81"/>
      <c r="BH18" s="81"/>
      <c r="BI18" s="81"/>
      <c r="BJ18">
        <v>1</v>
      </c>
      <c r="BK18" s="80" t="str">
        <f>REPLACE(INDEX(GroupVertices[Group], MATCH("~"&amp;Edges[[#This Row],[Vertex 1]],GroupVertices[Vertex],0)),1,1,"")</f>
        <v>8</v>
      </c>
      <c r="BL18" s="80" t="str">
        <f>REPLACE(INDEX(GroupVertices[Group], MATCH("~"&amp;Edges[[#This Row],[Vertex 2]],GroupVertices[Vertex],0)),1,1,"")</f>
        <v>8</v>
      </c>
      <c r="BM18" s="49"/>
      <c r="BN18" s="50"/>
      <c r="BO18" s="49"/>
      <c r="BP18" s="50"/>
      <c r="BQ18" s="49"/>
      <c r="BR18" s="50"/>
      <c r="BS18" s="49"/>
      <c r="BT18" s="50"/>
      <c r="BU18" s="49"/>
    </row>
    <row r="19" spans="1:73" x14ac:dyDescent="0.25">
      <c r="A19" s="65" t="s">
        <v>246</v>
      </c>
      <c r="B19" s="65" t="s">
        <v>302</v>
      </c>
      <c r="C19" s="66" t="s">
        <v>10073</v>
      </c>
      <c r="D19" s="67">
        <v>3</v>
      </c>
      <c r="E19" s="68" t="s">
        <v>132</v>
      </c>
      <c r="F19" s="69">
        <v>35</v>
      </c>
      <c r="G19" s="66"/>
      <c r="H19" s="70"/>
      <c r="I19" s="71"/>
      <c r="J19" s="71"/>
      <c r="K19" s="35" t="s">
        <v>65</v>
      </c>
      <c r="L19" s="79">
        <v>19</v>
      </c>
      <c r="M19" s="79"/>
      <c r="N19" s="73"/>
      <c r="O19" s="81" t="s">
        <v>365</v>
      </c>
      <c r="P19" s="83">
        <v>45232.629733796297</v>
      </c>
      <c r="Q19" s="81" t="s">
        <v>378</v>
      </c>
      <c r="R19" s="81">
        <v>3</v>
      </c>
      <c r="S19" s="81">
        <v>0</v>
      </c>
      <c r="T19" s="81">
        <v>0</v>
      </c>
      <c r="U19" s="81">
        <v>0</v>
      </c>
      <c r="V19" s="81"/>
      <c r="W19" s="81"/>
      <c r="X19" s="81"/>
      <c r="Y19" s="81"/>
      <c r="Z19" s="81" t="s">
        <v>522</v>
      </c>
      <c r="AA19" s="81"/>
      <c r="AB19" s="81"/>
      <c r="AC19" s="84" t="s">
        <v>582</v>
      </c>
      <c r="AD19" s="81" t="s">
        <v>588</v>
      </c>
      <c r="AE19" s="86" t="str">
        <f>HYPERLINK("https://twitter.com/commscholar/status/1720095122522878120")</f>
        <v>https://twitter.com/commscholar/status/1720095122522878120</v>
      </c>
      <c r="AF19" s="83">
        <v>45232.629733796297</v>
      </c>
      <c r="AG19" s="89">
        <v>45232</v>
      </c>
      <c r="AH19" s="84" t="s">
        <v>596</v>
      </c>
      <c r="AI19" s="81" t="b">
        <v>0</v>
      </c>
      <c r="AJ19" s="81"/>
      <c r="AK19" s="81"/>
      <c r="AL19" s="81"/>
      <c r="AM19" s="81"/>
      <c r="AN19" s="81"/>
      <c r="AO19" s="81"/>
      <c r="AP19" s="81"/>
      <c r="AQ19" s="81"/>
      <c r="AR19" s="81"/>
      <c r="AS19" s="81"/>
      <c r="AT19" s="81"/>
      <c r="AU19" s="81"/>
      <c r="AV19" s="86" t="str">
        <f>HYPERLINK("https://pbs.twimg.com/profile_images/1323088857424867329/wUJsjb2M_normal.jpg")</f>
        <v>https://pbs.twimg.com/profile_images/1323088857424867329/wUJsjb2M_normal.jpg</v>
      </c>
      <c r="AW19" s="84" t="s">
        <v>750</v>
      </c>
      <c r="AX19" s="84" t="s">
        <v>750</v>
      </c>
      <c r="AY19" s="81"/>
      <c r="AZ19" s="84" t="s">
        <v>879</v>
      </c>
      <c r="BA19" s="84" t="s">
        <v>879</v>
      </c>
      <c r="BB19" s="84" t="s">
        <v>866</v>
      </c>
      <c r="BC19" s="84" t="s">
        <v>866</v>
      </c>
      <c r="BD19" s="81">
        <v>282661518</v>
      </c>
      <c r="BE19" s="81"/>
      <c r="BF19" s="81"/>
      <c r="BG19" s="81"/>
      <c r="BH19" s="81"/>
      <c r="BI19" s="81"/>
      <c r="BJ19">
        <v>1</v>
      </c>
      <c r="BK19" s="80" t="str">
        <f>REPLACE(INDEX(GroupVertices[Group], MATCH("~"&amp;Edges[[#This Row],[Vertex 1]],GroupVertices[Vertex],0)),1,1,"")</f>
        <v>8</v>
      </c>
      <c r="BL19" s="80" t="str">
        <f>REPLACE(INDEX(GroupVertices[Group], MATCH("~"&amp;Edges[[#This Row],[Vertex 2]],GroupVertices[Vertex],0)),1,1,"")</f>
        <v>8</v>
      </c>
      <c r="BM19" s="49">
        <v>2</v>
      </c>
      <c r="BN19" s="50">
        <v>9.5238095238095237</v>
      </c>
      <c r="BO19" s="49">
        <v>0</v>
      </c>
      <c r="BP19" s="50">
        <v>0</v>
      </c>
      <c r="BQ19" s="49">
        <v>0</v>
      </c>
      <c r="BR19" s="50">
        <v>0</v>
      </c>
      <c r="BS19" s="49">
        <v>12</v>
      </c>
      <c r="BT19" s="50">
        <v>57.142857142857146</v>
      </c>
      <c r="BU19" s="49">
        <v>21</v>
      </c>
    </row>
    <row r="20" spans="1:73" x14ac:dyDescent="0.25">
      <c r="A20" s="65" t="s">
        <v>247</v>
      </c>
      <c r="B20" s="65" t="s">
        <v>312</v>
      </c>
      <c r="C20" s="66" t="s">
        <v>10073</v>
      </c>
      <c r="D20" s="67">
        <v>3</v>
      </c>
      <c r="E20" s="68" t="s">
        <v>132</v>
      </c>
      <c r="F20" s="69">
        <v>35</v>
      </c>
      <c r="G20" s="66"/>
      <c r="H20" s="70"/>
      <c r="I20" s="71"/>
      <c r="J20" s="71"/>
      <c r="K20" s="35" t="s">
        <v>65</v>
      </c>
      <c r="L20" s="79">
        <v>20</v>
      </c>
      <c r="M20" s="79"/>
      <c r="N20" s="73"/>
      <c r="O20" s="81" t="s">
        <v>366</v>
      </c>
      <c r="P20" s="83">
        <v>45231.981724537036</v>
      </c>
      <c r="Q20" s="81" t="s">
        <v>379</v>
      </c>
      <c r="R20" s="81">
        <v>5</v>
      </c>
      <c r="S20" s="81">
        <v>0</v>
      </c>
      <c r="T20" s="81">
        <v>0</v>
      </c>
      <c r="U20" s="81">
        <v>0</v>
      </c>
      <c r="V20" s="81"/>
      <c r="W20" s="81"/>
      <c r="X20" s="81"/>
      <c r="Y20" s="81"/>
      <c r="Z20" s="81" t="s">
        <v>523</v>
      </c>
      <c r="AA20" s="81"/>
      <c r="AB20" s="81"/>
      <c r="AC20" s="84" t="s">
        <v>580</v>
      </c>
      <c r="AD20" s="81" t="s">
        <v>588</v>
      </c>
      <c r="AE20" s="86" t="str">
        <f>HYPERLINK("https://twitter.com/drjessmaddox/status/1719860291825979546")</f>
        <v>https://twitter.com/drjessmaddox/status/1719860291825979546</v>
      </c>
      <c r="AF20" s="83">
        <v>45231.981724537036</v>
      </c>
      <c r="AG20" s="89">
        <v>45231</v>
      </c>
      <c r="AH20" s="84" t="s">
        <v>597</v>
      </c>
      <c r="AI20" s="81"/>
      <c r="AJ20" s="81"/>
      <c r="AK20" s="81"/>
      <c r="AL20" s="81"/>
      <c r="AM20" s="81"/>
      <c r="AN20" s="81"/>
      <c r="AO20" s="81"/>
      <c r="AP20" s="81"/>
      <c r="AQ20" s="81"/>
      <c r="AR20" s="81"/>
      <c r="AS20" s="81"/>
      <c r="AT20" s="81"/>
      <c r="AU20" s="81"/>
      <c r="AV20" s="86" t="str">
        <f>HYPERLINK("https://pbs.twimg.com/profile_images/1704325946344341504/RU7QjoX7_normal.jpg")</f>
        <v>https://pbs.twimg.com/profile_images/1704325946344341504/RU7QjoX7_normal.jpg</v>
      </c>
      <c r="AW20" s="84" t="s">
        <v>751</v>
      </c>
      <c r="AX20" s="84" t="s">
        <v>751</v>
      </c>
      <c r="AY20" s="81"/>
      <c r="AZ20" s="84" t="s">
        <v>879</v>
      </c>
      <c r="BA20" s="84" t="s">
        <v>879</v>
      </c>
      <c r="BB20" s="84" t="s">
        <v>757</v>
      </c>
      <c r="BC20" s="84" t="s">
        <v>757</v>
      </c>
      <c r="BD20" s="81">
        <v>747936457</v>
      </c>
      <c r="BE20" s="81"/>
      <c r="BF20" s="81"/>
      <c r="BG20" s="81"/>
      <c r="BH20" s="81"/>
      <c r="BI20" s="81"/>
      <c r="BJ20">
        <v>1</v>
      </c>
      <c r="BK20" s="80" t="str">
        <f>REPLACE(INDEX(GroupVertices[Group], MATCH("~"&amp;Edges[[#This Row],[Vertex 1]],GroupVertices[Vertex],0)),1,1,"")</f>
        <v>2</v>
      </c>
      <c r="BL20" s="80" t="str">
        <f>REPLACE(INDEX(GroupVertices[Group], MATCH("~"&amp;Edges[[#This Row],[Vertex 2]],GroupVertices[Vertex],0)),1,1,"")</f>
        <v>2</v>
      </c>
      <c r="BM20" s="49"/>
      <c r="BN20" s="50"/>
      <c r="BO20" s="49"/>
      <c r="BP20" s="50"/>
      <c r="BQ20" s="49"/>
      <c r="BR20" s="50"/>
      <c r="BS20" s="49"/>
      <c r="BT20" s="50"/>
      <c r="BU20" s="49"/>
    </row>
    <row r="21" spans="1:73" x14ac:dyDescent="0.25">
      <c r="A21" s="65" t="s">
        <v>247</v>
      </c>
      <c r="B21" s="65" t="s">
        <v>252</v>
      </c>
      <c r="C21" s="66" t="s">
        <v>10073</v>
      </c>
      <c r="D21" s="67">
        <v>3</v>
      </c>
      <c r="E21" s="68" t="s">
        <v>132</v>
      </c>
      <c r="F21" s="69">
        <v>35</v>
      </c>
      <c r="G21" s="66"/>
      <c r="H21" s="70"/>
      <c r="I21" s="71"/>
      <c r="J21" s="71"/>
      <c r="K21" s="35" t="s">
        <v>65</v>
      </c>
      <c r="L21" s="79">
        <v>21</v>
      </c>
      <c r="M21" s="79"/>
      <c r="N21" s="73"/>
      <c r="O21" s="81" t="s">
        <v>365</v>
      </c>
      <c r="P21" s="83">
        <v>45231.981724537036</v>
      </c>
      <c r="Q21" s="81" t="s">
        <v>379</v>
      </c>
      <c r="R21" s="81">
        <v>5</v>
      </c>
      <c r="S21" s="81">
        <v>0</v>
      </c>
      <c r="T21" s="81">
        <v>0</v>
      </c>
      <c r="U21" s="81">
        <v>0</v>
      </c>
      <c r="V21" s="81"/>
      <c r="W21" s="81"/>
      <c r="X21" s="81"/>
      <c r="Y21" s="81"/>
      <c r="Z21" s="81" t="s">
        <v>523</v>
      </c>
      <c r="AA21" s="81"/>
      <c r="AB21" s="81"/>
      <c r="AC21" s="84" t="s">
        <v>580</v>
      </c>
      <c r="AD21" s="81" t="s">
        <v>588</v>
      </c>
      <c r="AE21" s="86" t="str">
        <f>HYPERLINK("https://twitter.com/drjessmaddox/status/1719860291825979546")</f>
        <v>https://twitter.com/drjessmaddox/status/1719860291825979546</v>
      </c>
      <c r="AF21" s="83">
        <v>45231.981724537036</v>
      </c>
      <c r="AG21" s="89">
        <v>45231</v>
      </c>
      <c r="AH21" s="84" t="s">
        <v>597</v>
      </c>
      <c r="AI21" s="81"/>
      <c r="AJ21" s="81"/>
      <c r="AK21" s="81"/>
      <c r="AL21" s="81"/>
      <c r="AM21" s="81"/>
      <c r="AN21" s="81"/>
      <c r="AO21" s="81"/>
      <c r="AP21" s="81"/>
      <c r="AQ21" s="81"/>
      <c r="AR21" s="81"/>
      <c r="AS21" s="81"/>
      <c r="AT21" s="81"/>
      <c r="AU21" s="81"/>
      <c r="AV21" s="86" t="str">
        <f>HYPERLINK("https://pbs.twimg.com/profile_images/1704325946344341504/RU7QjoX7_normal.jpg")</f>
        <v>https://pbs.twimg.com/profile_images/1704325946344341504/RU7QjoX7_normal.jpg</v>
      </c>
      <c r="AW21" s="84" t="s">
        <v>751</v>
      </c>
      <c r="AX21" s="84" t="s">
        <v>751</v>
      </c>
      <c r="AY21" s="81"/>
      <c r="AZ21" s="84" t="s">
        <v>879</v>
      </c>
      <c r="BA21" s="84" t="s">
        <v>879</v>
      </c>
      <c r="BB21" s="84" t="s">
        <v>757</v>
      </c>
      <c r="BC21" s="84" t="s">
        <v>757</v>
      </c>
      <c r="BD21" s="81">
        <v>747936457</v>
      </c>
      <c r="BE21" s="81"/>
      <c r="BF21" s="81"/>
      <c r="BG21" s="81"/>
      <c r="BH21" s="81"/>
      <c r="BI21" s="81"/>
      <c r="BJ21">
        <v>1</v>
      </c>
      <c r="BK21" s="80" t="str">
        <f>REPLACE(INDEX(GroupVertices[Group], MATCH("~"&amp;Edges[[#This Row],[Vertex 1]],GroupVertices[Vertex],0)),1,1,"")</f>
        <v>2</v>
      </c>
      <c r="BL21" s="80" t="str">
        <f>REPLACE(INDEX(GroupVertices[Group], MATCH("~"&amp;Edges[[#This Row],[Vertex 2]],GroupVertices[Vertex],0)),1,1,"")</f>
        <v>2</v>
      </c>
      <c r="BM21" s="49">
        <v>0</v>
      </c>
      <c r="BN21" s="50">
        <v>0</v>
      </c>
      <c r="BO21" s="49">
        <v>0</v>
      </c>
      <c r="BP21" s="50">
        <v>0</v>
      </c>
      <c r="BQ21" s="49">
        <v>0</v>
      </c>
      <c r="BR21" s="50">
        <v>0</v>
      </c>
      <c r="BS21" s="49">
        <v>10</v>
      </c>
      <c r="BT21" s="50">
        <v>58.823529411764703</v>
      </c>
      <c r="BU21" s="49">
        <v>17</v>
      </c>
    </row>
    <row r="22" spans="1:73" x14ac:dyDescent="0.25">
      <c r="A22" s="65" t="s">
        <v>248</v>
      </c>
      <c r="B22" s="65" t="s">
        <v>313</v>
      </c>
      <c r="C22" s="66" t="s">
        <v>10073</v>
      </c>
      <c r="D22" s="67">
        <v>3</v>
      </c>
      <c r="E22" s="68" t="s">
        <v>132</v>
      </c>
      <c r="F22" s="69">
        <v>35</v>
      </c>
      <c r="G22" s="66"/>
      <c r="H22" s="70"/>
      <c r="I22" s="71"/>
      <c r="J22" s="71"/>
      <c r="K22" s="35" t="s">
        <v>65</v>
      </c>
      <c r="L22" s="79">
        <v>22</v>
      </c>
      <c r="M22" s="79"/>
      <c r="N22" s="73"/>
      <c r="O22" s="81" t="s">
        <v>370</v>
      </c>
      <c r="P22" s="83">
        <v>45233.347071759257</v>
      </c>
      <c r="Q22" s="81" t="s">
        <v>380</v>
      </c>
      <c r="R22" s="81">
        <v>0</v>
      </c>
      <c r="S22" s="81">
        <v>5</v>
      </c>
      <c r="T22" s="81">
        <v>0</v>
      </c>
      <c r="U22" s="81">
        <v>0</v>
      </c>
      <c r="V22" s="81">
        <v>625</v>
      </c>
      <c r="W22" s="84" t="s">
        <v>472</v>
      </c>
      <c r="X22" s="81"/>
      <c r="Y22" s="81"/>
      <c r="Z22" s="81" t="s">
        <v>524</v>
      </c>
      <c r="AA22" s="81"/>
      <c r="AB22" s="81"/>
      <c r="AC22" s="84" t="s">
        <v>579</v>
      </c>
      <c r="AD22" s="81" t="s">
        <v>588</v>
      </c>
      <c r="AE22" s="86" t="str">
        <f>HYPERLINK("https://twitter.com/vioreladan/status/1720355075653050557")</f>
        <v>https://twitter.com/vioreladan/status/1720355075653050557</v>
      </c>
      <c r="AF22" s="83">
        <v>45233.347071759257</v>
      </c>
      <c r="AG22" s="89">
        <v>45233</v>
      </c>
      <c r="AH22" s="84" t="s">
        <v>598</v>
      </c>
      <c r="AI22" s="81"/>
      <c r="AJ22" s="81"/>
      <c r="AK22" s="81"/>
      <c r="AL22" s="81"/>
      <c r="AM22" s="81"/>
      <c r="AN22" s="81"/>
      <c r="AO22" s="81"/>
      <c r="AP22" s="81"/>
      <c r="AQ22" s="81"/>
      <c r="AR22" s="81"/>
      <c r="AS22" s="81"/>
      <c r="AT22" s="81"/>
      <c r="AU22" s="81"/>
      <c r="AV22" s="86" t="str">
        <f>HYPERLINK("https://pbs.twimg.com/profile_images/1499394758606671883/eX-QPowP_normal.jpg")</f>
        <v>https://pbs.twimg.com/profile_images/1499394758606671883/eX-QPowP_normal.jpg</v>
      </c>
      <c r="AW22" s="84" t="s">
        <v>752</v>
      </c>
      <c r="AX22" s="84" t="s">
        <v>752</v>
      </c>
      <c r="AY22" s="81"/>
      <c r="AZ22" s="84" t="s">
        <v>879</v>
      </c>
      <c r="BA22" s="84" t="s">
        <v>754</v>
      </c>
      <c r="BB22" s="84" t="s">
        <v>879</v>
      </c>
      <c r="BC22" s="84" t="s">
        <v>754</v>
      </c>
      <c r="BD22" s="84" t="s">
        <v>882</v>
      </c>
      <c r="BE22" s="81"/>
      <c r="BF22" s="81"/>
      <c r="BG22" s="81"/>
      <c r="BH22" s="81"/>
      <c r="BI22" s="81"/>
      <c r="BJ22">
        <v>1</v>
      </c>
      <c r="BK22" s="80" t="str">
        <f>REPLACE(INDEX(GroupVertices[Group], MATCH("~"&amp;Edges[[#This Row],[Vertex 1]],GroupVertices[Vertex],0)),1,1,"")</f>
        <v>6</v>
      </c>
      <c r="BL22" s="80" t="str">
        <f>REPLACE(INDEX(GroupVertices[Group], MATCH("~"&amp;Edges[[#This Row],[Vertex 2]],GroupVertices[Vertex],0)),1,1,"")</f>
        <v>6</v>
      </c>
      <c r="BM22" s="49"/>
      <c r="BN22" s="50"/>
      <c r="BO22" s="49"/>
      <c r="BP22" s="50"/>
      <c r="BQ22" s="49"/>
      <c r="BR22" s="50"/>
      <c r="BS22" s="49"/>
      <c r="BT22" s="50"/>
      <c r="BU22" s="49"/>
    </row>
    <row r="23" spans="1:73" x14ac:dyDescent="0.25">
      <c r="A23" s="65" t="s">
        <v>248</v>
      </c>
      <c r="B23" s="65" t="s">
        <v>314</v>
      </c>
      <c r="C23" s="66" t="s">
        <v>10073</v>
      </c>
      <c r="D23" s="67">
        <v>3</v>
      </c>
      <c r="E23" s="68" t="s">
        <v>132</v>
      </c>
      <c r="F23" s="69">
        <v>35</v>
      </c>
      <c r="G23" s="66"/>
      <c r="H23" s="70"/>
      <c r="I23" s="71"/>
      <c r="J23" s="71"/>
      <c r="K23" s="35" t="s">
        <v>65</v>
      </c>
      <c r="L23" s="79">
        <v>23</v>
      </c>
      <c r="M23" s="79"/>
      <c r="N23" s="73"/>
      <c r="O23" s="81" t="s">
        <v>370</v>
      </c>
      <c r="P23" s="83">
        <v>45233.347071759257</v>
      </c>
      <c r="Q23" s="81" t="s">
        <v>380</v>
      </c>
      <c r="R23" s="81">
        <v>0</v>
      </c>
      <c r="S23" s="81">
        <v>5</v>
      </c>
      <c r="T23" s="81">
        <v>0</v>
      </c>
      <c r="U23" s="81">
        <v>0</v>
      </c>
      <c r="V23" s="81">
        <v>625</v>
      </c>
      <c r="W23" s="84" t="s">
        <v>472</v>
      </c>
      <c r="X23" s="81"/>
      <c r="Y23" s="81"/>
      <c r="Z23" s="81" t="s">
        <v>524</v>
      </c>
      <c r="AA23" s="81"/>
      <c r="AB23" s="81"/>
      <c r="AC23" s="84" t="s">
        <v>579</v>
      </c>
      <c r="AD23" s="81" t="s">
        <v>588</v>
      </c>
      <c r="AE23" s="86" t="str">
        <f>HYPERLINK("https://twitter.com/vioreladan/status/1720355075653050557")</f>
        <v>https://twitter.com/vioreladan/status/1720355075653050557</v>
      </c>
      <c r="AF23" s="83">
        <v>45233.347071759257</v>
      </c>
      <c r="AG23" s="89">
        <v>45233</v>
      </c>
      <c r="AH23" s="84" t="s">
        <v>598</v>
      </c>
      <c r="AI23" s="81"/>
      <c r="AJ23" s="81"/>
      <c r="AK23" s="81"/>
      <c r="AL23" s="81"/>
      <c r="AM23" s="81"/>
      <c r="AN23" s="81"/>
      <c r="AO23" s="81"/>
      <c r="AP23" s="81"/>
      <c r="AQ23" s="81"/>
      <c r="AR23" s="81"/>
      <c r="AS23" s="81"/>
      <c r="AT23" s="81"/>
      <c r="AU23" s="81"/>
      <c r="AV23" s="86" t="str">
        <f>HYPERLINK("https://pbs.twimg.com/profile_images/1499394758606671883/eX-QPowP_normal.jpg")</f>
        <v>https://pbs.twimg.com/profile_images/1499394758606671883/eX-QPowP_normal.jpg</v>
      </c>
      <c r="AW23" s="84" t="s">
        <v>752</v>
      </c>
      <c r="AX23" s="84" t="s">
        <v>752</v>
      </c>
      <c r="AY23" s="81"/>
      <c r="AZ23" s="84" t="s">
        <v>879</v>
      </c>
      <c r="BA23" s="84" t="s">
        <v>754</v>
      </c>
      <c r="BB23" s="84" t="s">
        <v>879</v>
      </c>
      <c r="BC23" s="84" t="s">
        <v>754</v>
      </c>
      <c r="BD23" s="84" t="s">
        <v>882</v>
      </c>
      <c r="BE23" s="81"/>
      <c r="BF23" s="81"/>
      <c r="BG23" s="81"/>
      <c r="BH23" s="81"/>
      <c r="BI23" s="81"/>
      <c r="BJ23">
        <v>1</v>
      </c>
      <c r="BK23" s="80" t="str">
        <f>REPLACE(INDEX(GroupVertices[Group], MATCH("~"&amp;Edges[[#This Row],[Vertex 1]],GroupVertices[Vertex],0)),1,1,"")</f>
        <v>6</v>
      </c>
      <c r="BL23" s="80" t="str">
        <f>REPLACE(INDEX(GroupVertices[Group], MATCH("~"&amp;Edges[[#This Row],[Vertex 2]],GroupVertices[Vertex],0)),1,1,"")</f>
        <v>6</v>
      </c>
      <c r="BM23" s="49"/>
      <c r="BN23" s="50"/>
      <c r="BO23" s="49"/>
      <c r="BP23" s="50"/>
      <c r="BQ23" s="49"/>
      <c r="BR23" s="50"/>
      <c r="BS23" s="49"/>
      <c r="BT23" s="50"/>
      <c r="BU23" s="49"/>
    </row>
    <row r="24" spans="1:73" x14ac:dyDescent="0.25">
      <c r="A24" s="65" t="s">
        <v>248</v>
      </c>
      <c r="B24" s="65" t="s">
        <v>315</v>
      </c>
      <c r="C24" s="66" t="s">
        <v>10073</v>
      </c>
      <c r="D24" s="67">
        <v>3</v>
      </c>
      <c r="E24" s="68" t="s">
        <v>132</v>
      </c>
      <c r="F24" s="69">
        <v>35</v>
      </c>
      <c r="G24" s="66"/>
      <c r="H24" s="70"/>
      <c r="I24" s="71"/>
      <c r="J24" s="71"/>
      <c r="K24" s="35" t="s">
        <v>65</v>
      </c>
      <c r="L24" s="79">
        <v>24</v>
      </c>
      <c r="M24" s="79"/>
      <c r="N24" s="73"/>
      <c r="O24" s="81" t="s">
        <v>370</v>
      </c>
      <c r="P24" s="83">
        <v>45233.347071759257</v>
      </c>
      <c r="Q24" s="81" t="s">
        <v>380</v>
      </c>
      <c r="R24" s="81">
        <v>0</v>
      </c>
      <c r="S24" s="81">
        <v>5</v>
      </c>
      <c r="T24" s="81">
        <v>0</v>
      </c>
      <c r="U24" s="81">
        <v>0</v>
      </c>
      <c r="V24" s="81">
        <v>625</v>
      </c>
      <c r="W24" s="84" t="s">
        <v>472</v>
      </c>
      <c r="X24" s="81"/>
      <c r="Y24" s="81"/>
      <c r="Z24" s="81" t="s">
        <v>524</v>
      </c>
      <c r="AA24" s="81"/>
      <c r="AB24" s="81"/>
      <c r="AC24" s="84" t="s">
        <v>579</v>
      </c>
      <c r="AD24" s="81" t="s">
        <v>588</v>
      </c>
      <c r="AE24" s="86" t="str">
        <f>HYPERLINK("https://twitter.com/vioreladan/status/1720355075653050557")</f>
        <v>https://twitter.com/vioreladan/status/1720355075653050557</v>
      </c>
      <c r="AF24" s="83">
        <v>45233.347071759257</v>
      </c>
      <c r="AG24" s="89">
        <v>45233</v>
      </c>
      <c r="AH24" s="84" t="s">
        <v>598</v>
      </c>
      <c r="AI24" s="81"/>
      <c r="AJ24" s="81"/>
      <c r="AK24" s="81"/>
      <c r="AL24" s="81"/>
      <c r="AM24" s="81"/>
      <c r="AN24" s="81"/>
      <c r="AO24" s="81"/>
      <c r="AP24" s="81"/>
      <c r="AQ24" s="81"/>
      <c r="AR24" s="81"/>
      <c r="AS24" s="81"/>
      <c r="AT24" s="81"/>
      <c r="AU24" s="81"/>
      <c r="AV24" s="86" t="str">
        <f>HYPERLINK("https://pbs.twimg.com/profile_images/1499394758606671883/eX-QPowP_normal.jpg")</f>
        <v>https://pbs.twimg.com/profile_images/1499394758606671883/eX-QPowP_normal.jpg</v>
      </c>
      <c r="AW24" s="84" t="s">
        <v>752</v>
      </c>
      <c r="AX24" s="84" t="s">
        <v>752</v>
      </c>
      <c r="AY24" s="81"/>
      <c r="AZ24" s="84" t="s">
        <v>879</v>
      </c>
      <c r="BA24" s="84" t="s">
        <v>754</v>
      </c>
      <c r="BB24" s="84" t="s">
        <v>879</v>
      </c>
      <c r="BC24" s="84" t="s">
        <v>754</v>
      </c>
      <c r="BD24" s="84" t="s">
        <v>882</v>
      </c>
      <c r="BE24" s="81"/>
      <c r="BF24" s="81"/>
      <c r="BG24" s="81"/>
      <c r="BH24" s="81"/>
      <c r="BI24" s="81"/>
      <c r="BJ24">
        <v>1</v>
      </c>
      <c r="BK24" s="80" t="str">
        <f>REPLACE(INDEX(GroupVertices[Group], MATCH("~"&amp;Edges[[#This Row],[Vertex 1]],GroupVertices[Vertex],0)),1,1,"")</f>
        <v>6</v>
      </c>
      <c r="BL24" s="80" t="str">
        <f>REPLACE(INDEX(GroupVertices[Group], MATCH("~"&amp;Edges[[#This Row],[Vertex 2]],GroupVertices[Vertex],0)),1,1,"")</f>
        <v>6</v>
      </c>
      <c r="BM24" s="49"/>
      <c r="BN24" s="50"/>
      <c r="BO24" s="49"/>
      <c r="BP24" s="50"/>
      <c r="BQ24" s="49"/>
      <c r="BR24" s="50"/>
      <c r="BS24" s="49"/>
      <c r="BT24" s="50"/>
      <c r="BU24" s="49"/>
    </row>
    <row r="25" spans="1:73" x14ac:dyDescent="0.25">
      <c r="A25" s="65" t="s">
        <v>248</v>
      </c>
      <c r="B25" s="65" t="s">
        <v>316</v>
      </c>
      <c r="C25" s="66" t="s">
        <v>10073</v>
      </c>
      <c r="D25" s="67">
        <v>3</v>
      </c>
      <c r="E25" s="68" t="s">
        <v>132</v>
      </c>
      <c r="F25" s="69">
        <v>35</v>
      </c>
      <c r="G25" s="66"/>
      <c r="H25" s="70"/>
      <c r="I25" s="71"/>
      <c r="J25" s="71"/>
      <c r="K25" s="35" t="s">
        <v>65</v>
      </c>
      <c r="L25" s="79">
        <v>25</v>
      </c>
      <c r="M25" s="79"/>
      <c r="N25" s="73"/>
      <c r="O25" s="81" t="s">
        <v>370</v>
      </c>
      <c r="P25" s="83">
        <v>45233.347071759257</v>
      </c>
      <c r="Q25" s="81" t="s">
        <v>380</v>
      </c>
      <c r="R25" s="81">
        <v>0</v>
      </c>
      <c r="S25" s="81">
        <v>5</v>
      </c>
      <c r="T25" s="81">
        <v>0</v>
      </c>
      <c r="U25" s="81">
        <v>0</v>
      </c>
      <c r="V25" s="81">
        <v>625</v>
      </c>
      <c r="W25" s="84" t="s">
        <v>472</v>
      </c>
      <c r="X25" s="81"/>
      <c r="Y25" s="81"/>
      <c r="Z25" s="81" t="s">
        <v>524</v>
      </c>
      <c r="AA25" s="81"/>
      <c r="AB25" s="81"/>
      <c r="AC25" s="84" t="s">
        <v>579</v>
      </c>
      <c r="AD25" s="81" t="s">
        <v>588</v>
      </c>
      <c r="AE25" s="86" t="str">
        <f>HYPERLINK("https://twitter.com/vioreladan/status/1720355075653050557")</f>
        <v>https://twitter.com/vioreladan/status/1720355075653050557</v>
      </c>
      <c r="AF25" s="83">
        <v>45233.347071759257</v>
      </c>
      <c r="AG25" s="89">
        <v>45233</v>
      </c>
      <c r="AH25" s="84" t="s">
        <v>598</v>
      </c>
      <c r="AI25" s="81"/>
      <c r="AJ25" s="81"/>
      <c r="AK25" s="81"/>
      <c r="AL25" s="81"/>
      <c r="AM25" s="81"/>
      <c r="AN25" s="81"/>
      <c r="AO25" s="81"/>
      <c r="AP25" s="81"/>
      <c r="AQ25" s="81"/>
      <c r="AR25" s="81"/>
      <c r="AS25" s="81"/>
      <c r="AT25" s="81"/>
      <c r="AU25" s="81"/>
      <c r="AV25" s="86" t="str">
        <f>HYPERLINK("https://pbs.twimg.com/profile_images/1499394758606671883/eX-QPowP_normal.jpg")</f>
        <v>https://pbs.twimg.com/profile_images/1499394758606671883/eX-QPowP_normal.jpg</v>
      </c>
      <c r="AW25" s="84" t="s">
        <v>752</v>
      </c>
      <c r="AX25" s="84" t="s">
        <v>752</v>
      </c>
      <c r="AY25" s="81"/>
      <c r="AZ25" s="84" t="s">
        <v>879</v>
      </c>
      <c r="BA25" s="84" t="s">
        <v>754</v>
      </c>
      <c r="BB25" s="84" t="s">
        <v>879</v>
      </c>
      <c r="BC25" s="84" t="s">
        <v>754</v>
      </c>
      <c r="BD25" s="84" t="s">
        <v>882</v>
      </c>
      <c r="BE25" s="81"/>
      <c r="BF25" s="81"/>
      <c r="BG25" s="81"/>
      <c r="BH25" s="81"/>
      <c r="BI25" s="81"/>
      <c r="BJ25">
        <v>1</v>
      </c>
      <c r="BK25" s="80" t="str">
        <f>REPLACE(INDEX(GroupVertices[Group], MATCH("~"&amp;Edges[[#This Row],[Vertex 1]],GroupVertices[Vertex],0)),1,1,"")</f>
        <v>6</v>
      </c>
      <c r="BL25" s="80" t="str">
        <f>REPLACE(INDEX(GroupVertices[Group], MATCH("~"&amp;Edges[[#This Row],[Vertex 2]],GroupVertices[Vertex],0)),1,1,"")</f>
        <v>6</v>
      </c>
      <c r="BM25" s="49"/>
      <c r="BN25" s="50"/>
      <c r="BO25" s="49"/>
      <c r="BP25" s="50"/>
      <c r="BQ25" s="49"/>
      <c r="BR25" s="50"/>
      <c r="BS25" s="49"/>
      <c r="BT25" s="50"/>
      <c r="BU25" s="49"/>
    </row>
    <row r="26" spans="1:73" x14ac:dyDescent="0.25">
      <c r="A26" s="65" t="s">
        <v>249</v>
      </c>
      <c r="B26" s="65" t="s">
        <v>317</v>
      </c>
      <c r="C26" s="66" t="s">
        <v>10074</v>
      </c>
      <c r="D26" s="67">
        <v>6.5</v>
      </c>
      <c r="E26" s="68" t="s">
        <v>132</v>
      </c>
      <c r="F26" s="69">
        <v>23.5</v>
      </c>
      <c r="G26" s="66"/>
      <c r="H26" s="70"/>
      <c r="I26" s="71"/>
      <c r="J26" s="71"/>
      <c r="K26" s="35" t="s">
        <v>65</v>
      </c>
      <c r="L26" s="79">
        <v>26</v>
      </c>
      <c r="M26" s="79"/>
      <c r="N26" s="73"/>
      <c r="O26" s="81" t="s">
        <v>367</v>
      </c>
      <c r="P26" s="83">
        <v>45214.020243055558</v>
      </c>
      <c r="Q26" s="81" t="s">
        <v>381</v>
      </c>
      <c r="R26" s="81">
        <v>1</v>
      </c>
      <c r="S26" s="81">
        <v>10</v>
      </c>
      <c r="T26" s="81">
        <v>0</v>
      </c>
      <c r="U26" s="81">
        <v>1</v>
      </c>
      <c r="V26" s="81">
        <v>848</v>
      </c>
      <c r="W26" s="81"/>
      <c r="X26" s="81"/>
      <c r="Y26" s="81"/>
      <c r="Z26" s="81" t="s">
        <v>525</v>
      </c>
      <c r="AA26" s="81"/>
      <c r="AB26" s="81"/>
      <c r="AC26" s="84" t="s">
        <v>579</v>
      </c>
      <c r="AD26" s="81" t="s">
        <v>588</v>
      </c>
      <c r="AE26" s="86" t="str">
        <f>HYPERLINK("https://twitter.com/jmcquarterly/status/1713351267106336845")</f>
        <v>https://twitter.com/jmcquarterly/status/1713351267106336845</v>
      </c>
      <c r="AF26" s="83">
        <v>45214.020243055558</v>
      </c>
      <c r="AG26" s="89">
        <v>45214</v>
      </c>
      <c r="AH26" s="84" t="s">
        <v>599</v>
      </c>
      <c r="AI26" s="81"/>
      <c r="AJ26" s="81"/>
      <c r="AK26" s="81"/>
      <c r="AL26" s="81"/>
      <c r="AM26" s="81"/>
      <c r="AN26" s="81"/>
      <c r="AO26" s="81"/>
      <c r="AP26" s="81"/>
      <c r="AQ26" s="81"/>
      <c r="AR26" s="81"/>
      <c r="AS26" s="81"/>
      <c r="AT26" s="81"/>
      <c r="AU26" s="81"/>
      <c r="AV26" s="86" t="str">
        <f>HYPERLINK("https://pbs.twimg.com/profile_images/1297970849820147712/3xME2yZ6_normal.jpg")</f>
        <v>https://pbs.twimg.com/profile_images/1297970849820147712/3xME2yZ6_normal.jpg</v>
      </c>
      <c r="AW26" s="84" t="s">
        <v>753</v>
      </c>
      <c r="AX26" s="84" t="s">
        <v>753</v>
      </c>
      <c r="AY26" s="81"/>
      <c r="AZ26" s="84" t="s">
        <v>879</v>
      </c>
      <c r="BA26" s="84" t="s">
        <v>879</v>
      </c>
      <c r="BB26" s="84" t="s">
        <v>879</v>
      </c>
      <c r="BC26" s="84" t="s">
        <v>753</v>
      </c>
      <c r="BD26" s="84" t="s">
        <v>876</v>
      </c>
      <c r="BE26" s="81"/>
      <c r="BF26" s="81"/>
      <c r="BG26" s="81"/>
      <c r="BH26" s="81"/>
      <c r="BI26" s="81"/>
      <c r="BJ26">
        <v>2</v>
      </c>
      <c r="BK26" s="80" t="str">
        <f>REPLACE(INDEX(GroupVertices[Group], MATCH("~"&amp;Edges[[#This Row],[Vertex 1]],GroupVertices[Vertex],0)),1,1,"")</f>
        <v>3</v>
      </c>
      <c r="BL26" s="80" t="str">
        <f>REPLACE(INDEX(GroupVertices[Group], MATCH("~"&amp;Edges[[#This Row],[Vertex 2]],GroupVertices[Vertex],0)),1,1,"")</f>
        <v>3</v>
      </c>
      <c r="BM26" s="49"/>
      <c r="BN26" s="50"/>
      <c r="BO26" s="49"/>
      <c r="BP26" s="50"/>
      <c r="BQ26" s="49"/>
      <c r="BR26" s="50"/>
      <c r="BS26" s="49"/>
      <c r="BT26" s="50"/>
      <c r="BU26" s="49"/>
    </row>
    <row r="27" spans="1:73" x14ac:dyDescent="0.25">
      <c r="A27" s="65" t="s">
        <v>249</v>
      </c>
      <c r="B27" s="65" t="s">
        <v>317</v>
      </c>
      <c r="C27" s="66" t="s">
        <v>10074</v>
      </c>
      <c r="D27" s="67">
        <v>6.5</v>
      </c>
      <c r="E27" s="68" t="s">
        <v>132</v>
      </c>
      <c r="F27" s="69">
        <v>23.5</v>
      </c>
      <c r="G27" s="66"/>
      <c r="H27" s="70"/>
      <c r="I27" s="71"/>
      <c r="J27" s="71"/>
      <c r="K27" s="35" t="s">
        <v>65</v>
      </c>
      <c r="L27" s="79">
        <v>27</v>
      </c>
      <c r="M27" s="79"/>
      <c r="N27" s="73"/>
      <c r="O27" s="81" t="s">
        <v>367</v>
      </c>
      <c r="P27" s="83">
        <v>45233.33766203704</v>
      </c>
      <c r="Q27" s="81" t="s">
        <v>382</v>
      </c>
      <c r="R27" s="81">
        <v>4</v>
      </c>
      <c r="S27" s="81">
        <v>15</v>
      </c>
      <c r="T27" s="81">
        <v>0</v>
      </c>
      <c r="U27" s="81">
        <v>1</v>
      </c>
      <c r="V27" s="81">
        <v>2001</v>
      </c>
      <c r="W27" s="84" t="s">
        <v>473</v>
      </c>
      <c r="X27" s="81"/>
      <c r="Y27" s="81"/>
      <c r="Z27" s="81" t="s">
        <v>526</v>
      </c>
      <c r="AA27" s="81"/>
      <c r="AB27" s="81"/>
      <c r="AC27" s="84" t="s">
        <v>579</v>
      </c>
      <c r="AD27" s="81" t="s">
        <v>588</v>
      </c>
      <c r="AE27" s="86" t="str">
        <f>HYPERLINK("https://twitter.com/jmcquarterly/status/1720351664719151216")</f>
        <v>https://twitter.com/jmcquarterly/status/1720351664719151216</v>
      </c>
      <c r="AF27" s="83">
        <v>45233.33766203704</v>
      </c>
      <c r="AG27" s="89">
        <v>45233</v>
      </c>
      <c r="AH27" s="84" t="s">
        <v>600</v>
      </c>
      <c r="AI27" s="81"/>
      <c r="AJ27" s="81"/>
      <c r="AK27" s="81"/>
      <c r="AL27" s="81"/>
      <c r="AM27" s="81"/>
      <c r="AN27" s="81"/>
      <c r="AO27" s="81"/>
      <c r="AP27" s="81"/>
      <c r="AQ27" s="81"/>
      <c r="AR27" s="81"/>
      <c r="AS27" s="81"/>
      <c r="AT27" s="81"/>
      <c r="AU27" s="81"/>
      <c r="AV27" s="86" t="str">
        <f>HYPERLINK("https://pbs.twimg.com/profile_images/1297970849820147712/3xME2yZ6_normal.jpg")</f>
        <v>https://pbs.twimg.com/profile_images/1297970849820147712/3xME2yZ6_normal.jpg</v>
      </c>
      <c r="AW27" s="84" t="s">
        <v>754</v>
      </c>
      <c r="AX27" s="84" t="s">
        <v>754</v>
      </c>
      <c r="AY27" s="81"/>
      <c r="AZ27" s="84" t="s">
        <v>879</v>
      </c>
      <c r="BA27" s="84" t="s">
        <v>879</v>
      </c>
      <c r="BB27" s="84" t="s">
        <v>879</v>
      </c>
      <c r="BC27" s="84" t="s">
        <v>754</v>
      </c>
      <c r="BD27" s="84" t="s">
        <v>876</v>
      </c>
      <c r="BE27" s="81"/>
      <c r="BF27" s="81"/>
      <c r="BG27" s="81"/>
      <c r="BH27" s="81"/>
      <c r="BI27" s="81"/>
      <c r="BJ27">
        <v>2</v>
      </c>
      <c r="BK27" s="80" t="str">
        <f>REPLACE(INDEX(GroupVertices[Group], MATCH("~"&amp;Edges[[#This Row],[Vertex 1]],GroupVertices[Vertex],0)),1,1,"")</f>
        <v>3</v>
      </c>
      <c r="BL27" s="80" t="str">
        <f>REPLACE(INDEX(GroupVertices[Group], MATCH("~"&amp;Edges[[#This Row],[Vertex 2]],GroupVertices[Vertex],0)),1,1,"")</f>
        <v>3</v>
      </c>
      <c r="BM27" s="49"/>
      <c r="BN27" s="50"/>
      <c r="BO27" s="49"/>
      <c r="BP27" s="50"/>
      <c r="BQ27" s="49"/>
      <c r="BR27" s="50"/>
      <c r="BS27" s="49"/>
      <c r="BT27" s="50"/>
      <c r="BU27" s="49"/>
    </row>
    <row r="28" spans="1:73" x14ac:dyDescent="0.25">
      <c r="A28" s="65" t="s">
        <v>250</v>
      </c>
      <c r="B28" s="65" t="s">
        <v>306</v>
      </c>
      <c r="C28" s="66" t="s">
        <v>10073</v>
      </c>
      <c r="D28" s="67">
        <v>3</v>
      </c>
      <c r="E28" s="68" t="s">
        <v>132</v>
      </c>
      <c r="F28" s="69">
        <v>35</v>
      </c>
      <c r="G28" s="66"/>
      <c r="H28" s="70"/>
      <c r="I28" s="71"/>
      <c r="J28" s="71"/>
      <c r="K28" s="35" t="s">
        <v>65</v>
      </c>
      <c r="L28" s="79">
        <v>28</v>
      </c>
      <c r="M28" s="79"/>
      <c r="N28" s="73"/>
      <c r="O28" s="81" t="s">
        <v>365</v>
      </c>
      <c r="P28" s="83">
        <v>45235.41333333333</v>
      </c>
      <c r="Q28" s="81" t="s">
        <v>383</v>
      </c>
      <c r="R28" s="81">
        <v>4</v>
      </c>
      <c r="S28" s="81">
        <v>0</v>
      </c>
      <c r="T28" s="81">
        <v>0</v>
      </c>
      <c r="U28" s="81">
        <v>0</v>
      </c>
      <c r="V28" s="81"/>
      <c r="W28" s="81"/>
      <c r="X28" s="81"/>
      <c r="Y28" s="81"/>
      <c r="Z28" s="81" t="s">
        <v>306</v>
      </c>
      <c r="AA28" s="81"/>
      <c r="AB28" s="81"/>
      <c r="AC28" s="84" t="s">
        <v>580</v>
      </c>
      <c r="AD28" s="81" t="s">
        <v>588</v>
      </c>
      <c r="AE28" s="86" t="str">
        <f>HYPERLINK("https://twitter.com/profaanderson/status/1721103866161168535")</f>
        <v>https://twitter.com/profaanderson/status/1721103866161168535</v>
      </c>
      <c r="AF28" s="83">
        <v>45235.41333333333</v>
      </c>
      <c r="AG28" s="89">
        <v>45235</v>
      </c>
      <c r="AH28" s="84" t="s">
        <v>601</v>
      </c>
      <c r="AI28" s="81"/>
      <c r="AJ28" s="81"/>
      <c r="AK28" s="81"/>
      <c r="AL28" s="81"/>
      <c r="AM28" s="81"/>
      <c r="AN28" s="81"/>
      <c r="AO28" s="81"/>
      <c r="AP28" s="81"/>
      <c r="AQ28" s="81"/>
      <c r="AR28" s="81"/>
      <c r="AS28" s="81"/>
      <c r="AT28" s="81"/>
      <c r="AU28" s="81"/>
      <c r="AV28" s="86" t="str">
        <f>HYPERLINK("https://pbs.twimg.com/profile_images/1307781872748048384/FEcShCls_normal.jpg")</f>
        <v>https://pbs.twimg.com/profile_images/1307781872748048384/FEcShCls_normal.jpg</v>
      </c>
      <c r="AW28" s="84" t="s">
        <v>755</v>
      </c>
      <c r="AX28" s="84" t="s">
        <v>755</v>
      </c>
      <c r="AY28" s="81"/>
      <c r="AZ28" s="84" t="s">
        <v>879</v>
      </c>
      <c r="BA28" s="84" t="s">
        <v>879</v>
      </c>
      <c r="BB28" s="84" t="s">
        <v>870</v>
      </c>
      <c r="BC28" s="84" t="s">
        <v>870</v>
      </c>
      <c r="BD28" s="81">
        <v>374648509</v>
      </c>
      <c r="BE28" s="81"/>
      <c r="BF28" s="81"/>
      <c r="BG28" s="81"/>
      <c r="BH28" s="81"/>
      <c r="BI28" s="81"/>
      <c r="BJ28">
        <v>1</v>
      </c>
      <c r="BK28" s="80" t="str">
        <f>REPLACE(INDEX(GroupVertices[Group], MATCH("~"&amp;Edges[[#This Row],[Vertex 1]],GroupVertices[Vertex],0)),1,1,"")</f>
        <v>7</v>
      </c>
      <c r="BL28" s="80" t="str">
        <f>REPLACE(INDEX(GroupVertices[Group], MATCH("~"&amp;Edges[[#This Row],[Vertex 2]],GroupVertices[Vertex],0)),1,1,"")</f>
        <v>7</v>
      </c>
      <c r="BM28" s="49">
        <v>1</v>
      </c>
      <c r="BN28" s="50">
        <v>4.5454545454545459</v>
      </c>
      <c r="BO28" s="49">
        <v>0</v>
      </c>
      <c r="BP28" s="50">
        <v>0</v>
      </c>
      <c r="BQ28" s="49">
        <v>0</v>
      </c>
      <c r="BR28" s="50">
        <v>0</v>
      </c>
      <c r="BS28" s="49">
        <v>14</v>
      </c>
      <c r="BT28" s="50">
        <v>63.636363636363633</v>
      </c>
      <c r="BU28" s="49">
        <v>22</v>
      </c>
    </row>
    <row r="29" spans="1:73" x14ac:dyDescent="0.25">
      <c r="A29" s="65" t="s">
        <v>251</v>
      </c>
      <c r="B29" s="65" t="s">
        <v>251</v>
      </c>
      <c r="C29" s="66" t="s">
        <v>10073</v>
      </c>
      <c r="D29" s="67">
        <v>3</v>
      </c>
      <c r="E29" s="68" t="s">
        <v>132</v>
      </c>
      <c r="F29" s="69">
        <v>35</v>
      </c>
      <c r="G29" s="66"/>
      <c r="H29" s="70"/>
      <c r="I29" s="71"/>
      <c r="J29" s="71"/>
      <c r="K29" s="35" t="s">
        <v>65</v>
      </c>
      <c r="L29" s="79">
        <v>29</v>
      </c>
      <c r="M29" s="79"/>
      <c r="N29" s="73"/>
      <c r="O29" s="81" t="s">
        <v>196</v>
      </c>
      <c r="P29" s="83">
        <v>45232.913831018515</v>
      </c>
      <c r="Q29" s="81" t="s">
        <v>384</v>
      </c>
      <c r="R29" s="81">
        <v>0</v>
      </c>
      <c r="S29" s="81">
        <v>0</v>
      </c>
      <c r="T29" s="81">
        <v>0</v>
      </c>
      <c r="U29" s="81">
        <v>0</v>
      </c>
      <c r="V29" s="81">
        <v>3</v>
      </c>
      <c r="W29" s="81"/>
      <c r="X29" s="81"/>
      <c r="Y29" s="81"/>
      <c r="Z29" s="81"/>
      <c r="AA29" s="81"/>
      <c r="AB29" s="81"/>
      <c r="AC29" s="84" t="s">
        <v>582</v>
      </c>
      <c r="AD29" s="81" t="s">
        <v>588</v>
      </c>
      <c r="AE29" s="86" t="str">
        <f>HYPERLINK("https://twitter.com/suzie_bell/status/1720198075702968765")</f>
        <v>https://twitter.com/suzie_bell/status/1720198075702968765</v>
      </c>
      <c r="AF29" s="83">
        <v>45232.913831018515</v>
      </c>
      <c r="AG29" s="89">
        <v>45232</v>
      </c>
      <c r="AH29" s="84" t="s">
        <v>602</v>
      </c>
      <c r="AI29" s="81"/>
      <c r="AJ29" s="81"/>
      <c r="AK29" s="81"/>
      <c r="AL29" s="81"/>
      <c r="AM29" s="81"/>
      <c r="AN29" s="81"/>
      <c r="AO29" s="81"/>
      <c r="AP29" s="81"/>
      <c r="AQ29" s="81"/>
      <c r="AR29" s="81"/>
      <c r="AS29" s="81"/>
      <c r="AT29" s="81"/>
      <c r="AU29" s="81"/>
      <c r="AV29" s="86" t="str">
        <f>HYPERLINK("https://abs.twimg.com/sticky/default_profile_images/default_profile_normal.png")</f>
        <v>https://abs.twimg.com/sticky/default_profile_images/default_profile_normal.png</v>
      </c>
      <c r="AW29" s="84" t="s">
        <v>756</v>
      </c>
      <c r="AX29" s="84" t="s">
        <v>756</v>
      </c>
      <c r="AY29" s="81"/>
      <c r="AZ29" s="84" t="s">
        <v>879</v>
      </c>
      <c r="BA29" s="84" t="s">
        <v>879</v>
      </c>
      <c r="BB29" s="84" t="s">
        <v>879</v>
      </c>
      <c r="BC29" s="84" t="s">
        <v>756</v>
      </c>
      <c r="BD29" s="84" t="s">
        <v>883</v>
      </c>
      <c r="BE29" s="81"/>
      <c r="BF29" s="81"/>
      <c r="BG29" s="81"/>
      <c r="BH29" s="81"/>
      <c r="BI29" s="81"/>
      <c r="BJ29">
        <v>1</v>
      </c>
      <c r="BK29" s="80" t="str">
        <f>REPLACE(INDEX(GroupVertices[Group], MATCH("~"&amp;Edges[[#This Row],[Vertex 1]],GroupVertices[Vertex],0)),1,1,"")</f>
        <v>13</v>
      </c>
      <c r="BL29" s="80" t="str">
        <f>REPLACE(INDEX(GroupVertices[Group], MATCH("~"&amp;Edges[[#This Row],[Vertex 2]],GroupVertices[Vertex],0)),1,1,"")</f>
        <v>13</v>
      </c>
      <c r="BM29" s="49">
        <v>0</v>
      </c>
      <c r="BN29" s="50">
        <v>0</v>
      </c>
      <c r="BO29" s="49">
        <v>0</v>
      </c>
      <c r="BP29" s="50">
        <v>0</v>
      </c>
      <c r="BQ29" s="49">
        <v>0</v>
      </c>
      <c r="BR29" s="50">
        <v>0</v>
      </c>
      <c r="BS29" s="49">
        <v>25</v>
      </c>
      <c r="BT29" s="50">
        <v>62.5</v>
      </c>
      <c r="BU29" s="49">
        <v>40</v>
      </c>
    </row>
    <row r="30" spans="1:73" x14ac:dyDescent="0.25">
      <c r="A30" s="65" t="s">
        <v>252</v>
      </c>
      <c r="B30" s="65" t="s">
        <v>318</v>
      </c>
      <c r="C30" s="66" t="s">
        <v>10073</v>
      </c>
      <c r="D30" s="67">
        <v>3</v>
      </c>
      <c r="E30" s="68" t="s">
        <v>132</v>
      </c>
      <c r="F30" s="69">
        <v>35</v>
      </c>
      <c r="G30" s="66"/>
      <c r="H30" s="70"/>
      <c r="I30" s="71"/>
      <c r="J30" s="71"/>
      <c r="K30" s="35" t="s">
        <v>65</v>
      </c>
      <c r="L30" s="79">
        <v>30</v>
      </c>
      <c r="M30" s="79"/>
      <c r="N30" s="73"/>
      <c r="O30" s="81" t="s">
        <v>367</v>
      </c>
      <c r="P30" s="83">
        <v>45231.96466435185</v>
      </c>
      <c r="Q30" s="81" t="s">
        <v>385</v>
      </c>
      <c r="R30" s="81">
        <v>5</v>
      </c>
      <c r="S30" s="81">
        <v>8</v>
      </c>
      <c r="T30" s="81">
        <v>0</v>
      </c>
      <c r="U30" s="81">
        <v>1</v>
      </c>
      <c r="V30" s="81">
        <v>1786</v>
      </c>
      <c r="W30" s="84" t="s">
        <v>474</v>
      </c>
      <c r="X30" s="86" t="str">
        <f>HYPERLINK("https://www.higheredjobs.com/faculty/details.cfm?JobCode=178594235")</f>
        <v>https://www.higheredjobs.com/faculty/details.cfm?JobCode=178594235</v>
      </c>
      <c r="Y30" s="81" t="s">
        <v>498</v>
      </c>
      <c r="Z30" s="81" t="s">
        <v>527</v>
      </c>
      <c r="AA30" s="81"/>
      <c r="AB30" s="81"/>
      <c r="AC30" s="84" t="s">
        <v>580</v>
      </c>
      <c r="AD30" s="81" t="s">
        <v>588</v>
      </c>
      <c r="AE30" s="86" t="str">
        <f>HYPERLINK("https://twitter.com/willthewordguy/status/1719854110231371957")</f>
        <v>https://twitter.com/willthewordguy/status/1719854110231371957</v>
      </c>
      <c r="AF30" s="83">
        <v>45231.96466435185</v>
      </c>
      <c r="AG30" s="89">
        <v>45231</v>
      </c>
      <c r="AH30" s="84" t="s">
        <v>603</v>
      </c>
      <c r="AI30" s="81" t="b">
        <v>0</v>
      </c>
      <c r="AJ30" s="81"/>
      <c r="AK30" s="81"/>
      <c r="AL30" s="81"/>
      <c r="AM30" s="81"/>
      <c r="AN30" s="81"/>
      <c r="AO30" s="81"/>
      <c r="AP30" s="81"/>
      <c r="AQ30" s="81"/>
      <c r="AR30" s="81"/>
      <c r="AS30" s="81"/>
      <c r="AT30" s="81"/>
      <c r="AU30" s="81"/>
      <c r="AV30" s="86" t="str">
        <f>HYPERLINK("https://pbs.twimg.com/profile_images/1331376273755664384/mF7tQg3B_normal.jpg")</f>
        <v>https://pbs.twimg.com/profile_images/1331376273755664384/mF7tQg3B_normal.jpg</v>
      </c>
      <c r="AW30" s="84" t="s">
        <v>757</v>
      </c>
      <c r="AX30" s="84" t="s">
        <v>757</v>
      </c>
      <c r="AY30" s="81"/>
      <c r="AZ30" s="84" t="s">
        <v>879</v>
      </c>
      <c r="BA30" s="84" t="s">
        <v>879</v>
      </c>
      <c r="BB30" s="84" t="s">
        <v>879</v>
      </c>
      <c r="BC30" s="84" t="s">
        <v>757</v>
      </c>
      <c r="BD30" s="81">
        <v>414179273</v>
      </c>
      <c r="BE30" s="81"/>
      <c r="BF30" s="81"/>
      <c r="BG30" s="81"/>
      <c r="BH30" s="81"/>
      <c r="BI30" s="81"/>
      <c r="BJ30">
        <v>1</v>
      </c>
      <c r="BK30" s="80" t="str">
        <f>REPLACE(INDEX(GroupVertices[Group], MATCH("~"&amp;Edges[[#This Row],[Vertex 1]],GroupVertices[Vertex],0)),1,1,"")</f>
        <v>2</v>
      </c>
      <c r="BL30" s="80" t="str">
        <f>REPLACE(INDEX(GroupVertices[Group], MATCH("~"&amp;Edges[[#This Row],[Vertex 2]],GroupVertices[Vertex],0)),1,1,"")</f>
        <v>2</v>
      </c>
      <c r="BM30" s="49"/>
      <c r="BN30" s="50"/>
      <c r="BO30" s="49"/>
      <c r="BP30" s="50"/>
      <c r="BQ30" s="49"/>
      <c r="BR30" s="50"/>
      <c r="BS30" s="49"/>
      <c r="BT30" s="50"/>
      <c r="BU30" s="49"/>
    </row>
    <row r="31" spans="1:73" x14ac:dyDescent="0.25">
      <c r="A31" s="65" t="s">
        <v>252</v>
      </c>
      <c r="B31" s="65" t="s">
        <v>319</v>
      </c>
      <c r="C31" s="66" t="s">
        <v>10073</v>
      </c>
      <c r="D31" s="67">
        <v>3</v>
      </c>
      <c r="E31" s="68" t="s">
        <v>132</v>
      </c>
      <c r="F31" s="69">
        <v>35</v>
      </c>
      <c r="G31" s="66"/>
      <c r="H31" s="70"/>
      <c r="I31" s="71"/>
      <c r="J31" s="71"/>
      <c r="K31" s="35" t="s">
        <v>65</v>
      </c>
      <c r="L31" s="79">
        <v>31</v>
      </c>
      <c r="M31" s="79"/>
      <c r="N31" s="73"/>
      <c r="O31" s="81" t="s">
        <v>367</v>
      </c>
      <c r="P31" s="83">
        <v>45231.96466435185</v>
      </c>
      <c r="Q31" s="81" t="s">
        <v>385</v>
      </c>
      <c r="R31" s="81">
        <v>5</v>
      </c>
      <c r="S31" s="81">
        <v>8</v>
      </c>
      <c r="T31" s="81">
        <v>0</v>
      </c>
      <c r="U31" s="81">
        <v>1</v>
      </c>
      <c r="V31" s="81">
        <v>1786</v>
      </c>
      <c r="W31" s="84" t="s">
        <v>474</v>
      </c>
      <c r="X31" s="86" t="str">
        <f>HYPERLINK("https://www.higheredjobs.com/faculty/details.cfm?JobCode=178594235")</f>
        <v>https://www.higheredjobs.com/faculty/details.cfm?JobCode=178594235</v>
      </c>
      <c r="Y31" s="81" t="s">
        <v>498</v>
      </c>
      <c r="Z31" s="81" t="s">
        <v>527</v>
      </c>
      <c r="AA31" s="81"/>
      <c r="AB31" s="81"/>
      <c r="AC31" s="84" t="s">
        <v>580</v>
      </c>
      <c r="AD31" s="81" t="s">
        <v>588</v>
      </c>
      <c r="AE31" s="86" t="str">
        <f>HYPERLINK("https://twitter.com/willthewordguy/status/1719854110231371957")</f>
        <v>https://twitter.com/willthewordguy/status/1719854110231371957</v>
      </c>
      <c r="AF31" s="83">
        <v>45231.96466435185</v>
      </c>
      <c r="AG31" s="89">
        <v>45231</v>
      </c>
      <c r="AH31" s="84" t="s">
        <v>603</v>
      </c>
      <c r="AI31" s="81" t="b">
        <v>0</v>
      </c>
      <c r="AJ31" s="81"/>
      <c r="AK31" s="81"/>
      <c r="AL31" s="81"/>
      <c r="AM31" s="81"/>
      <c r="AN31" s="81"/>
      <c r="AO31" s="81"/>
      <c r="AP31" s="81"/>
      <c r="AQ31" s="81"/>
      <c r="AR31" s="81"/>
      <c r="AS31" s="81"/>
      <c r="AT31" s="81"/>
      <c r="AU31" s="81"/>
      <c r="AV31" s="86" t="str">
        <f>HYPERLINK("https://pbs.twimg.com/profile_images/1331376273755664384/mF7tQg3B_normal.jpg")</f>
        <v>https://pbs.twimg.com/profile_images/1331376273755664384/mF7tQg3B_normal.jpg</v>
      </c>
      <c r="AW31" s="84" t="s">
        <v>757</v>
      </c>
      <c r="AX31" s="84" t="s">
        <v>757</v>
      </c>
      <c r="AY31" s="81"/>
      <c r="AZ31" s="84" t="s">
        <v>879</v>
      </c>
      <c r="BA31" s="84" t="s">
        <v>879</v>
      </c>
      <c r="BB31" s="84" t="s">
        <v>879</v>
      </c>
      <c r="BC31" s="84" t="s">
        <v>757</v>
      </c>
      <c r="BD31" s="81">
        <v>414179273</v>
      </c>
      <c r="BE31" s="81"/>
      <c r="BF31" s="81"/>
      <c r="BG31" s="81"/>
      <c r="BH31" s="81"/>
      <c r="BI31" s="81"/>
      <c r="BJ31">
        <v>1</v>
      </c>
      <c r="BK31" s="80" t="str">
        <f>REPLACE(INDEX(GroupVertices[Group], MATCH("~"&amp;Edges[[#This Row],[Vertex 1]],GroupVertices[Vertex],0)),1,1,"")</f>
        <v>2</v>
      </c>
      <c r="BL31" s="80" t="str">
        <f>REPLACE(INDEX(GroupVertices[Group], MATCH("~"&amp;Edges[[#This Row],[Vertex 2]],GroupVertices[Vertex],0)),1,1,"")</f>
        <v>2</v>
      </c>
      <c r="BM31" s="49">
        <v>1</v>
      </c>
      <c r="BN31" s="50">
        <v>4.166666666666667</v>
      </c>
      <c r="BO31" s="49">
        <v>0</v>
      </c>
      <c r="BP31" s="50">
        <v>0</v>
      </c>
      <c r="BQ31" s="49">
        <v>0</v>
      </c>
      <c r="BR31" s="50">
        <v>0</v>
      </c>
      <c r="BS31" s="49">
        <v>15</v>
      </c>
      <c r="BT31" s="50">
        <v>62.5</v>
      </c>
      <c r="BU31" s="49">
        <v>24</v>
      </c>
    </row>
    <row r="32" spans="1:73" x14ac:dyDescent="0.25">
      <c r="A32" s="65" t="s">
        <v>253</v>
      </c>
      <c r="B32" s="65" t="s">
        <v>289</v>
      </c>
      <c r="C32" s="66" t="s">
        <v>10073</v>
      </c>
      <c r="D32" s="67">
        <v>3</v>
      </c>
      <c r="E32" s="68" t="s">
        <v>132</v>
      </c>
      <c r="F32" s="69">
        <v>35</v>
      </c>
      <c r="G32" s="66"/>
      <c r="H32" s="70"/>
      <c r="I32" s="71"/>
      <c r="J32" s="71"/>
      <c r="K32" s="35" t="s">
        <v>65</v>
      </c>
      <c r="L32" s="79">
        <v>32</v>
      </c>
      <c r="M32" s="79"/>
      <c r="N32" s="73"/>
      <c r="O32" s="81" t="s">
        <v>365</v>
      </c>
      <c r="P32" s="83">
        <v>45230.847384259258</v>
      </c>
      <c r="Q32" s="81" t="s">
        <v>372</v>
      </c>
      <c r="R32" s="81">
        <v>5</v>
      </c>
      <c r="S32" s="81">
        <v>0</v>
      </c>
      <c r="T32" s="81">
        <v>0</v>
      </c>
      <c r="U32" s="81">
        <v>0</v>
      </c>
      <c r="V32" s="81"/>
      <c r="W32" s="81"/>
      <c r="X32" s="81"/>
      <c r="Y32" s="81"/>
      <c r="Z32" s="81" t="s">
        <v>289</v>
      </c>
      <c r="AA32" s="81"/>
      <c r="AB32" s="81"/>
      <c r="AC32" s="84" t="s">
        <v>582</v>
      </c>
      <c r="AD32" s="81" t="s">
        <v>588</v>
      </c>
      <c r="AE32" s="86" t="str">
        <f>HYPERLINK("https://twitter.com/carabyrd/status/1719449220498022851")</f>
        <v>https://twitter.com/carabyrd/status/1719449220498022851</v>
      </c>
      <c r="AF32" s="83">
        <v>45230.847384259258</v>
      </c>
      <c r="AG32" s="89">
        <v>45230</v>
      </c>
      <c r="AH32" s="84" t="s">
        <v>604</v>
      </c>
      <c r="AI32" s="81" t="b">
        <v>0</v>
      </c>
      <c r="AJ32" s="81"/>
      <c r="AK32" s="81"/>
      <c r="AL32" s="81"/>
      <c r="AM32" s="81"/>
      <c r="AN32" s="81"/>
      <c r="AO32" s="81"/>
      <c r="AP32" s="81"/>
      <c r="AQ32" s="81"/>
      <c r="AR32" s="81"/>
      <c r="AS32" s="81"/>
      <c r="AT32" s="81"/>
      <c r="AU32" s="81"/>
      <c r="AV32" s="86" t="str">
        <f>HYPERLINK("https://pbs.twimg.com/profile_images/1641843825688838144/sHCTtMet_normal.jpg")</f>
        <v>https://pbs.twimg.com/profile_images/1641843825688838144/sHCTtMet_normal.jpg</v>
      </c>
      <c r="AW32" s="84" t="s">
        <v>758</v>
      </c>
      <c r="AX32" s="84" t="s">
        <v>758</v>
      </c>
      <c r="AY32" s="81"/>
      <c r="AZ32" s="84" t="s">
        <v>879</v>
      </c>
      <c r="BA32" s="84" t="s">
        <v>879</v>
      </c>
      <c r="BB32" s="84" t="s">
        <v>839</v>
      </c>
      <c r="BC32" s="84" t="s">
        <v>839</v>
      </c>
      <c r="BD32" s="81">
        <v>17179241</v>
      </c>
      <c r="BE32" s="81"/>
      <c r="BF32" s="81"/>
      <c r="BG32" s="81"/>
      <c r="BH32" s="81"/>
      <c r="BI32" s="81"/>
      <c r="BJ32">
        <v>1</v>
      </c>
      <c r="BK32" s="80" t="str">
        <f>REPLACE(INDEX(GroupVertices[Group], MATCH("~"&amp;Edges[[#This Row],[Vertex 1]],GroupVertices[Vertex],0)),1,1,"")</f>
        <v>10</v>
      </c>
      <c r="BL32" s="80" t="str">
        <f>REPLACE(INDEX(GroupVertices[Group], MATCH("~"&amp;Edges[[#This Row],[Vertex 2]],GroupVertices[Vertex],0)),1,1,"")</f>
        <v>10</v>
      </c>
      <c r="BM32" s="49">
        <v>0</v>
      </c>
      <c r="BN32" s="50">
        <v>0</v>
      </c>
      <c r="BO32" s="49">
        <v>0</v>
      </c>
      <c r="BP32" s="50">
        <v>0</v>
      </c>
      <c r="BQ32" s="49">
        <v>0</v>
      </c>
      <c r="BR32" s="50">
        <v>0</v>
      </c>
      <c r="BS32" s="49">
        <v>13</v>
      </c>
      <c r="BT32" s="50">
        <v>54.166666666666664</v>
      </c>
      <c r="BU32" s="49">
        <v>24</v>
      </c>
    </row>
    <row r="33" spans="1:73" x14ac:dyDescent="0.25">
      <c r="A33" s="65" t="s">
        <v>253</v>
      </c>
      <c r="B33" s="65" t="s">
        <v>261</v>
      </c>
      <c r="C33" s="66" t="s">
        <v>10073</v>
      </c>
      <c r="D33" s="67">
        <v>3</v>
      </c>
      <c r="E33" s="68" t="s">
        <v>132</v>
      </c>
      <c r="F33" s="69">
        <v>35</v>
      </c>
      <c r="G33" s="66"/>
      <c r="H33" s="70"/>
      <c r="I33" s="71"/>
      <c r="J33" s="71"/>
      <c r="K33" s="35" t="s">
        <v>65</v>
      </c>
      <c r="L33" s="79">
        <v>33</v>
      </c>
      <c r="M33" s="79"/>
      <c r="N33" s="73"/>
      <c r="O33" s="81" t="s">
        <v>366</v>
      </c>
      <c r="P33" s="83">
        <v>45234.834687499999</v>
      </c>
      <c r="Q33" s="81" t="s">
        <v>386</v>
      </c>
      <c r="R33" s="81">
        <v>1</v>
      </c>
      <c r="S33" s="81">
        <v>0</v>
      </c>
      <c r="T33" s="81">
        <v>0</v>
      </c>
      <c r="U33" s="81">
        <v>0</v>
      </c>
      <c r="V33" s="81"/>
      <c r="W33" s="84" t="s">
        <v>475</v>
      </c>
      <c r="X33" s="81"/>
      <c r="Y33" s="81"/>
      <c r="Z33" s="81" t="s">
        <v>528</v>
      </c>
      <c r="AA33" s="81"/>
      <c r="AB33" s="81"/>
      <c r="AC33" s="84" t="s">
        <v>579</v>
      </c>
      <c r="AD33" s="81" t="s">
        <v>588</v>
      </c>
      <c r="AE33" s="86" t="str">
        <f>HYPERLINK("https://twitter.com/carabyrd/status/1720894169428988212")</f>
        <v>https://twitter.com/carabyrd/status/1720894169428988212</v>
      </c>
      <c r="AF33" s="83">
        <v>45234.834687499999</v>
      </c>
      <c r="AG33" s="89">
        <v>45234</v>
      </c>
      <c r="AH33" s="84" t="s">
        <v>605</v>
      </c>
      <c r="AI33" s="81"/>
      <c r="AJ33" s="81"/>
      <c r="AK33" s="81"/>
      <c r="AL33" s="81"/>
      <c r="AM33" s="81"/>
      <c r="AN33" s="81"/>
      <c r="AO33" s="81"/>
      <c r="AP33" s="81"/>
      <c r="AQ33" s="81"/>
      <c r="AR33" s="81"/>
      <c r="AS33" s="81"/>
      <c r="AT33" s="81"/>
      <c r="AU33" s="81"/>
      <c r="AV33" s="86" t="str">
        <f>HYPERLINK("https://pbs.twimg.com/profile_images/1641843825688838144/sHCTtMet_normal.jpg")</f>
        <v>https://pbs.twimg.com/profile_images/1641843825688838144/sHCTtMet_normal.jpg</v>
      </c>
      <c r="AW33" s="84" t="s">
        <v>759</v>
      </c>
      <c r="AX33" s="84" t="s">
        <v>759</v>
      </c>
      <c r="AY33" s="81"/>
      <c r="AZ33" s="84" t="s">
        <v>879</v>
      </c>
      <c r="BA33" s="84" t="s">
        <v>879</v>
      </c>
      <c r="BB33" s="84" t="s">
        <v>770</v>
      </c>
      <c r="BC33" s="84" t="s">
        <v>770</v>
      </c>
      <c r="BD33" s="81">
        <v>17179241</v>
      </c>
      <c r="BE33" s="81"/>
      <c r="BF33" s="81"/>
      <c r="BG33" s="81"/>
      <c r="BH33" s="81"/>
      <c r="BI33" s="81"/>
      <c r="BJ33">
        <v>1</v>
      </c>
      <c r="BK33" s="80" t="str">
        <f>REPLACE(INDEX(GroupVertices[Group], MATCH("~"&amp;Edges[[#This Row],[Vertex 1]],GroupVertices[Vertex],0)),1,1,"")</f>
        <v>10</v>
      </c>
      <c r="BL33" s="80" t="str">
        <f>REPLACE(INDEX(GroupVertices[Group], MATCH("~"&amp;Edges[[#This Row],[Vertex 2]],GroupVertices[Vertex],0)),1,1,"")</f>
        <v>2</v>
      </c>
      <c r="BM33" s="49"/>
      <c r="BN33" s="50"/>
      <c r="BO33" s="49"/>
      <c r="BP33" s="50"/>
      <c r="BQ33" s="49"/>
      <c r="BR33" s="50"/>
      <c r="BS33" s="49"/>
      <c r="BT33" s="50"/>
      <c r="BU33" s="49"/>
    </row>
    <row r="34" spans="1:73" x14ac:dyDescent="0.25">
      <c r="A34" s="65" t="s">
        <v>253</v>
      </c>
      <c r="B34" s="65" t="s">
        <v>261</v>
      </c>
      <c r="C34" s="66" t="s">
        <v>10073</v>
      </c>
      <c r="D34" s="67">
        <v>3</v>
      </c>
      <c r="E34" s="68" t="s">
        <v>132</v>
      </c>
      <c r="F34" s="69">
        <v>35</v>
      </c>
      <c r="G34" s="66"/>
      <c r="H34" s="70"/>
      <c r="I34" s="71"/>
      <c r="J34" s="71"/>
      <c r="K34" s="35" t="s">
        <v>65</v>
      </c>
      <c r="L34" s="79">
        <v>34</v>
      </c>
      <c r="M34" s="79"/>
      <c r="N34" s="73"/>
      <c r="O34" s="81" t="s">
        <v>365</v>
      </c>
      <c r="P34" s="83">
        <v>45234.834687499999</v>
      </c>
      <c r="Q34" s="81" t="s">
        <v>386</v>
      </c>
      <c r="R34" s="81">
        <v>1</v>
      </c>
      <c r="S34" s="81">
        <v>0</v>
      </c>
      <c r="T34" s="81">
        <v>0</v>
      </c>
      <c r="U34" s="81">
        <v>0</v>
      </c>
      <c r="V34" s="81"/>
      <c r="W34" s="84" t="s">
        <v>475</v>
      </c>
      <c r="X34" s="81"/>
      <c r="Y34" s="81"/>
      <c r="Z34" s="81" t="s">
        <v>528</v>
      </c>
      <c r="AA34" s="81"/>
      <c r="AB34" s="81"/>
      <c r="AC34" s="84" t="s">
        <v>579</v>
      </c>
      <c r="AD34" s="81" t="s">
        <v>588</v>
      </c>
      <c r="AE34" s="86" t="str">
        <f>HYPERLINK("https://twitter.com/carabyrd/status/1720894169428988212")</f>
        <v>https://twitter.com/carabyrd/status/1720894169428988212</v>
      </c>
      <c r="AF34" s="83">
        <v>45234.834687499999</v>
      </c>
      <c r="AG34" s="89">
        <v>45234</v>
      </c>
      <c r="AH34" s="84" t="s">
        <v>605</v>
      </c>
      <c r="AI34" s="81"/>
      <c r="AJ34" s="81"/>
      <c r="AK34" s="81"/>
      <c r="AL34" s="81"/>
      <c r="AM34" s="81"/>
      <c r="AN34" s="81"/>
      <c r="AO34" s="81"/>
      <c r="AP34" s="81"/>
      <c r="AQ34" s="81"/>
      <c r="AR34" s="81"/>
      <c r="AS34" s="81"/>
      <c r="AT34" s="81"/>
      <c r="AU34" s="81"/>
      <c r="AV34" s="86" t="str">
        <f>HYPERLINK("https://pbs.twimg.com/profile_images/1641843825688838144/sHCTtMet_normal.jpg")</f>
        <v>https://pbs.twimg.com/profile_images/1641843825688838144/sHCTtMet_normal.jpg</v>
      </c>
      <c r="AW34" s="84" t="s">
        <v>759</v>
      </c>
      <c r="AX34" s="84" t="s">
        <v>759</v>
      </c>
      <c r="AY34" s="81"/>
      <c r="AZ34" s="84" t="s">
        <v>879</v>
      </c>
      <c r="BA34" s="84" t="s">
        <v>879</v>
      </c>
      <c r="BB34" s="84" t="s">
        <v>770</v>
      </c>
      <c r="BC34" s="84" t="s">
        <v>770</v>
      </c>
      <c r="BD34" s="81">
        <v>17179241</v>
      </c>
      <c r="BE34" s="81"/>
      <c r="BF34" s="81"/>
      <c r="BG34" s="81"/>
      <c r="BH34" s="81"/>
      <c r="BI34" s="81"/>
      <c r="BJ34">
        <v>1</v>
      </c>
      <c r="BK34" s="80" t="str">
        <f>REPLACE(INDEX(GroupVertices[Group], MATCH("~"&amp;Edges[[#This Row],[Vertex 1]],GroupVertices[Vertex],0)),1,1,"")</f>
        <v>10</v>
      </c>
      <c r="BL34" s="80" t="str">
        <f>REPLACE(INDEX(GroupVertices[Group], MATCH("~"&amp;Edges[[#This Row],[Vertex 2]],GroupVertices[Vertex],0)),1,1,"")</f>
        <v>2</v>
      </c>
      <c r="BM34" s="49">
        <v>0</v>
      </c>
      <c r="BN34" s="50">
        <v>0</v>
      </c>
      <c r="BO34" s="49">
        <v>0</v>
      </c>
      <c r="BP34" s="50">
        <v>0</v>
      </c>
      <c r="BQ34" s="49">
        <v>0</v>
      </c>
      <c r="BR34" s="50">
        <v>0</v>
      </c>
      <c r="BS34" s="49">
        <v>11</v>
      </c>
      <c r="BT34" s="50">
        <v>47.826086956521742</v>
      </c>
      <c r="BU34" s="49">
        <v>23</v>
      </c>
    </row>
    <row r="35" spans="1:73" x14ac:dyDescent="0.25">
      <c r="A35" s="65" t="s">
        <v>254</v>
      </c>
      <c r="B35" s="65" t="s">
        <v>261</v>
      </c>
      <c r="C35" s="66" t="s">
        <v>10073</v>
      </c>
      <c r="D35" s="67">
        <v>3</v>
      </c>
      <c r="E35" s="68" t="s">
        <v>132</v>
      </c>
      <c r="F35" s="69">
        <v>35</v>
      </c>
      <c r="G35" s="66"/>
      <c r="H35" s="70"/>
      <c r="I35" s="71"/>
      <c r="J35" s="71"/>
      <c r="K35" s="35" t="s">
        <v>65</v>
      </c>
      <c r="L35" s="79">
        <v>35</v>
      </c>
      <c r="M35" s="79"/>
      <c r="N35" s="73"/>
      <c r="O35" s="81" t="s">
        <v>366</v>
      </c>
      <c r="P35" s="83">
        <v>45231.083877314813</v>
      </c>
      <c r="Q35" s="81" t="s">
        <v>387</v>
      </c>
      <c r="R35" s="81">
        <v>2</v>
      </c>
      <c r="S35" s="81">
        <v>0</v>
      </c>
      <c r="T35" s="81">
        <v>0</v>
      </c>
      <c r="U35" s="81">
        <v>0</v>
      </c>
      <c r="V35" s="81"/>
      <c r="W35" s="84" t="s">
        <v>476</v>
      </c>
      <c r="X35" s="86" t="str">
        <f>HYPERLINK("https://www.schooljobs.com/careers/bgsu/jobs/4264712/assistant-professor-school-of-media-and-communication?page=3&amp;pagetype=jobOpportunitiesJobs")</f>
        <v>https://www.schooljobs.com/careers/bgsu/jobs/4264712/assistant-professor-school-of-media-and-communication?page=3&amp;pagetype=jobOpportunitiesJobs</v>
      </c>
      <c r="Y35" s="81" t="s">
        <v>499</v>
      </c>
      <c r="Z35" s="81" t="s">
        <v>529</v>
      </c>
      <c r="AA35" s="81"/>
      <c r="AB35" s="81"/>
      <c r="AC35" s="84" t="s">
        <v>582</v>
      </c>
      <c r="AD35" s="81" t="s">
        <v>588</v>
      </c>
      <c r="AE35" s="86" t="str">
        <f>HYPERLINK("https://twitter.com/j_o_rawlins/status/1719534921486901428")</f>
        <v>https://twitter.com/j_o_rawlins/status/1719534921486901428</v>
      </c>
      <c r="AF35" s="83">
        <v>45231.083877314813</v>
      </c>
      <c r="AG35" s="89">
        <v>45231</v>
      </c>
      <c r="AH35" s="84" t="s">
        <v>606</v>
      </c>
      <c r="AI35" s="81" t="b">
        <v>0</v>
      </c>
      <c r="AJ35" s="81"/>
      <c r="AK35" s="81"/>
      <c r="AL35" s="81"/>
      <c r="AM35" s="81"/>
      <c r="AN35" s="81"/>
      <c r="AO35" s="81"/>
      <c r="AP35" s="81"/>
      <c r="AQ35" s="81"/>
      <c r="AR35" s="81"/>
      <c r="AS35" s="81"/>
      <c r="AT35" s="81"/>
      <c r="AU35" s="81"/>
      <c r="AV35" s="86" t="str">
        <f>HYPERLINK("https://pbs.twimg.com/profile_images/1380239699550298115/81rHaRRe_normal.jpg")</f>
        <v>https://pbs.twimg.com/profile_images/1380239699550298115/81rHaRRe_normal.jpg</v>
      </c>
      <c r="AW35" s="84" t="s">
        <v>760</v>
      </c>
      <c r="AX35" s="84" t="s">
        <v>760</v>
      </c>
      <c r="AY35" s="81"/>
      <c r="AZ35" s="84" t="s">
        <v>879</v>
      </c>
      <c r="BA35" s="84" t="s">
        <v>879</v>
      </c>
      <c r="BB35" s="84" t="s">
        <v>766</v>
      </c>
      <c r="BC35" s="84" t="s">
        <v>766</v>
      </c>
      <c r="BD35" s="81">
        <v>445932915</v>
      </c>
      <c r="BE35" s="81"/>
      <c r="BF35" s="81"/>
      <c r="BG35" s="81"/>
      <c r="BH35" s="81"/>
      <c r="BI35" s="81"/>
      <c r="BJ35">
        <v>1</v>
      </c>
      <c r="BK35" s="80" t="str">
        <f>REPLACE(INDEX(GroupVertices[Group], MATCH("~"&amp;Edges[[#This Row],[Vertex 1]],GroupVertices[Vertex],0)),1,1,"")</f>
        <v>2</v>
      </c>
      <c r="BL35" s="80" t="str">
        <f>REPLACE(INDEX(GroupVertices[Group], MATCH("~"&amp;Edges[[#This Row],[Vertex 2]],GroupVertices[Vertex],0)),1,1,"")</f>
        <v>2</v>
      </c>
      <c r="BM35" s="49"/>
      <c r="BN35" s="50"/>
      <c r="BO35" s="49"/>
      <c r="BP35" s="50"/>
      <c r="BQ35" s="49"/>
      <c r="BR35" s="50"/>
      <c r="BS35" s="49"/>
      <c r="BT35" s="50"/>
      <c r="BU35" s="49"/>
    </row>
    <row r="36" spans="1:73" x14ac:dyDescent="0.25">
      <c r="A36" s="65" t="s">
        <v>254</v>
      </c>
      <c r="B36" s="65" t="s">
        <v>268</v>
      </c>
      <c r="C36" s="66" t="s">
        <v>10073</v>
      </c>
      <c r="D36" s="67">
        <v>3</v>
      </c>
      <c r="E36" s="68" t="s">
        <v>132</v>
      </c>
      <c r="F36" s="69">
        <v>35</v>
      </c>
      <c r="G36" s="66"/>
      <c r="H36" s="70"/>
      <c r="I36" s="71"/>
      <c r="J36" s="71"/>
      <c r="K36" s="35" t="s">
        <v>65</v>
      </c>
      <c r="L36" s="79">
        <v>36</v>
      </c>
      <c r="M36" s="79"/>
      <c r="N36" s="73"/>
      <c r="O36" s="81" t="s">
        <v>366</v>
      </c>
      <c r="P36" s="83">
        <v>45231.083877314813</v>
      </c>
      <c r="Q36" s="81" t="s">
        <v>387</v>
      </c>
      <c r="R36" s="81">
        <v>2</v>
      </c>
      <c r="S36" s="81">
        <v>0</v>
      </c>
      <c r="T36" s="81">
        <v>0</v>
      </c>
      <c r="U36" s="81">
        <v>0</v>
      </c>
      <c r="V36" s="81"/>
      <c r="W36" s="84" t="s">
        <v>476</v>
      </c>
      <c r="X36" s="86" t="str">
        <f>HYPERLINK("https://www.schooljobs.com/careers/bgsu/jobs/4264712/assistant-professor-school-of-media-and-communication?page=3&amp;pagetype=jobOpportunitiesJobs")</f>
        <v>https://www.schooljobs.com/careers/bgsu/jobs/4264712/assistant-professor-school-of-media-and-communication?page=3&amp;pagetype=jobOpportunitiesJobs</v>
      </c>
      <c r="Y36" s="81" t="s">
        <v>499</v>
      </c>
      <c r="Z36" s="81" t="s">
        <v>529</v>
      </c>
      <c r="AA36" s="81"/>
      <c r="AB36" s="81"/>
      <c r="AC36" s="84" t="s">
        <v>582</v>
      </c>
      <c r="AD36" s="81" t="s">
        <v>588</v>
      </c>
      <c r="AE36" s="86" t="str">
        <f>HYPERLINK("https://twitter.com/j_o_rawlins/status/1719534921486901428")</f>
        <v>https://twitter.com/j_o_rawlins/status/1719534921486901428</v>
      </c>
      <c r="AF36" s="83">
        <v>45231.083877314813</v>
      </c>
      <c r="AG36" s="89">
        <v>45231</v>
      </c>
      <c r="AH36" s="84" t="s">
        <v>606</v>
      </c>
      <c r="AI36" s="81" t="b">
        <v>0</v>
      </c>
      <c r="AJ36" s="81"/>
      <c r="AK36" s="81"/>
      <c r="AL36" s="81"/>
      <c r="AM36" s="81"/>
      <c r="AN36" s="81"/>
      <c r="AO36" s="81"/>
      <c r="AP36" s="81"/>
      <c r="AQ36" s="81"/>
      <c r="AR36" s="81"/>
      <c r="AS36" s="81"/>
      <c r="AT36" s="81"/>
      <c r="AU36" s="81"/>
      <c r="AV36" s="86" t="str">
        <f>HYPERLINK("https://pbs.twimg.com/profile_images/1380239699550298115/81rHaRRe_normal.jpg")</f>
        <v>https://pbs.twimg.com/profile_images/1380239699550298115/81rHaRRe_normal.jpg</v>
      </c>
      <c r="AW36" s="84" t="s">
        <v>760</v>
      </c>
      <c r="AX36" s="84" t="s">
        <v>760</v>
      </c>
      <c r="AY36" s="81"/>
      <c r="AZ36" s="84" t="s">
        <v>879</v>
      </c>
      <c r="BA36" s="84" t="s">
        <v>879</v>
      </c>
      <c r="BB36" s="84" t="s">
        <v>766</v>
      </c>
      <c r="BC36" s="84" t="s">
        <v>766</v>
      </c>
      <c r="BD36" s="81">
        <v>445932915</v>
      </c>
      <c r="BE36" s="81"/>
      <c r="BF36" s="81"/>
      <c r="BG36" s="81"/>
      <c r="BH36" s="81"/>
      <c r="BI36" s="81"/>
      <c r="BJ36">
        <v>1</v>
      </c>
      <c r="BK36" s="80" t="str">
        <f>REPLACE(INDEX(GroupVertices[Group], MATCH("~"&amp;Edges[[#This Row],[Vertex 1]],GroupVertices[Vertex],0)),1,1,"")</f>
        <v>2</v>
      </c>
      <c r="BL36" s="80" t="str">
        <f>REPLACE(INDEX(GroupVertices[Group], MATCH("~"&amp;Edges[[#This Row],[Vertex 2]],GroupVertices[Vertex],0)),1,1,"")</f>
        <v>1</v>
      </c>
      <c r="BM36" s="49"/>
      <c r="BN36" s="50"/>
      <c r="BO36" s="49"/>
      <c r="BP36" s="50"/>
      <c r="BQ36" s="49"/>
      <c r="BR36" s="50"/>
      <c r="BS36" s="49"/>
      <c r="BT36" s="50"/>
      <c r="BU36" s="49"/>
    </row>
    <row r="37" spans="1:73" x14ac:dyDescent="0.25">
      <c r="A37" s="65" t="s">
        <v>254</v>
      </c>
      <c r="B37" s="65" t="s">
        <v>320</v>
      </c>
      <c r="C37" s="66" t="s">
        <v>10073</v>
      </c>
      <c r="D37" s="67">
        <v>3</v>
      </c>
      <c r="E37" s="68" t="s">
        <v>132</v>
      </c>
      <c r="F37" s="69">
        <v>35</v>
      </c>
      <c r="G37" s="66"/>
      <c r="H37" s="70"/>
      <c r="I37" s="71"/>
      <c r="J37" s="71"/>
      <c r="K37" s="35" t="s">
        <v>65</v>
      </c>
      <c r="L37" s="79">
        <v>37</v>
      </c>
      <c r="M37" s="79"/>
      <c r="N37" s="73"/>
      <c r="O37" s="81" t="s">
        <v>366</v>
      </c>
      <c r="P37" s="83">
        <v>45231.083877314813</v>
      </c>
      <c r="Q37" s="81" t="s">
        <v>387</v>
      </c>
      <c r="R37" s="81">
        <v>2</v>
      </c>
      <c r="S37" s="81">
        <v>0</v>
      </c>
      <c r="T37" s="81">
        <v>0</v>
      </c>
      <c r="U37" s="81">
        <v>0</v>
      </c>
      <c r="V37" s="81"/>
      <c r="W37" s="84" t="s">
        <v>476</v>
      </c>
      <c r="X37" s="86" t="str">
        <f>HYPERLINK("https://www.schooljobs.com/careers/bgsu/jobs/4264712/assistant-professor-school-of-media-and-communication?page=3&amp;pagetype=jobOpportunitiesJobs")</f>
        <v>https://www.schooljobs.com/careers/bgsu/jobs/4264712/assistant-professor-school-of-media-and-communication?page=3&amp;pagetype=jobOpportunitiesJobs</v>
      </c>
      <c r="Y37" s="81" t="s">
        <v>499</v>
      </c>
      <c r="Z37" s="81" t="s">
        <v>529</v>
      </c>
      <c r="AA37" s="81"/>
      <c r="AB37" s="81"/>
      <c r="AC37" s="84" t="s">
        <v>582</v>
      </c>
      <c r="AD37" s="81" t="s">
        <v>588</v>
      </c>
      <c r="AE37" s="86" t="str">
        <f>HYPERLINK("https://twitter.com/j_o_rawlins/status/1719534921486901428")</f>
        <v>https://twitter.com/j_o_rawlins/status/1719534921486901428</v>
      </c>
      <c r="AF37" s="83">
        <v>45231.083877314813</v>
      </c>
      <c r="AG37" s="89">
        <v>45231</v>
      </c>
      <c r="AH37" s="84" t="s">
        <v>606</v>
      </c>
      <c r="AI37" s="81" t="b">
        <v>0</v>
      </c>
      <c r="AJ37" s="81"/>
      <c r="AK37" s="81"/>
      <c r="AL37" s="81"/>
      <c r="AM37" s="81"/>
      <c r="AN37" s="81"/>
      <c r="AO37" s="81"/>
      <c r="AP37" s="81"/>
      <c r="AQ37" s="81"/>
      <c r="AR37" s="81"/>
      <c r="AS37" s="81"/>
      <c r="AT37" s="81"/>
      <c r="AU37" s="81"/>
      <c r="AV37" s="86" t="str">
        <f>HYPERLINK("https://pbs.twimg.com/profile_images/1380239699550298115/81rHaRRe_normal.jpg")</f>
        <v>https://pbs.twimg.com/profile_images/1380239699550298115/81rHaRRe_normal.jpg</v>
      </c>
      <c r="AW37" s="84" t="s">
        <v>760</v>
      </c>
      <c r="AX37" s="84" t="s">
        <v>760</v>
      </c>
      <c r="AY37" s="81"/>
      <c r="AZ37" s="84" t="s">
        <v>879</v>
      </c>
      <c r="BA37" s="84" t="s">
        <v>879</v>
      </c>
      <c r="BB37" s="84" t="s">
        <v>766</v>
      </c>
      <c r="BC37" s="84" t="s">
        <v>766</v>
      </c>
      <c r="BD37" s="81">
        <v>445932915</v>
      </c>
      <c r="BE37" s="81"/>
      <c r="BF37" s="81"/>
      <c r="BG37" s="81"/>
      <c r="BH37" s="81"/>
      <c r="BI37" s="81"/>
      <c r="BJ37">
        <v>1</v>
      </c>
      <c r="BK37" s="80" t="str">
        <f>REPLACE(INDEX(GroupVertices[Group], MATCH("~"&amp;Edges[[#This Row],[Vertex 1]],GroupVertices[Vertex],0)),1,1,"")</f>
        <v>2</v>
      </c>
      <c r="BL37" s="80" t="str">
        <f>REPLACE(INDEX(GroupVertices[Group], MATCH("~"&amp;Edges[[#This Row],[Vertex 2]],GroupVertices[Vertex],0)),1,1,"")</f>
        <v>2</v>
      </c>
      <c r="BM37" s="49">
        <v>0</v>
      </c>
      <c r="BN37" s="50">
        <v>0</v>
      </c>
      <c r="BO37" s="49">
        <v>0</v>
      </c>
      <c r="BP37" s="50">
        <v>0</v>
      </c>
      <c r="BQ37" s="49">
        <v>0</v>
      </c>
      <c r="BR37" s="50">
        <v>0</v>
      </c>
      <c r="BS37" s="49">
        <v>10</v>
      </c>
      <c r="BT37" s="50">
        <v>76.92307692307692</v>
      </c>
      <c r="BU37" s="49">
        <v>13</v>
      </c>
    </row>
    <row r="38" spans="1:73" x14ac:dyDescent="0.25">
      <c r="A38" s="65" t="s">
        <v>254</v>
      </c>
      <c r="B38" s="65" t="s">
        <v>252</v>
      </c>
      <c r="C38" s="66" t="s">
        <v>10073</v>
      </c>
      <c r="D38" s="67">
        <v>3</v>
      </c>
      <c r="E38" s="68" t="s">
        <v>132</v>
      </c>
      <c r="F38" s="69">
        <v>35</v>
      </c>
      <c r="G38" s="66"/>
      <c r="H38" s="70"/>
      <c r="I38" s="71"/>
      <c r="J38" s="71"/>
      <c r="K38" s="35" t="s">
        <v>65</v>
      </c>
      <c r="L38" s="79">
        <v>38</v>
      </c>
      <c r="M38" s="79"/>
      <c r="N38" s="73"/>
      <c r="O38" s="81" t="s">
        <v>365</v>
      </c>
      <c r="P38" s="83">
        <v>45231.083877314813</v>
      </c>
      <c r="Q38" s="81" t="s">
        <v>387</v>
      </c>
      <c r="R38" s="81">
        <v>2</v>
      </c>
      <c r="S38" s="81">
        <v>0</v>
      </c>
      <c r="T38" s="81">
        <v>0</v>
      </c>
      <c r="U38" s="81">
        <v>0</v>
      </c>
      <c r="V38" s="81"/>
      <c r="W38" s="84" t="s">
        <v>476</v>
      </c>
      <c r="X38" s="86" t="str">
        <f>HYPERLINK("https://www.schooljobs.com/careers/bgsu/jobs/4264712/assistant-professor-school-of-media-and-communication?page=3&amp;pagetype=jobOpportunitiesJobs")</f>
        <v>https://www.schooljobs.com/careers/bgsu/jobs/4264712/assistant-professor-school-of-media-and-communication?page=3&amp;pagetype=jobOpportunitiesJobs</v>
      </c>
      <c r="Y38" s="81" t="s">
        <v>499</v>
      </c>
      <c r="Z38" s="81" t="s">
        <v>529</v>
      </c>
      <c r="AA38" s="81"/>
      <c r="AB38" s="81"/>
      <c r="AC38" s="84" t="s">
        <v>582</v>
      </c>
      <c r="AD38" s="81" t="s">
        <v>588</v>
      </c>
      <c r="AE38" s="86" t="str">
        <f>HYPERLINK("https://twitter.com/j_o_rawlins/status/1719534921486901428")</f>
        <v>https://twitter.com/j_o_rawlins/status/1719534921486901428</v>
      </c>
      <c r="AF38" s="83">
        <v>45231.083877314813</v>
      </c>
      <c r="AG38" s="89">
        <v>45231</v>
      </c>
      <c r="AH38" s="84" t="s">
        <v>606</v>
      </c>
      <c r="AI38" s="81" t="b">
        <v>0</v>
      </c>
      <c r="AJ38" s="81"/>
      <c r="AK38" s="81"/>
      <c r="AL38" s="81"/>
      <c r="AM38" s="81"/>
      <c r="AN38" s="81"/>
      <c r="AO38" s="81"/>
      <c r="AP38" s="81"/>
      <c r="AQ38" s="81"/>
      <c r="AR38" s="81"/>
      <c r="AS38" s="81"/>
      <c r="AT38" s="81"/>
      <c r="AU38" s="81"/>
      <c r="AV38" s="86" t="str">
        <f>HYPERLINK("https://pbs.twimg.com/profile_images/1380239699550298115/81rHaRRe_normal.jpg")</f>
        <v>https://pbs.twimg.com/profile_images/1380239699550298115/81rHaRRe_normal.jpg</v>
      </c>
      <c r="AW38" s="84" t="s">
        <v>760</v>
      </c>
      <c r="AX38" s="84" t="s">
        <v>760</v>
      </c>
      <c r="AY38" s="81"/>
      <c r="AZ38" s="84" t="s">
        <v>879</v>
      </c>
      <c r="BA38" s="84" t="s">
        <v>879</v>
      </c>
      <c r="BB38" s="84" t="s">
        <v>766</v>
      </c>
      <c r="BC38" s="84" t="s">
        <v>766</v>
      </c>
      <c r="BD38" s="81">
        <v>445932915</v>
      </c>
      <c r="BE38" s="81"/>
      <c r="BF38" s="81"/>
      <c r="BG38" s="81"/>
      <c r="BH38" s="81"/>
      <c r="BI38" s="81"/>
      <c r="BJ38">
        <v>1</v>
      </c>
      <c r="BK38" s="80" t="str">
        <f>REPLACE(INDEX(GroupVertices[Group], MATCH("~"&amp;Edges[[#This Row],[Vertex 1]],GroupVertices[Vertex],0)),1,1,"")</f>
        <v>2</v>
      </c>
      <c r="BL38" s="80" t="str">
        <f>REPLACE(INDEX(GroupVertices[Group], MATCH("~"&amp;Edges[[#This Row],[Vertex 2]],GroupVertices[Vertex],0)),1,1,"")</f>
        <v>2</v>
      </c>
      <c r="BM38" s="49"/>
      <c r="BN38" s="50"/>
      <c r="BO38" s="49"/>
      <c r="BP38" s="50"/>
      <c r="BQ38" s="49"/>
      <c r="BR38" s="50"/>
      <c r="BS38" s="49"/>
      <c r="BT38" s="50"/>
      <c r="BU38" s="49"/>
    </row>
    <row r="39" spans="1:73" x14ac:dyDescent="0.25">
      <c r="A39" s="65" t="s">
        <v>255</v>
      </c>
      <c r="B39" s="65" t="s">
        <v>268</v>
      </c>
      <c r="C39" s="66" t="s">
        <v>10073</v>
      </c>
      <c r="D39" s="67">
        <v>3</v>
      </c>
      <c r="E39" s="68" t="s">
        <v>132</v>
      </c>
      <c r="F39" s="69">
        <v>35</v>
      </c>
      <c r="G39" s="66"/>
      <c r="H39" s="70"/>
      <c r="I39" s="71"/>
      <c r="J39" s="71"/>
      <c r="K39" s="35" t="s">
        <v>65</v>
      </c>
      <c r="L39" s="79">
        <v>39</v>
      </c>
      <c r="M39" s="79"/>
      <c r="N39" s="73"/>
      <c r="O39" s="81" t="s">
        <v>366</v>
      </c>
      <c r="P39" s="83">
        <v>45233.074571759258</v>
      </c>
      <c r="Q39" s="81" t="s">
        <v>388</v>
      </c>
      <c r="R39" s="81">
        <v>2</v>
      </c>
      <c r="S39" s="81">
        <v>0</v>
      </c>
      <c r="T39" s="81">
        <v>0</v>
      </c>
      <c r="U39" s="81">
        <v>0</v>
      </c>
      <c r="V39" s="81"/>
      <c r="W39" s="84" t="s">
        <v>476</v>
      </c>
      <c r="X39" s="86" t="str">
        <f>HYPERLINK("https://employment.marquette.edu/postings/20457")</f>
        <v>https://employment.marquette.edu/postings/20457</v>
      </c>
      <c r="Y39" s="81" t="s">
        <v>500</v>
      </c>
      <c r="Z39" s="81" t="s">
        <v>530</v>
      </c>
      <c r="AA39" s="81"/>
      <c r="AB39" s="81"/>
      <c r="AC39" s="84" t="s">
        <v>582</v>
      </c>
      <c r="AD39" s="81" t="s">
        <v>588</v>
      </c>
      <c r="AE39" s="86" t="str">
        <f>HYPERLINK("https://twitter.com/workacademic/status/1720256325337440397")</f>
        <v>https://twitter.com/workacademic/status/1720256325337440397</v>
      </c>
      <c r="AF39" s="83">
        <v>45233.074571759258</v>
      </c>
      <c r="AG39" s="89">
        <v>45233</v>
      </c>
      <c r="AH39" s="84" t="s">
        <v>607</v>
      </c>
      <c r="AI39" s="81" t="b">
        <v>0</v>
      </c>
      <c r="AJ39" s="81"/>
      <c r="AK39" s="81"/>
      <c r="AL39" s="81"/>
      <c r="AM39" s="81"/>
      <c r="AN39" s="81"/>
      <c r="AO39" s="81"/>
      <c r="AP39" s="81"/>
      <c r="AQ39" s="81"/>
      <c r="AR39" s="81"/>
      <c r="AS39" s="81"/>
      <c r="AT39" s="81"/>
      <c r="AU39" s="81"/>
      <c r="AV39" s="86" t="str">
        <f>HYPERLINK("https://pbs.twimg.com/profile_images/1311339449926598657/wnL-4fEN_normal.jpg")</f>
        <v>https://pbs.twimg.com/profile_images/1311339449926598657/wnL-4fEN_normal.jpg</v>
      </c>
      <c r="AW39" s="84" t="s">
        <v>761</v>
      </c>
      <c r="AX39" s="84" t="s">
        <v>761</v>
      </c>
      <c r="AY39" s="81"/>
      <c r="AZ39" s="84" t="s">
        <v>879</v>
      </c>
      <c r="BA39" s="84" t="s">
        <v>879</v>
      </c>
      <c r="BB39" s="84" t="s">
        <v>855</v>
      </c>
      <c r="BC39" s="84" t="s">
        <v>855</v>
      </c>
      <c r="BD39" s="84" t="s">
        <v>884</v>
      </c>
      <c r="BE39" s="81"/>
      <c r="BF39" s="81"/>
      <c r="BG39" s="81"/>
      <c r="BH39" s="81"/>
      <c r="BI39" s="81"/>
      <c r="BJ39">
        <v>1</v>
      </c>
      <c r="BK39" s="80" t="str">
        <f>REPLACE(INDEX(GroupVertices[Group], MATCH("~"&amp;Edges[[#This Row],[Vertex 1]],GroupVertices[Vertex],0)),1,1,"")</f>
        <v>1</v>
      </c>
      <c r="BL39" s="80" t="str">
        <f>REPLACE(INDEX(GroupVertices[Group], MATCH("~"&amp;Edges[[#This Row],[Vertex 2]],GroupVertices[Vertex],0)),1,1,"")</f>
        <v>1</v>
      </c>
      <c r="BM39" s="49"/>
      <c r="BN39" s="50"/>
      <c r="BO39" s="49"/>
      <c r="BP39" s="50"/>
      <c r="BQ39" s="49"/>
      <c r="BR39" s="50"/>
      <c r="BS39" s="49"/>
      <c r="BT39" s="50"/>
      <c r="BU39" s="49"/>
    </row>
    <row r="40" spans="1:73" x14ac:dyDescent="0.25">
      <c r="A40" s="65" t="s">
        <v>255</v>
      </c>
      <c r="B40" s="65" t="s">
        <v>252</v>
      </c>
      <c r="C40" s="66" t="s">
        <v>10073</v>
      </c>
      <c r="D40" s="67">
        <v>3</v>
      </c>
      <c r="E40" s="68" t="s">
        <v>132</v>
      </c>
      <c r="F40" s="69">
        <v>35</v>
      </c>
      <c r="G40" s="66"/>
      <c r="H40" s="70"/>
      <c r="I40" s="71"/>
      <c r="J40" s="71"/>
      <c r="K40" s="35" t="s">
        <v>65</v>
      </c>
      <c r="L40" s="79">
        <v>40</v>
      </c>
      <c r="M40" s="79"/>
      <c r="N40" s="73"/>
      <c r="O40" s="81" t="s">
        <v>365</v>
      </c>
      <c r="P40" s="83">
        <v>45233.074571759258</v>
      </c>
      <c r="Q40" s="81" t="s">
        <v>388</v>
      </c>
      <c r="R40" s="81">
        <v>2</v>
      </c>
      <c r="S40" s="81">
        <v>0</v>
      </c>
      <c r="T40" s="81">
        <v>0</v>
      </c>
      <c r="U40" s="81">
        <v>0</v>
      </c>
      <c r="V40" s="81"/>
      <c r="W40" s="84" t="s">
        <v>476</v>
      </c>
      <c r="X40" s="86" t="str">
        <f>HYPERLINK("https://employment.marquette.edu/postings/20457")</f>
        <v>https://employment.marquette.edu/postings/20457</v>
      </c>
      <c r="Y40" s="81" t="s">
        <v>500</v>
      </c>
      <c r="Z40" s="81" t="s">
        <v>530</v>
      </c>
      <c r="AA40" s="81"/>
      <c r="AB40" s="81"/>
      <c r="AC40" s="84" t="s">
        <v>582</v>
      </c>
      <c r="AD40" s="81" t="s">
        <v>588</v>
      </c>
      <c r="AE40" s="86" t="str">
        <f>HYPERLINK("https://twitter.com/workacademic/status/1720256325337440397")</f>
        <v>https://twitter.com/workacademic/status/1720256325337440397</v>
      </c>
      <c r="AF40" s="83">
        <v>45233.074571759258</v>
      </c>
      <c r="AG40" s="89">
        <v>45233</v>
      </c>
      <c r="AH40" s="84" t="s">
        <v>607</v>
      </c>
      <c r="AI40" s="81" t="b">
        <v>0</v>
      </c>
      <c r="AJ40" s="81"/>
      <c r="AK40" s="81"/>
      <c r="AL40" s="81"/>
      <c r="AM40" s="81"/>
      <c r="AN40" s="81"/>
      <c r="AO40" s="81"/>
      <c r="AP40" s="81"/>
      <c r="AQ40" s="81"/>
      <c r="AR40" s="81"/>
      <c r="AS40" s="81"/>
      <c r="AT40" s="81"/>
      <c r="AU40" s="81"/>
      <c r="AV40" s="86" t="str">
        <f>HYPERLINK("https://pbs.twimg.com/profile_images/1311339449926598657/wnL-4fEN_normal.jpg")</f>
        <v>https://pbs.twimg.com/profile_images/1311339449926598657/wnL-4fEN_normal.jpg</v>
      </c>
      <c r="AW40" s="84" t="s">
        <v>761</v>
      </c>
      <c r="AX40" s="84" t="s">
        <v>761</v>
      </c>
      <c r="AY40" s="81"/>
      <c r="AZ40" s="84" t="s">
        <v>879</v>
      </c>
      <c r="BA40" s="84" t="s">
        <v>879</v>
      </c>
      <c r="BB40" s="84" t="s">
        <v>855</v>
      </c>
      <c r="BC40" s="84" t="s">
        <v>855</v>
      </c>
      <c r="BD40" s="84" t="s">
        <v>884</v>
      </c>
      <c r="BE40" s="81"/>
      <c r="BF40" s="81"/>
      <c r="BG40" s="81"/>
      <c r="BH40" s="81"/>
      <c r="BI40" s="81"/>
      <c r="BJ40">
        <v>1</v>
      </c>
      <c r="BK40" s="80" t="str">
        <f>REPLACE(INDEX(GroupVertices[Group], MATCH("~"&amp;Edges[[#This Row],[Vertex 1]],GroupVertices[Vertex],0)),1,1,"")</f>
        <v>1</v>
      </c>
      <c r="BL40" s="80" t="str">
        <f>REPLACE(INDEX(GroupVertices[Group], MATCH("~"&amp;Edges[[#This Row],[Vertex 2]],GroupVertices[Vertex],0)),1,1,"")</f>
        <v>2</v>
      </c>
      <c r="BM40" s="49">
        <v>0</v>
      </c>
      <c r="BN40" s="50">
        <v>0</v>
      </c>
      <c r="BO40" s="49">
        <v>0</v>
      </c>
      <c r="BP40" s="50">
        <v>0</v>
      </c>
      <c r="BQ40" s="49">
        <v>0</v>
      </c>
      <c r="BR40" s="50">
        <v>0</v>
      </c>
      <c r="BS40" s="49">
        <v>10</v>
      </c>
      <c r="BT40" s="50">
        <v>83.333333333333329</v>
      </c>
      <c r="BU40" s="49">
        <v>12</v>
      </c>
    </row>
    <row r="41" spans="1:73" x14ac:dyDescent="0.25">
      <c r="A41" s="65" t="s">
        <v>256</v>
      </c>
      <c r="B41" s="65" t="s">
        <v>312</v>
      </c>
      <c r="C41" s="66" t="s">
        <v>10073</v>
      </c>
      <c r="D41" s="67">
        <v>3</v>
      </c>
      <c r="E41" s="68" t="s">
        <v>132</v>
      </c>
      <c r="F41" s="69">
        <v>35</v>
      </c>
      <c r="G41" s="66"/>
      <c r="H41" s="70"/>
      <c r="I41" s="71"/>
      <c r="J41" s="71"/>
      <c r="K41" s="35" t="s">
        <v>65</v>
      </c>
      <c r="L41" s="79">
        <v>41</v>
      </c>
      <c r="M41" s="79"/>
      <c r="N41" s="73"/>
      <c r="O41" s="81" t="s">
        <v>366</v>
      </c>
      <c r="P41" s="83">
        <v>45231.994120370371</v>
      </c>
      <c r="Q41" s="81" t="s">
        <v>379</v>
      </c>
      <c r="R41" s="81">
        <v>5</v>
      </c>
      <c r="S41" s="81">
        <v>0</v>
      </c>
      <c r="T41" s="81">
        <v>0</v>
      </c>
      <c r="U41" s="81">
        <v>0</v>
      </c>
      <c r="V41" s="81"/>
      <c r="W41" s="81"/>
      <c r="X41" s="81"/>
      <c r="Y41" s="81"/>
      <c r="Z41" s="81" t="s">
        <v>523</v>
      </c>
      <c r="AA41" s="81"/>
      <c r="AB41" s="81"/>
      <c r="AC41" s="84" t="s">
        <v>580</v>
      </c>
      <c r="AD41" s="81" t="s">
        <v>588</v>
      </c>
      <c r="AE41" s="86" t="str">
        <f>HYPERLINK("https://twitter.com/princeadugyamf6/status/1719864784147878315")</f>
        <v>https://twitter.com/princeadugyamf6/status/1719864784147878315</v>
      </c>
      <c r="AF41" s="83">
        <v>45231.994120370371</v>
      </c>
      <c r="AG41" s="89">
        <v>45231</v>
      </c>
      <c r="AH41" s="84" t="s">
        <v>608</v>
      </c>
      <c r="AI41" s="81"/>
      <c r="AJ41" s="81"/>
      <c r="AK41" s="81"/>
      <c r="AL41" s="81"/>
      <c r="AM41" s="81"/>
      <c r="AN41" s="81"/>
      <c r="AO41" s="81"/>
      <c r="AP41" s="81"/>
      <c r="AQ41" s="81"/>
      <c r="AR41" s="81"/>
      <c r="AS41" s="81"/>
      <c r="AT41" s="81"/>
      <c r="AU41" s="81"/>
      <c r="AV41" s="86" t="str">
        <f>HYPERLINK("https://pbs.twimg.com/profile_images/1702778522324946944/SRV3oyhE_normal.jpg")</f>
        <v>https://pbs.twimg.com/profile_images/1702778522324946944/SRV3oyhE_normal.jpg</v>
      </c>
      <c r="AW41" s="84" t="s">
        <v>762</v>
      </c>
      <c r="AX41" s="84" t="s">
        <v>762</v>
      </c>
      <c r="AY41" s="81"/>
      <c r="AZ41" s="84" t="s">
        <v>879</v>
      </c>
      <c r="BA41" s="84" t="s">
        <v>879</v>
      </c>
      <c r="BB41" s="84" t="s">
        <v>757</v>
      </c>
      <c r="BC41" s="84" t="s">
        <v>757</v>
      </c>
      <c r="BD41" s="81">
        <v>890840216</v>
      </c>
      <c r="BE41" s="81"/>
      <c r="BF41" s="81"/>
      <c r="BG41" s="81"/>
      <c r="BH41" s="81"/>
      <c r="BI41" s="81"/>
      <c r="BJ41">
        <v>1</v>
      </c>
      <c r="BK41" s="80" t="str">
        <f>REPLACE(INDEX(GroupVertices[Group], MATCH("~"&amp;Edges[[#This Row],[Vertex 1]],GroupVertices[Vertex],0)),1,1,"")</f>
        <v>2</v>
      </c>
      <c r="BL41" s="80" t="str">
        <f>REPLACE(INDEX(GroupVertices[Group], MATCH("~"&amp;Edges[[#This Row],[Vertex 2]],GroupVertices[Vertex],0)),1,1,"")</f>
        <v>2</v>
      </c>
      <c r="BM41" s="49"/>
      <c r="BN41" s="50"/>
      <c r="BO41" s="49"/>
      <c r="BP41" s="50"/>
      <c r="BQ41" s="49"/>
      <c r="BR41" s="50"/>
      <c r="BS41" s="49"/>
      <c r="BT41" s="50"/>
      <c r="BU41" s="49"/>
    </row>
    <row r="42" spans="1:73" x14ac:dyDescent="0.25">
      <c r="A42" s="65" t="s">
        <v>256</v>
      </c>
      <c r="B42" s="65" t="s">
        <v>252</v>
      </c>
      <c r="C42" s="66" t="s">
        <v>10073</v>
      </c>
      <c r="D42" s="67">
        <v>3</v>
      </c>
      <c r="E42" s="68" t="s">
        <v>132</v>
      </c>
      <c r="F42" s="69">
        <v>35</v>
      </c>
      <c r="G42" s="66"/>
      <c r="H42" s="70"/>
      <c r="I42" s="71"/>
      <c r="J42" s="71"/>
      <c r="K42" s="35" t="s">
        <v>65</v>
      </c>
      <c r="L42" s="79">
        <v>42</v>
      </c>
      <c r="M42" s="79"/>
      <c r="N42" s="73"/>
      <c r="O42" s="81" t="s">
        <v>365</v>
      </c>
      <c r="P42" s="83">
        <v>45231.994120370371</v>
      </c>
      <c r="Q42" s="81" t="s">
        <v>379</v>
      </c>
      <c r="R42" s="81">
        <v>5</v>
      </c>
      <c r="S42" s="81">
        <v>0</v>
      </c>
      <c r="T42" s="81">
        <v>0</v>
      </c>
      <c r="U42" s="81">
        <v>0</v>
      </c>
      <c r="V42" s="81"/>
      <c r="W42" s="81"/>
      <c r="X42" s="81"/>
      <c r="Y42" s="81"/>
      <c r="Z42" s="81" t="s">
        <v>523</v>
      </c>
      <c r="AA42" s="81"/>
      <c r="AB42" s="81"/>
      <c r="AC42" s="84" t="s">
        <v>580</v>
      </c>
      <c r="AD42" s="81" t="s">
        <v>588</v>
      </c>
      <c r="AE42" s="86" t="str">
        <f>HYPERLINK("https://twitter.com/princeadugyamf6/status/1719864784147878315")</f>
        <v>https://twitter.com/princeadugyamf6/status/1719864784147878315</v>
      </c>
      <c r="AF42" s="83">
        <v>45231.994120370371</v>
      </c>
      <c r="AG42" s="89">
        <v>45231</v>
      </c>
      <c r="AH42" s="84" t="s">
        <v>608</v>
      </c>
      <c r="AI42" s="81"/>
      <c r="AJ42" s="81"/>
      <c r="AK42" s="81"/>
      <c r="AL42" s="81"/>
      <c r="AM42" s="81"/>
      <c r="AN42" s="81"/>
      <c r="AO42" s="81"/>
      <c r="AP42" s="81"/>
      <c r="AQ42" s="81"/>
      <c r="AR42" s="81"/>
      <c r="AS42" s="81"/>
      <c r="AT42" s="81"/>
      <c r="AU42" s="81"/>
      <c r="AV42" s="86" t="str">
        <f>HYPERLINK("https://pbs.twimg.com/profile_images/1702778522324946944/SRV3oyhE_normal.jpg")</f>
        <v>https://pbs.twimg.com/profile_images/1702778522324946944/SRV3oyhE_normal.jpg</v>
      </c>
      <c r="AW42" s="84" t="s">
        <v>762</v>
      </c>
      <c r="AX42" s="84" t="s">
        <v>762</v>
      </c>
      <c r="AY42" s="81"/>
      <c r="AZ42" s="84" t="s">
        <v>879</v>
      </c>
      <c r="BA42" s="84" t="s">
        <v>879</v>
      </c>
      <c r="BB42" s="84" t="s">
        <v>757</v>
      </c>
      <c r="BC42" s="84" t="s">
        <v>757</v>
      </c>
      <c r="BD42" s="81">
        <v>890840216</v>
      </c>
      <c r="BE42" s="81"/>
      <c r="BF42" s="81"/>
      <c r="BG42" s="81"/>
      <c r="BH42" s="81"/>
      <c r="BI42" s="81"/>
      <c r="BJ42">
        <v>1</v>
      </c>
      <c r="BK42" s="80" t="str">
        <f>REPLACE(INDEX(GroupVertices[Group], MATCH("~"&amp;Edges[[#This Row],[Vertex 1]],GroupVertices[Vertex],0)),1,1,"")</f>
        <v>2</v>
      </c>
      <c r="BL42" s="80" t="str">
        <f>REPLACE(INDEX(GroupVertices[Group], MATCH("~"&amp;Edges[[#This Row],[Vertex 2]],GroupVertices[Vertex],0)),1,1,"")</f>
        <v>2</v>
      </c>
      <c r="BM42" s="49">
        <v>0</v>
      </c>
      <c r="BN42" s="50">
        <v>0</v>
      </c>
      <c r="BO42" s="49">
        <v>0</v>
      </c>
      <c r="BP42" s="50">
        <v>0</v>
      </c>
      <c r="BQ42" s="49">
        <v>0</v>
      </c>
      <c r="BR42" s="50">
        <v>0</v>
      </c>
      <c r="BS42" s="49">
        <v>10</v>
      </c>
      <c r="BT42" s="50">
        <v>58.823529411764703</v>
      </c>
      <c r="BU42" s="49">
        <v>17</v>
      </c>
    </row>
    <row r="43" spans="1:73" x14ac:dyDescent="0.25">
      <c r="A43" s="65" t="s">
        <v>257</v>
      </c>
      <c r="B43" s="65" t="s">
        <v>258</v>
      </c>
      <c r="C43" s="66" t="s">
        <v>10073</v>
      </c>
      <c r="D43" s="67">
        <v>3</v>
      </c>
      <c r="E43" s="68" t="s">
        <v>132</v>
      </c>
      <c r="F43" s="69">
        <v>35</v>
      </c>
      <c r="G43" s="66"/>
      <c r="H43" s="70"/>
      <c r="I43" s="71"/>
      <c r="J43" s="71"/>
      <c r="K43" s="35" t="s">
        <v>66</v>
      </c>
      <c r="L43" s="79">
        <v>43</v>
      </c>
      <c r="M43" s="79"/>
      <c r="N43" s="73"/>
      <c r="O43" s="81" t="s">
        <v>367</v>
      </c>
      <c r="P43" s="83">
        <v>45228.975543981483</v>
      </c>
      <c r="Q43" s="81" t="s">
        <v>389</v>
      </c>
      <c r="R43" s="81">
        <v>2</v>
      </c>
      <c r="S43" s="81">
        <v>7</v>
      </c>
      <c r="T43" s="81">
        <v>0</v>
      </c>
      <c r="U43" s="81">
        <v>0</v>
      </c>
      <c r="V43" s="81">
        <v>901</v>
      </c>
      <c r="W43" s="81"/>
      <c r="X43" s="86" t="str">
        <f>HYPERLINK("https://isu.wd1.myworkdayjobs.com/en-US/IowaStateJobs/job/Assistant-Professor-of-Practice-or-Assistant-Teaching-Professor-in-Broadcast-Media-and-Video-Production_R13235")</f>
        <v>https://isu.wd1.myworkdayjobs.com/en-US/IowaStateJobs/job/Assistant-Professor-of-Practice-or-Assistant-Teaching-Professor-in-Broadcast-Media-and-Video-Production_R13235</v>
      </c>
      <c r="Y43" s="81" t="s">
        <v>501</v>
      </c>
      <c r="Z43" s="81" t="s">
        <v>531</v>
      </c>
      <c r="AA43" s="81"/>
      <c r="AB43" s="81"/>
      <c r="AC43" s="84" t="s">
        <v>582</v>
      </c>
      <c r="AD43" s="81" t="s">
        <v>588</v>
      </c>
      <c r="AE43" s="86" t="str">
        <f>HYPERLINK("https://twitter.com/janlaurenb/status/1718770888999411881")</f>
        <v>https://twitter.com/janlaurenb/status/1718770888999411881</v>
      </c>
      <c r="AF43" s="83">
        <v>45228.975543981483</v>
      </c>
      <c r="AG43" s="89">
        <v>45228</v>
      </c>
      <c r="AH43" s="84" t="s">
        <v>609</v>
      </c>
      <c r="AI43" s="81" t="b">
        <v>0</v>
      </c>
      <c r="AJ43" s="81"/>
      <c r="AK43" s="81"/>
      <c r="AL43" s="81"/>
      <c r="AM43" s="81"/>
      <c r="AN43" s="81"/>
      <c r="AO43" s="81"/>
      <c r="AP43" s="81"/>
      <c r="AQ43" s="81"/>
      <c r="AR43" s="81"/>
      <c r="AS43" s="81"/>
      <c r="AT43" s="81"/>
      <c r="AU43" s="81"/>
      <c r="AV43" s="86" t="str">
        <f>HYPERLINK("https://pbs.twimg.com/profile_images/1662608670343962627/AZ_wcehv_normal.jpg")</f>
        <v>https://pbs.twimg.com/profile_images/1662608670343962627/AZ_wcehv_normal.jpg</v>
      </c>
      <c r="AW43" s="84" t="s">
        <v>763</v>
      </c>
      <c r="AX43" s="84" t="s">
        <v>763</v>
      </c>
      <c r="AY43" s="81"/>
      <c r="AZ43" s="84" t="s">
        <v>879</v>
      </c>
      <c r="BA43" s="84" t="s">
        <v>879</v>
      </c>
      <c r="BB43" s="84" t="s">
        <v>879</v>
      </c>
      <c r="BC43" s="84" t="s">
        <v>763</v>
      </c>
      <c r="BD43" s="81">
        <v>27266818</v>
      </c>
      <c r="BE43" s="81"/>
      <c r="BF43" s="81"/>
      <c r="BG43" s="81"/>
      <c r="BH43" s="81"/>
      <c r="BI43" s="81"/>
      <c r="BJ43">
        <v>1</v>
      </c>
      <c r="BK43" s="80" t="str">
        <f>REPLACE(INDEX(GroupVertices[Group], MATCH("~"&amp;Edges[[#This Row],[Vertex 1]],GroupVertices[Vertex],0)),1,1,"")</f>
        <v>2</v>
      </c>
      <c r="BL43" s="80" t="str">
        <f>REPLACE(INDEX(GroupVertices[Group], MATCH("~"&amp;Edges[[#This Row],[Vertex 2]],GroupVertices[Vertex],0)),1,1,"")</f>
        <v>2</v>
      </c>
      <c r="BM43" s="49">
        <v>0</v>
      </c>
      <c r="BN43" s="50">
        <v>0</v>
      </c>
      <c r="BO43" s="49">
        <v>0</v>
      </c>
      <c r="BP43" s="50">
        <v>0</v>
      </c>
      <c r="BQ43" s="49">
        <v>0</v>
      </c>
      <c r="BR43" s="50">
        <v>0</v>
      </c>
      <c r="BS43" s="49">
        <v>26</v>
      </c>
      <c r="BT43" s="50">
        <v>60.465116279069768</v>
      </c>
      <c r="BU43" s="49">
        <v>43</v>
      </c>
    </row>
    <row r="44" spans="1:73" x14ac:dyDescent="0.25">
      <c r="A44" s="65" t="s">
        <v>257</v>
      </c>
      <c r="B44" s="65" t="s">
        <v>268</v>
      </c>
      <c r="C44" s="66" t="s">
        <v>10073</v>
      </c>
      <c r="D44" s="67">
        <v>3</v>
      </c>
      <c r="E44" s="68" t="s">
        <v>132</v>
      </c>
      <c r="F44" s="69">
        <v>35</v>
      </c>
      <c r="G44" s="66"/>
      <c r="H44" s="70"/>
      <c r="I44" s="71"/>
      <c r="J44" s="71"/>
      <c r="K44" s="35" t="s">
        <v>65</v>
      </c>
      <c r="L44" s="79">
        <v>44</v>
      </c>
      <c r="M44" s="79"/>
      <c r="N44" s="73"/>
      <c r="O44" s="81" t="s">
        <v>367</v>
      </c>
      <c r="P44" s="83">
        <v>45228.975543981483</v>
      </c>
      <c r="Q44" s="81" t="s">
        <v>389</v>
      </c>
      <c r="R44" s="81">
        <v>2</v>
      </c>
      <c r="S44" s="81">
        <v>7</v>
      </c>
      <c r="T44" s="81">
        <v>0</v>
      </c>
      <c r="U44" s="81">
        <v>0</v>
      </c>
      <c r="V44" s="81">
        <v>901</v>
      </c>
      <c r="W44" s="81"/>
      <c r="X44" s="86" t="str">
        <f>HYPERLINK("https://isu.wd1.myworkdayjobs.com/en-US/IowaStateJobs/job/Assistant-Professor-of-Practice-or-Assistant-Teaching-Professor-in-Broadcast-Media-and-Video-Production_R13235")</f>
        <v>https://isu.wd1.myworkdayjobs.com/en-US/IowaStateJobs/job/Assistant-Professor-of-Practice-or-Assistant-Teaching-Professor-in-Broadcast-Media-and-Video-Production_R13235</v>
      </c>
      <c r="Y44" s="81" t="s">
        <v>501</v>
      </c>
      <c r="Z44" s="81" t="s">
        <v>531</v>
      </c>
      <c r="AA44" s="81"/>
      <c r="AB44" s="81"/>
      <c r="AC44" s="84" t="s">
        <v>582</v>
      </c>
      <c r="AD44" s="81" t="s">
        <v>588</v>
      </c>
      <c r="AE44" s="86" t="str">
        <f>HYPERLINK("https://twitter.com/janlaurenb/status/1718770888999411881")</f>
        <v>https://twitter.com/janlaurenb/status/1718770888999411881</v>
      </c>
      <c r="AF44" s="83">
        <v>45228.975543981483</v>
      </c>
      <c r="AG44" s="89">
        <v>45228</v>
      </c>
      <c r="AH44" s="84" t="s">
        <v>609</v>
      </c>
      <c r="AI44" s="81" t="b">
        <v>0</v>
      </c>
      <c r="AJ44" s="81"/>
      <c r="AK44" s="81"/>
      <c r="AL44" s="81"/>
      <c r="AM44" s="81"/>
      <c r="AN44" s="81"/>
      <c r="AO44" s="81"/>
      <c r="AP44" s="81"/>
      <c r="AQ44" s="81"/>
      <c r="AR44" s="81"/>
      <c r="AS44" s="81"/>
      <c r="AT44" s="81"/>
      <c r="AU44" s="81"/>
      <c r="AV44" s="86" t="str">
        <f>HYPERLINK("https://pbs.twimg.com/profile_images/1662608670343962627/AZ_wcehv_normal.jpg")</f>
        <v>https://pbs.twimg.com/profile_images/1662608670343962627/AZ_wcehv_normal.jpg</v>
      </c>
      <c r="AW44" s="84" t="s">
        <v>763</v>
      </c>
      <c r="AX44" s="84" t="s">
        <v>763</v>
      </c>
      <c r="AY44" s="81"/>
      <c r="AZ44" s="84" t="s">
        <v>879</v>
      </c>
      <c r="BA44" s="84" t="s">
        <v>879</v>
      </c>
      <c r="BB44" s="84" t="s">
        <v>879</v>
      </c>
      <c r="BC44" s="84" t="s">
        <v>763</v>
      </c>
      <c r="BD44" s="81">
        <v>27266818</v>
      </c>
      <c r="BE44" s="81"/>
      <c r="BF44" s="81"/>
      <c r="BG44" s="81"/>
      <c r="BH44" s="81"/>
      <c r="BI44" s="81"/>
      <c r="BJ44">
        <v>1</v>
      </c>
      <c r="BK44" s="80" t="str">
        <f>REPLACE(INDEX(GroupVertices[Group], MATCH("~"&amp;Edges[[#This Row],[Vertex 1]],GroupVertices[Vertex],0)),1,1,"")</f>
        <v>2</v>
      </c>
      <c r="BL44" s="80" t="str">
        <f>REPLACE(INDEX(GroupVertices[Group], MATCH("~"&amp;Edges[[#This Row],[Vertex 2]],GroupVertices[Vertex],0)),1,1,"")</f>
        <v>1</v>
      </c>
      <c r="BM44" s="49"/>
      <c r="BN44" s="50"/>
      <c r="BO44" s="49"/>
      <c r="BP44" s="50"/>
      <c r="BQ44" s="49"/>
      <c r="BR44" s="50"/>
      <c r="BS44" s="49"/>
      <c r="BT44" s="50"/>
      <c r="BU44" s="49"/>
    </row>
    <row r="45" spans="1:73" x14ac:dyDescent="0.25">
      <c r="A45" s="65" t="s">
        <v>258</v>
      </c>
      <c r="B45" s="65" t="s">
        <v>257</v>
      </c>
      <c r="C45" s="66" t="s">
        <v>10073</v>
      </c>
      <c r="D45" s="67">
        <v>3</v>
      </c>
      <c r="E45" s="68" t="s">
        <v>132</v>
      </c>
      <c r="F45" s="69">
        <v>35</v>
      </c>
      <c r="G45" s="66"/>
      <c r="H45" s="70"/>
      <c r="I45" s="71"/>
      <c r="J45" s="71"/>
      <c r="K45" s="35" t="s">
        <v>66</v>
      </c>
      <c r="L45" s="79">
        <v>45</v>
      </c>
      <c r="M45" s="79"/>
      <c r="N45" s="73"/>
      <c r="O45" s="81" t="s">
        <v>365</v>
      </c>
      <c r="P45" s="83">
        <v>45229.559571759259</v>
      </c>
      <c r="Q45" s="81" t="s">
        <v>390</v>
      </c>
      <c r="R45" s="81">
        <v>2</v>
      </c>
      <c r="S45" s="81">
        <v>0</v>
      </c>
      <c r="T45" s="81">
        <v>0</v>
      </c>
      <c r="U45" s="81">
        <v>0</v>
      </c>
      <c r="V45" s="81"/>
      <c r="W45" s="81"/>
      <c r="X45" s="81"/>
      <c r="Y45" s="81"/>
      <c r="Z45" s="81" t="s">
        <v>532</v>
      </c>
      <c r="AA45" s="81"/>
      <c r="AB45" s="81"/>
      <c r="AC45" s="84" t="s">
        <v>582</v>
      </c>
      <c r="AD45" s="81" t="s">
        <v>588</v>
      </c>
      <c r="AE45" s="86" t="str">
        <f>HYPERLINK("https://twitter.com/isu_gsjc/status/1718982530567913695")</f>
        <v>https://twitter.com/isu_gsjc/status/1718982530567913695</v>
      </c>
      <c r="AF45" s="83">
        <v>45229.559571759259</v>
      </c>
      <c r="AG45" s="89">
        <v>45229</v>
      </c>
      <c r="AH45" s="84" t="s">
        <v>610</v>
      </c>
      <c r="AI45" s="81"/>
      <c r="AJ45" s="81"/>
      <c r="AK45" s="81"/>
      <c r="AL45" s="81"/>
      <c r="AM45" s="81"/>
      <c r="AN45" s="81"/>
      <c r="AO45" s="81"/>
      <c r="AP45" s="81"/>
      <c r="AQ45" s="81"/>
      <c r="AR45" s="81"/>
      <c r="AS45" s="81"/>
      <c r="AT45" s="81"/>
      <c r="AU45" s="81"/>
      <c r="AV45" s="86" t="str">
        <f>HYPERLINK("https://pbs.twimg.com/profile_images/1222976911833321472/d_rRF3Kl_normal.jpg")</f>
        <v>https://pbs.twimg.com/profile_images/1222976911833321472/d_rRF3Kl_normal.jpg</v>
      </c>
      <c r="AW45" s="84" t="s">
        <v>764</v>
      </c>
      <c r="AX45" s="84" t="s">
        <v>764</v>
      </c>
      <c r="AY45" s="81"/>
      <c r="AZ45" s="84" t="s">
        <v>879</v>
      </c>
      <c r="BA45" s="84" t="s">
        <v>879</v>
      </c>
      <c r="BB45" s="84" t="s">
        <v>763</v>
      </c>
      <c r="BC45" s="84" t="s">
        <v>763</v>
      </c>
      <c r="BD45" s="81">
        <v>2542104865</v>
      </c>
      <c r="BE45" s="81"/>
      <c r="BF45" s="81"/>
      <c r="BG45" s="81"/>
      <c r="BH45" s="81"/>
      <c r="BI45" s="81"/>
      <c r="BJ45">
        <v>1</v>
      </c>
      <c r="BK45" s="80" t="str">
        <f>REPLACE(INDEX(GroupVertices[Group], MATCH("~"&amp;Edges[[#This Row],[Vertex 1]],GroupVertices[Vertex],0)),1,1,"")</f>
        <v>2</v>
      </c>
      <c r="BL45" s="80" t="str">
        <f>REPLACE(INDEX(GroupVertices[Group], MATCH("~"&amp;Edges[[#This Row],[Vertex 2]],GroupVertices[Vertex],0)),1,1,"")</f>
        <v>2</v>
      </c>
      <c r="BM45" s="49"/>
      <c r="BN45" s="50"/>
      <c r="BO45" s="49"/>
      <c r="BP45" s="50"/>
      <c r="BQ45" s="49"/>
      <c r="BR45" s="50"/>
      <c r="BS45" s="49"/>
      <c r="BT45" s="50"/>
      <c r="BU45" s="49"/>
    </row>
    <row r="46" spans="1:73" x14ac:dyDescent="0.25">
      <c r="A46" s="65" t="s">
        <v>259</v>
      </c>
      <c r="B46" s="65" t="s">
        <v>257</v>
      </c>
      <c r="C46" s="66" t="s">
        <v>10073</v>
      </c>
      <c r="D46" s="67">
        <v>3</v>
      </c>
      <c r="E46" s="68" t="s">
        <v>132</v>
      </c>
      <c r="F46" s="69">
        <v>35</v>
      </c>
      <c r="G46" s="66"/>
      <c r="H46" s="70"/>
      <c r="I46" s="71"/>
      <c r="J46" s="71"/>
      <c r="K46" s="35" t="s">
        <v>65</v>
      </c>
      <c r="L46" s="79">
        <v>46</v>
      </c>
      <c r="M46" s="79"/>
      <c r="N46" s="73"/>
      <c r="O46" s="81" t="s">
        <v>365</v>
      </c>
      <c r="P46" s="83">
        <v>45229.129756944443</v>
      </c>
      <c r="Q46" s="81" t="s">
        <v>390</v>
      </c>
      <c r="R46" s="81">
        <v>2</v>
      </c>
      <c r="S46" s="81">
        <v>0</v>
      </c>
      <c r="T46" s="81">
        <v>0</v>
      </c>
      <c r="U46" s="81">
        <v>0</v>
      </c>
      <c r="V46" s="81"/>
      <c r="W46" s="81"/>
      <c r="X46" s="81"/>
      <c r="Y46" s="81"/>
      <c r="Z46" s="81" t="s">
        <v>532</v>
      </c>
      <c r="AA46" s="81"/>
      <c r="AB46" s="81"/>
      <c r="AC46" s="84" t="s">
        <v>582</v>
      </c>
      <c r="AD46" s="81" t="s">
        <v>588</v>
      </c>
      <c r="AE46" s="86" t="str">
        <f>HYPERLINK("https://twitter.com/annefmaclennan/status/1718826772110676208")</f>
        <v>https://twitter.com/annefmaclennan/status/1718826772110676208</v>
      </c>
      <c r="AF46" s="83">
        <v>45229.129756944443</v>
      </c>
      <c r="AG46" s="89">
        <v>45229</v>
      </c>
      <c r="AH46" s="84" t="s">
        <v>611</v>
      </c>
      <c r="AI46" s="81"/>
      <c r="AJ46" s="81"/>
      <c r="AK46" s="81"/>
      <c r="AL46" s="81"/>
      <c r="AM46" s="81"/>
      <c r="AN46" s="81"/>
      <c r="AO46" s="81"/>
      <c r="AP46" s="81"/>
      <c r="AQ46" s="81"/>
      <c r="AR46" s="81"/>
      <c r="AS46" s="81"/>
      <c r="AT46" s="81"/>
      <c r="AU46" s="81"/>
      <c r="AV46" s="86" t="str">
        <f>HYPERLINK("https://pbs.twimg.com/profile_images/605544839652843521/bJuIHXNl_normal.jpg")</f>
        <v>https://pbs.twimg.com/profile_images/605544839652843521/bJuIHXNl_normal.jpg</v>
      </c>
      <c r="AW46" s="84" t="s">
        <v>765</v>
      </c>
      <c r="AX46" s="84" t="s">
        <v>765</v>
      </c>
      <c r="AY46" s="81"/>
      <c r="AZ46" s="84" t="s">
        <v>879</v>
      </c>
      <c r="BA46" s="84" t="s">
        <v>879</v>
      </c>
      <c r="BB46" s="84" t="s">
        <v>763</v>
      </c>
      <c r="BC46" s="84" t="s">
        <v>763</v>
      </c>
      <c r="BD46" s="81">
        <v>3306005770</v>
      </c>
      <c r="BE46" s="81"/>
      <c r="BF46" s="81"/>
      <c r="BG46" s="81"/>
      <c r="BH46" s="81"/>
      <c r="BI46" s="81"/>
      <c r="BJ46">
        <v>1</v>
      </c>
      <c r="BK46" s="80" t="str">
        <f>REPLACE(INDEX(GroupVertices[Group], MATCH("~"&amp;Edges[[#This Row],[Vertex 1]],GroupVertices[Vertex],0)),1,1,"")</f>
        <v>2</v>
      </c>
      <c r="BL46" s="80" t="str">
        <f>REPLACE(INDEX(GroupVertices[Group], MATCH("~"&amp;Edges[[#This Row],[Vertex 2]],GroupVertices[Vertex],0)),1,1,"")</f>
        <v>2</v>
      </c>
      <c r="BM46" s="49"/>
      <c r="BN46" s="50"/>
      <c r="BO46" s="49"/>
      <c r="BP46" s="50"/>
      <c r="BQ46" s="49"/>
      <c r="BR46" s="50"/>
      <c r="BS46" s="49"/>
      <c r="BT46" s="50"/>
      <c r="BU46" s="49"/>
    </row>
    <row r="47" spans="1:73" x14ac:dyDescent="0.25">
      <c r="A47" s="65" t="s">
        <v>252</v>
      </c>
      <c r="B47" s="65" t="s">
        <v>320</v>
      </c>
      <c r="C47" s="66" t="s">
        <v>10073</v>
      </c>
      <c r="D47" s="67">
        <v>3</v>
      </c>
      <c r="E47" s="68" t="s">
        <v>132</v>
      </c>
      <c r="F47" s="69">
        <v>35</v>
      </c>
      <c r="G47" s="66"/>
      <c r="H47" s="70"/>
      <c r="I47" s="71"/>
      <c r="J47" s="71"/>
      <c r="K47" s="35" t="s">
        <v>65</v>
      </c>
      <c r="L47" s="79">
        <v>47</v>
      </c>
      <c r="M47" s="79"/>
      <c r="N47" s="73"/>
      <c r="O47" s="81" t="s">
        <v>367</v>
      </c>
      <c r="P47" s="83">
        <v>45231.048402777778</v>
      </c>
      <c r="Q47" s="81" t="s">
        <v>391</v>
      </c>
      <c r="R47" s="81">
        <v>2</v>
      </c>
      <c r="S47" s="81">
        <v>2</v>
      </c>
      <c r="T47" s="81">
        <v>0</v>
      </c>
      <c r="U47" s="81">
        <v>0</v>
      </c>
      <c r="V47" s="81">
        <v>396</v>
      </c>
      <c r="W47" s="84" t="s">
        <v>476</v>
      </c>
      <c r="X47" s="86" t="str">
        <f>HYPERLINK("https://www.schooljobs.com/careers/bgsu/jobs/4264712/assistant-professor-school-of-media-and-communication?page=3&amp;pagetype=jobOpportunitiesJobs")</f>
        <v>https://www.schooljobs.com/careers/bgsu/jobs/4264712/assistant-professor-school-of-media-and-communication?page=3&amp;pagetype=jobOpportunitiesJobs</v>
      </c>
      <c r="Y47" s="81" t="s">
        <v>499</v>
      </c>
      <c r="Z47" s="81" t="s">
        <v>533</v>
      </c>
      <c r="AA47" s="81"/>
      <c r="AB47" s="81"/>
      <c r="AC47" s="84" t="s">
        <v>580</v>
      </c>
      <c r="AD47" s="81" t="s">
        <v>588</v>
      </c>
      <c r="AE47" s="86" t="str">
        <f>HYPERLINK("https://twitter.com/willthewordguy/status/1719522068411085041")</f>
        <v>https://twitter.com/willthewordguy/status/1719522068411085041</v>
      </c>
      <c r="AF47" s="83">
        <v>45231.048402777778</v>
      </c>
      <c r="AG47" s="89">
        <v>45231</v>
      </c>
      <c r="AH47" s="84" t="s">
        <v>612</v>
      </c>
      <c r="AI47" s="81" t="b">
        <v>0</v>
      </c>
      <c r="AJ47" s="81"/>
      <c r="AK47" s="81"/>
      <c r="AL47" s="81"/>
      <c r="AM47" s="81"/>
      <c r="AN47" s="81"/>
      <c r="AO47" s="81"/>
      <c r="AP47" s="81"/>
      <c r="AQ47" s="81"/>
      <c r="AR47" s="81"/>
      <c r="AS47" s="81"/>
      <c r="AT47" s="81"/>
      <c r="AU47" s="81"/>
      <c r="AV47" s="86" t="str">
        <f>HYPERLINK("https://pbs.twimg.com/profile_images/1331376273755664384/mF7tQg3B_normal.jpg")</f>
        <v>https://pbs.twimg.com/profile_images/1331376273755664384/mF7tQg3B_normal.jpg</v>
      </c>
      <c r="AW47" s="84" t="s">
        <v>766</v>
      </c>
      <c r="AX47" s="84" t="s">
        <v>766</v>
      </c>
      <c r="AY47" s="81"/>
      <c r="AZ47" s="84" t="s">
        <v>879</v>
      </c>
      <c r="BA47" s="84" t="s">
        <v>879</v>
      </c>
      <c r="BB47" s="84" t="s">
        <v>879</v>
      </c>
      <c r="BC47" s="84" t="s">
        <v>766</v>
      </c>
      <c r="BD47" s="81">
        <v>414179273</v>
      </c>
      <c r="BE47" s="81"/>
      <c r="BF47" s="81"/>
      <c r="BG47" s="81"/>
      <c r="BH47" s="81"/>
      <c r="BI47" s="81"/>
      <c r="BJ47">
        <v>1</v>
      </c>
      <c r="BK47" s="80" t="str">
        <f>REPLACE(INDEX(GroupVertices[Group], MATCH("~"&amp;Edges[[#This Row],[Vertex 1]],GroupVertices[Vertex],0)),1,1,"")</f>
        <v>2</v>
      </c>
      <c r="BL47" s="80" t="str">
        <f>REPLACE(INDEX(GroupVertices[Group], MATCH("~"&amp;Edges[[#This Row],[Vertex 2]],GroupVertices[Vertex],0)),1,1,"")</f>
        <v>2</v>
      </c>
      <c r="BM47" s="49">
        <v>0</v>
      </c>
      <c r="BN47" s="50">
        <v>0</v>
      </c>
      <c r="BO47" s="49">
        <v>0</v>
      </c>
      <c r="BP47" s="50">
        <v>0</v>
      </c>
      <c r="BQ47" s="49">
        <v>0</v>
      </c>
      <c r="BR47" s="50">
        <v>0</v>
      </c>
      <c r="BS47" s="49">
        <v>9</v>
      </c>
      <c r="BT47" s="50">
        <v>81.818181818181813</v>
      </c>
      <c r="BU47" s="49">
        <v>11</v>
      </c>
    </row>
    <row r="48" spans="1:73" x14ac:dyDescent="0.25">
      <c r="A48" s="65" t="s">
        <v>259</v>
      </c>
      <c r="B48" s="65" t="s">
        <v>320</v>
      </c>
      <c r="C48" s="66" t="s">
        <v>10073</v>
      </c>
      <c r="D48" s="67">
        <v>3</v>
      </c>
      <c r="E48" s="68" t="s">
        <v>132</v>
      </c>
      <c r="F48" s="69">
        <v>35</v>
      </c>
      <c r="G48" s="66"/>
      <c r="H48" s="70"/>
      <c r="I48" s="71"/>
      <c r="J48" s="71"/>
      <c r="K48" s="35" t="s">
        <v>65</v>
      </c>
      <c r="L48" s="79">
        <v>48</v>
      </c>
      <c r="M48" s="79"/>
      <c r="N48" s="73"/>
      <c r="O48" s="81" t="s">
        <v>366</v>
      </c>
      <c r="P48" s="83">
        <v>45231.06653935185</v>
      </c>
      <c r="Q48" s="81" t="s">
        <v>387</v>
      </c>
      <c r="R48" s="81">
        <v>2</v>
      </c>
      <c r="S48" s="81">
        <v>0</v>
      </c>
      <c r="T48" s="81">
        <v>0</v>
      </c>
      <c r="U48" s="81">
        <v>0</v>
      </c>
      <c r="V48" s="81"/>
      <c r="W48" s="84" t="s">
        <v>476</v>
      </c>
      <c r="X48" s="86" t="str">
        <f>HYPERLINK("https://www.schooljobs.com/careers/bgsu/jobs/4264712/assistant-professor-school-of-media-and-communication?page=3&amp;pagetype=jobOpportunitiesJobs")</f>
        <v>https://www.schooljobs.com/careers/bgsu/jobs/4264712/assistant-professor-school-of-media-and-communication?page=3&amp;pagetype=jobOpportunitiesJobs</v>
      </c>
      <c r="Y48" s="81" t="s">
        <v>499</v>
      </c>
      <c r="Z48" s="81" t="s">
        <v>529</v>
      </c>
      <c r="AA48" s="81"/>
      <c r="AB48" s="81"/>
      <c r="AC48" s="84" t="s">
        <v>582</v>
      </c>
      <c r="AD48" s="81" t="s">
        <v>588</v>
      </c>
      <c r="AE48" s="86" t="str">
        <f>HYPERLINK("https://twitter.com/annefmaclennan/status/1719528640973516901")</f>
        <v>https://twitter.com/annefmaclennan/status/1719528640973516901</v>
      </c>
      <c r="AF48" s="83">
        <v>45231.06653935185</v>
      </c>
      <c r="AG48" s="89">
        <v>45231</v>
      </c>
      <c r="AH48" s="84" t="s">
        <v>613</v>
      </c>
      <c r="AI48" s="81" t="b">
        <v>0</v>
      </c>
      <c r="AJ48" s="81"/>
      <c r="AK48" s="81"/>
      <c r="AL48" s="81"/>
      <c r="AM48" s="81"/>
      <c r="AN48" s="81"/>
      <c r="AO48" s="81"/>
      <c r="AP48" s="81"/>
      <c r="AQ48" s="81"/>
      <c r="AR48" s="81"/>
      <c r="AS48" s="81"/>
      <c r="AT48" s="81"/>
      <c r="AU48" s="81"/>
      <c r="AV48" s="86" t="str">
        <f>HYPERLINK("https://pbs.twimg.com/profile_images/605544839652843521/bJuIHXNl_normal.jpg")</f>
        <v>https://pbs.twimg.com/profile_images/605544839652843521/bJuIHXNl_normal.jpg</v>
      </c>
      <c r="AW48" s="84" t="s">
        <v>767</v>
      </c>
      <c r="AX48" s="84" t="s">
        <v>767</v>
      </c>
      <c r="AY48" s="81"/>
      <c r="AZ48" s="84" t="s">
        <v>879</v>
      </c>
      <c r="BA48" s="84" t="s">
        <v>879</v>
      </c>
      <c r="BB48" s="84" t="s">
        <v>766</v>
      </c>
      <c r="BC48" s="84" t="s">
        <v>766</v>
      </c>
      <c r="BD48" s="81">
        <v>3306005770</v>
      </c>
      <c r="BE48" s="81"/>
      <c r="BF48" s="81"/>
      <c r="BG48" s="81"/>
      <c r="BH48" s="81"/>
      <c r="BI48" s="81"/>
      <c r="BJ48">
        <v>1</v>
      </c>
      <c r="BK48" s="80" t="str">
        <f>REPLACE(INDEX(GroupVertices[Group], MATCH("~"&amp;Edges[[#This Row],[Vertex 1]],GroupVertices[Vertex],0)),1,1,"")</f>
        <v>2</v>
      </c>
      <c r="BL48" s="80" t="str">
        <f>REPLACE(INDEX(GroupVertices[Group], MATCH("~"&amp;Edges[[#This Row],[Vertex 2]],GroupVertices[Vertex],0)),1,1,"")</f>
        <v>2</v>
      </c>
      <c r="BM48" s="49"/>
      <c r="BN48" s="50"/>
      <c r="BO48" s="49"/>
      <c r="BP48" s="50"/>
      <c r="BQ48" s="49"/>
      <c r="BR48" s="50"/>
      <c r="BS48" s="49"/>
      <c r="BT48" s="50"/>
      <c r="BU48" s="49"/>
    </row>
    <row r="49" spans="1:73" x14ac:dyDescent="0.25">
      <c r="A49" s="65" t="s">
        <v>259</v>
      </c>
      <c r="B49" s="65" t="s">
        <v>268</v>
      </c>
      <c r="C49" s="66" t="s">
        <v>10075</v>
      </c>
      <c r="D49" s="67">
        <v>10</v>
      </c>
      <c r="E49" s="68" t="s">
        <v>132</v>
      </c>
      <c r="F49" s="69">
        <v>12</v>
      </c>
      <c r="G49" s="66"/>
      <c r="H49" s="70"/>
      <c r="I49" s="71"/>
      <c r="J49" s="71"/>
      <c r="K49" s="35" t="s">
        <v>65</v>
      </c>
      <c r="L49" s="79">
        <v>49</v>
      </c>
      <c r="M49" s="79"/>
      <c r="N49" s="73"/>
      <c r="O49" s="81" t="s">
        <v>366</v>
      </c>
      <c r="P49" s="83">
        <v>45231.242812500001</v>
      </c>
      <c r="Q49" s="81" t="s">
        <v>388</v>
      </c>
      <c r="R49" s="81">
        <v>2</v>
      </c>
      <c r="S49" s="81">
        <v>0</v>
      </c>
      <c r="T49" s="81">
        <v>0</v>
      </c>
      <c r="U49" s="81">
        <v>0</v>
      </c>
      <c r="V49" s="81"/>
      <c r="W49" s="84" t="s">
        <v>476</v>
      </c>
      <c r="X49" s="86" t="str">
        <f>HYPERLINK("https://employment.marquette.edu/postings/20457")</f>
        <v>https://employment.marquette.edu/postings/20457</v>
      </c>
      <c r="Y49" s="81" t="s">
        <v>500</v>
      </c>
      <c r="Z49" s="81" t="s">
        <v>530</v>
      </c>
      <c r="AA49" s="81"/>
      <c r="AB49" s="81"/>
      <c r="AC49" s="84" t="s">
        <v>582</v>
      </c>
      <c r="AD49" s="81" t="s">
        <v>588</v>
      </c>
      <c r="AE49" s="86" t="str">
        <f>HYPERLINK("https://twitter.com/annefmaclennan/status/1719592518806114639")</f>
        <v>https://twitter.com/annefmaclennan/status/1719592518806114639</v>
      </c>
      <c r="AF49" s="83">
        <v>45231.242812500001</v>
      </c>
      <c r="AG49" s="89">
        <v>45231</v>
      </c>
      <c r="AH49" s="84" t="s">
        <v>614</v>
      </c>
      <c r="AI49" s="81" t="b">
        <v>0</v>
      </c>
      <c r="AJ49" s="81"/>
      <c r="AK49" s="81"/>
      <c r="AL49" s="81"/>
      <c r="AM49" s="81"/>
      <c r="AN49" s="81"/>
      <c r="AO49" s="81"/>
      <c r="AP49" s="81"/>
      <c r="AQ49" s="81"/>
      <c r="AR49" s="81"/>
      <c r="AS49" s="81"/>
      <c r="AT49" s="81"/>
      <c r="AU49" s="81"/>
      <c r="AV49" s="86" t="str">
        <f>HYPERLINK("https://pbs.twimg.com/profile_images/605544839652843521/bJuIHXNl_normal.jpg")</f>
        <v>https://pbs.twimg.com/profile_images/605544839652843521/bJuIHXNl_normal.jpg</v>
      </c>
      <c r="AW49" s="84" t="s">
        <v>768</v>
      </c>
      <c r="AX49" s="84" t="s">
        <v>768</v>
      </c>
      <c r="AY49" s="81"/>
      <c r="AZ49" s="84" t="s">
        <v>879</v>
      </c>
      <c r="BA49" s="84" t="s">
        <v>879</v>
      </c>
      <c r="BB49" s="84" t="s">
        <v>855</v>
      </c>
      <c r="BC49" s="84" t="s">
        <v>855</v>
      </c>
      <c r="BD49" s="81">
        <v>3306005770</v>
      </c>
      <c r="BE49" s="81"/>
      <c r="BF49" s="81"/>
      <c r="BG49" s="81"/>
      <c r="BH49" s="81"/>
      <c r="BI49" s="81"/>
      <c r="BJ49">
        <v>3</v>
      </c>
      <c r="BK49" s="80" t="str">
        <f>REPLACE(INDEX(GroupVertices[Group], MATCH("~"&amp;Edges[[#This Row],[Vertex 1]],GroupVertices[Vertex],0)),1,1,"")</f>
        <v>2</v>
      </c>
      <c r="BL49" s="80" t="str">
        <f>REPLACE(INDEX(GroupVertices[Group], MATCH("~"&amp;Edges[[#This Row],[Vertex 2]],GroupVertices[Vertex],0)),1,1,"")</f>
        <v>1</v>
      </c>
      <c r="BM49" s="49"/>
      <c r="BN49" s="50"/>
      <c r="BO49" s="49"/>
      <c r="BP49" s="50"/>
      <c r="BQ49" s="49"/>
      <c r="BR49" s="50"/>
      <c r="BS49" s="49"/>
      <c r="BT49" s="50"/>
      <c r="BU49" s="49"/>
    </row>
    <row r="50" spans="1:73" x14ac:dyDescent="0.25">
      <c r="A50" s="65" t="s">
        <v>259</v>
      </c>
      <c r="B50" s="65" t="s">
        <v>252</v>
      </c>
      <c r="C50" s="66" t="s">
        <v>10074</v>
      </c>
      <c r="D50" s="67">
        <v>6.5</v>
      </c>
      <c r="E50" s="68" t="s">
        <v>132</v>
      </c>
      <c r="F50" s="69">
        <v>23.5</v>
      </c>
      <c r="G50" s="66"/>
      <c r="H50" s="70"/>
      <c r="I50" s="71"/>
      <c r="J50" s="71"/>
      <c r="K50" s="35" t="s">
        <v>65</v>
      </c>
      <c r="L50" s="79">
        <v>50</v>
      </c>
      <c r="M50" s="79"/>
      <c r="N50" s="73"/>
      <c r="O50" s="81" t="s">
        <v>365</v>
      </c>
      <c r="P50" s="83">
        <v>45231.242812500001</v>
      </c>
      <c r="Q50" s="81" t="s">
        <v>388</v>
      </c>
      <c r="R50" s="81">
        <v>2</v>
      </c>
      <c r="S50" s="81">
        <v>0</v>
      </c>
      <c r="T50" s="81">
        <v>0</v>
      </c>
      <c r="U50" s="81">
        <v>0</v>
      </c>
      <c r="V50" s="81"/>
      <c r="W50" s="84" t="s">
        <v>476</v>
      </c>
      <c r="X50" s="86" t="str">
        <f>HYPERLINK("https://employment.marquette.edu/postings/20457")</f>
        <v>https://employment.marquette.edu/postings/20457</v>
      </c>
      <c r="Y50" s="81" t="s">
        <v>500</v>
      </c>
      <c r="Z50" s="81" t="s">
        <v>530</v>
      </c>
      <c r="AA50" s="81"/>
      <c r="AB50" s="81"/>
      <c r="AC50" s="84" t="s">
        <v>582</v>
      </c>
      <c r="AD50" s="81" t="s">
        <v>588</v>
      </c>
      <c r="AE50" s="86" t="str">
        <f>HYPERLINK("https://twitter.com/annefmaclennan/status/1719592518806114639")</f>
        <v>https://twitter.com/annefmaclennan/status/1719592518806114639</v>
      </c>
      <c r="AF50" s="83">
        <v>45231.242812500001</v>
      </c>
      <c r="AG50" s="89">
        <v>45231</v>
      </c>
      <c r="AH50" s="84" t="s">
        <v>614</v>
      </c>
      <c r="AI50" s="81" t="b">
        <v>0</v>
      </c>
      <c r="AJ50" s="81"/>
      <c r="AK50" s="81"/>
      <c r="AL50" s="81"/>
      <c r="AM50" s="81"/>
      <c r="AN50" s="81"/>
      <c r="AO50" s="81"/>
      <c r="AP50" s="81"/>
      <c r="AQ50" s="81"/>
      <c r="AR50" s="81"/>
      <c r="AS50" s="81"/>
      <c r="AT50" s="81"/>
      <c r="AU50" s="81"/>
      <c r="AV50" s="86" t="str">
        <f>HYPERLINK("https://pbs.twimg.com/profile_images/605544839652843521/bJuIHXNl_normal.jpg")</f>
        <v>https://pbs.twimg.com/profile_images/605544839652843521/bJuIHXNl_normal.jpg</v>
      </c>
      <c r="AW50" s="84" t="s">
        <v>768</v>
      </c>
      <c r="AX50" s="84" t="s">
        <v>768</v>
      </c>
      <c r="AY50" s="81"/>
      <c r="AZ50" s="84" t="s">
        <v>879</v>
      </c>
      <c r="BA50" s="84" t="s">
        <v>879</v>
      </c>
      <c r="BB50" s="84" t="s">
        <v>855</v>
      </c>
      <c r="BC50" s="84" t="s">
        <v>855</v>
      </c>
      <c r="BD50" s="81">
        <v>3306005770</v>
      </c>
      <c r="BE50" s="81"/>
      <c r="BF50" s="81"/>
      <c r="BG50" s="81"/>
      <c r="BH50" s="81"/>
      <c r="BI50" s="81"/>
      <c r="BJ50">
        <v>2</v>
      </c>
      <c r="BK50" s="80" t="str">
        <f>REPLACE(INDEX(GroupVertices[Group], MATCH("~"&amp;Edges[[#This Row],[Vertex 1]],GroupVertices[Vertex],0)),1,1,"")</f>
        <v>2</v>
      </c>
      <c r="BL50" s="80" t="str">
        <f>REPLACE(INDEX(GroupVertices[Group], MATCH("~"&amp;Edges[[#This Row],[Vertex 2]],GroupVertices[Vertex],0)),1,1,"")</f>
        <v>2</v>
      </c>
      <c r="BM50" s="49">
        <v>0</v>
      </c>
      <c r="BN50" s="50">
        <v>0</v>
      </c>
      <c r="BO50" s="49">
        <v>0</v>
      </c>
      <c r="BP50" s="50">
        <v>0</v>
      </c>
      <c r="BQ50" s="49">
        <v>0</v>
      </c>
      <c r="BR50" s="50">
        <v>0</v>
      </c>
      <c r="BS50" s="49">
        <v>10</v>
      </c>
      <c r="BT50" s="50">
        <v>83.333333333333329</v>
      </c>
      <c r="BU50" s="49">
        <v>12</v>
      </c>
    </row>
    <row r="51" spans="1:73" x14ac:dyDescent="0.25">
      <c r="A51" s="65" t="s">
        <v>259</v>
      </c>
      <c r="B51" s="65" t="s">
        <v>258</v>
      </c>
      <c r="C51" s="66" t="s">
        <v>10073</v>
      </c>
      <c r="D51" s="67">
        <v>3</v>
      </c>
      <c r="E51" s="68" t="s">
        <v>132</v>
      </c>
      <c r="F51" s="69">
        <v>35</v>
      </c>
      <c r="G51" s="66"/>
      <c r="H51" s="70"/>
      <c r="I51" s="71"/>
      <c r="J51" s="71"/>
      <c r="K51" s="35" t="s">
        <v>65</v>
      </c>
      <c r="L51" s="79">
        <v>51</v>
      </c>
      <c r="M51" s="79"/>
      <c r="N51" s="73"/>
      <c r="O51" s="81" t="s">
        <v>366</v>
      </c>
      <c r="P51" s="83">
        <v>45229.129756944443</v>
      </c>
      <c r="Q51" s="81" t="s">
        <v>390</v>
      </c>
      <c r="R51" s="81">
        <v>2</v>
      </c>
      <c r="S51" s="81">
        <v>0</v>
      </c>
      <c r="T51" s="81">
        <v>0</v>
      </c>
      <c r="U51" s="81">
        <v>0</v>
      </c>
      <c r="V51" s="81"/>
      <c r="W51" s="81"/>
      <c r="X51" s="81"/>
      <c r="Y51" s="81"/>
      <c r="Z51" s="81" t="s">
        <v>532</v>
      </c>
      <c r="AA51" s="81"/>
      <c r="AB51" s="81"/>
      <c r="AC51" s="84" t="s">
        <v>582</v>
      </c>
      <c r="AD51" s="81" t="s">
        <v>588</v>
      </c>
      <c r="AE51" s="86" t="str">
        <f>HYPERLINK("https://twitter.com/annefmaclennan/status/1718826772110676208")</f>
        <v>https://twitter.com/annefmaclennan/status/1718826772110676208</v>
      </c>
      <c r="AF51" s="83">
        <v>45229.129756944443</v>
      </c>
      <c r="AG51" s="89">
        <v>45229</v>
      </c>
      <c r="AH51" s="84" t="s">
        <v>611</v>
      </c>
      <c r="AI51" s="81"/>
      <c r="AJ51" s="81"/>
      <c r="AK51" s="81"/>
      <c r="AL51" s="81"/>
      <c r="AM51" s="81"/>
      <c r="AN51" s="81"/>
      <c r="AO51" s="81"/>
      <c r="AP51" s="81"/>
      <c r="AQ51" s="81"/>
      <c r="AR51" s="81"/>
      <c r="AS51" s="81"/>
      <c r="AT51" s="81"/>
      <c r="AU51" s="81"/>
      <c r="AV51" s="86" t="str">
        <f>HYPERLINK("https://pbs.twimg.com/profile_images/605544839652843521/bJuIHXNl_normal.jpg")</f>
        <v>https://pbs.twimg.com/profile_images/605544839652843521/bJuIHXNl_normal.jpg</v>
      </c>
      <c r="AW51" s="84" t="s">
        <v>765</v>
      </c>
      <c r="AX51" s="84" t="s">
        <v>765</v>
      </c>
      <c r="AY51" s="81"/>
      <c r="AZ51" s="84" t="s">
        <v>879</v>
      </c>
      <c r="BA51" s="84" t="s">
        <v>879</v>
      </c>
      <c r="BB51" s="84" t="s">
        <v>763</v>
      </c>
      <c r="BC51" s="84" t="s">
        <v>763</v>
      </c>
      <c r="BD51" s="81">
        <v>3306005770</v>
      </c>
      <c r="BE51" s="81"/>
      <c r="BF51" s="81"/>
      <c r="BG51" s="81"/>
      <c r="BH51" s="81"/>
      <c r="BI51" s="81"/>
      <c r="BJ51">
        <v>1</v>
      </c>
      <c r="BK51" s="80" t="str">
        <f>REPLACE(INDEX(GroupVertices[Group], MATCH("~"&amp;Edges[[#This Row],[Vertex 1]],GroupVertices[Vertex],0)),1,1,"")</f>
        <v>2</v>
      </c>
      <c r="BL51" s="80" t="str">
        <f>REPLACE(INDEX(GroupVertices[Group], MATCH("~"&amp;Edges[[#This Row],[Vertex 2]],GroupVertices[Vertex],0)),1,1,"")</f>
        <v>2</v>
      </c>
      <c r="BM51" s="49"/>
      <c r="BN51" s="50"/>
      <c r="BO51" s="49"/>
      <c r="BP51" s="50"/>
      <c r="BQ51" s="49"/>
      <c r="BR51" s="50"/>
      <c r="BS51" s="49"/>
      <c r="BT51" s="50"/>
      <c r="BU51" s="49"/>
    </row>
    <row r="52" spans="1:73" x14ac:dyDescent="0.25">
      <c r="A52" s="65" t="s">
        <v>259</v>
      </c>
      <c r="B52" s="65" t="s">
        <v>268</v>
      </c>
      <c r="C52" s="66" t="s">
        <v>10075</v>
      </c>
      <c r="D52" s="67">
        <v>10</v>
      </c>
      <c r="E52" s="68" t="s">
        <v>132</v>
      </c>
      <c r="F52" s="69">
        <v>12</v>
      </c>
      <c r="G52" s="66"/>
      <c r="H52" s="70"/>
      <c r="I52" s="71"/>
      <c r="J52" s="71"/>
      <c r="K52" s="35" t="s">
        <v>65</v>
      </c>
      <c r="L52" s="79">
        <v>52</v>
      </c>
      <c r="M52" s="79"/>
      <c r="N52" s="73"/>
      <c r="O52" s="81" t="s">
        <v>366</v>
      </c>
      <c r="P52" s="83">
        <v>45229.129756944443</v>
      </c>
      <c r="Q52" s="81" t="s">
        <v>390</v>
      </c>
      <c r="R52" s="81">
        <v>2</v>
      </c>
      <c r="S52" s="81">
        <v>0</v>
      </c>
      <c r="T52" s="81">
        <v>0</v>
      </c>
      <c r="U52" s="81">
        <v>0</v>
      </c>
      <c r="V52" s="81"/>
      <c r="W52" s="81"/>
      <c r="X52" s="81"/>
      <c r="Y52" s="81"/>
      <c r="Z52" s="81" t="s">
        <v>532</v>
      </c>
      <c r="AA52" s="81"/>
      <c r="AB52" s="81"/>
      <c r="AC52" s="84" t="s">
        <v>582</v>
      </c>
      <c r="AD52" s="81" t="s">
        <v>588</v>
      </c>
      <c r="AE52" s="86" t="str">
        <f>HYPERLINK("https://twitter.com/annefmaclennan/status/1718826772110676208")</f>
        <v>https://twitter.com/annefmaclennan/status/1718826772110676208</v>
      </c>
      <c r="AF52" s="83">
        <v>45229.129756944443</v>
      </c>
      <c r="AG52" s="89">
        <v>45229</v>
      </c>
      <c r="AH52" s="84" t="s">
        <v>611</v>
      </c>
      <c r="AI52" s="81"/>
      <c r="AJ52" s="81"/>
      <c r="AK52" s="81"/>
      <c r="AL52" s="81"/>
      <c r="AM52" s="81"/>
      <c r="AN52" s="81"/>
      <c r="AO52" s="81"/>
      <c r="AP52" s="81"/>
      <c r="AQ52" s="81"/>
      <c r="AR52" s="81"/>
      <c r="AS52" s="81"/>
      <c r="AT52" s="81"/>
      <c r="AU52" s="81"/>
      <c r="AV52" s="86" t="str">
        <f>HYPERLINK("https://pbs.twimg.com/profile_images/605544839652843521/bJuIHXNl_normal.jpg")</f>
        <v>https://pbs.twimg.com/profile_images/605544839652843521/bJuIHXNl_normal.jpg</v>
      </c>
      <c r="AW52" s="84" t="s">
        <v>765</v>
      </c>
      <c r="AX52" s="84" t="s">
        <v>765</v>
      </c>
      <c r="AY52" s="81"/>
      <c r="AZ52" s="84" t="s">
        <v>879</v>
      </c>
      <c r="BA52" s="84" t="s">
        <v>879</v>
      </c>
      <c r="BB52" s="84" t="s">
        <v>763</v>
      </c>
      <c r="BC52" s="84" t="s">
        <v>763</v>
      </c>
      <c r="BD52" s="81">
        <v>3306005770</v>
      </c>
      <c r="BE52" s="81"/>
      <c r="BF52" s="81"/>
      <c r="BG52" s="81"/>
      <c r="BH52" s="81"/>
      <c r="BI52" s="81"/>
      <c r="BJ52">
        <v>3</v>
      </c>
      <c r="BK52" s="80" t="str">
        <f>REPLACE(INDEX(GroupVertices[Group], MATCH("~"&amp;Edges[[#This Row],[Vertex 1]],GroupVertices[Vertex],0)),1,1,"")</f>
        <v>2</v>
      </c>
      <c r="BL52" s="80" t="str">
        <f>REPLACE(INDEX(GroupVertices[Group], MATCH("~"&amp;Edges[[#This Row],[Vertex 2]],GroupVertices[Vertex],0)),1,1,"")</f>
        <v>1</v>
      </c>
      <c r="BM52" s="49">
        <v>0</v>
      </c>
      <c r="BN52" s="50">
        <v>0</v>
      </c>
      <c r="BO52" s="49">
        <v>0</v>
      </c>
      <c r="BP52" s="50">
        <v>0</v>
      </c>
      <c r="BQ52" s="49">
        <v>0</v>
      </c>
      <c r="BR52" s="50">
        <v>0</v>
      </c>
      <c r="BS52" s="49">
        <v>14</v>
      </c>
      <c r="BT52" s="50">
        <v>63.636363636363633</v>
      </c>
      <c r="BU52" s="49">
        <v>22</v>
      </c>
    </row>
    <row r="53" spans="1:73" x14ac:dyDescent="0.25">
      <c r="A53" s="65" t="s">
        <v>259</v>
      </c>
      <c r="B53" s="65" t="s">
        <v>261</v>
      </c>
      <c r="C53" s="66" t="s">
        <v>10073</v>
      </c>
      <c r="D53" s="67">
        <v>3</v>
      </c>
      <c r="E53" s="68" t="s">
        <v>132</v>
      </c>
      <c r="F53" s="69">
        <v>35</v>
      </c>
      <c r="G53" s="66"/>
      <c r="H53" s="70"/>
      <c r="I53" s="71"/>
      <c r="J53" s="71"/>
      <c r="K53" s="35" t="s">
        <v>65</v>
      </c>
      <c r="L53" s="79">
        <v>53</v>
      </c>
      <c r="M53" s="79"/>
      <c r="N53" s="73"/>
      <c r="O53" s="81" t="s">
        <v>366</v>
      </c>
      <c r="P53" s="83">
        <v>45231.06653935185</v>
      </c>
      <c r="Q53" s="81" t="s">
        <v>387</v>
      </c>
      <c r="R53" s="81">
        <v>2</v>
      </c>
      <c r="S53" s="81">
        <v>0</v>
      </c>
      <c r="T53" s="81">
        <v>0</v>
      </c>
      <c r="U53" s="81">
        <v>0</v>
      </c>
      <c r="V53" s="81"/>
      <c r="W53" s="84" t="s">
        <v>476</v>
      </c>
      <c r="X53" s="86" t="str">
        <f>HYPERLINK("https://www.schooljobs.com/careers/bgsu/jobs/4264712/assistant-professor-school-of-media-and-communication?page=3&amp;pagetype=jobOpportunitiesJobs")</f>
        <v>https://www.schooljobs.com/careers/bgsu/jobs/4264712/assistant-professor-school-of-media-and-communication?page=3&amp;pagetype=jobOpportunitiesJobs</v>
      </c>
      <c r="Y53" s="81" t="s">
        <v>499</v>
      </c>
      <c r="Z53" s="81" t="s">
        <v>529</v>
      </c>
      <c r="AA53" s="81"/>
      <c r="AB53" s="81"/>
      <c r="AC53" s="84" t="s">
        <v>582</v>
      </c>
      <c r="AD53" s="81" t="s">
        <v>588</v>
      </c>
      <c r="AE53" s="86" t="str">
        <f>HYPERLINK("https://twitter.com/annefmaclennan/status/1719528640973516901")</f>
        <v>https://twitter.com/annefmaclennan/status/1719528640973516901</v>
      </c>
      <c r="AF53" s="83">
        <v>45231.06653935185</v>
      </c>
      <c r="AG53" s="89">
        <v>45231</v>
      </c>
      <c r="AH53" s="84" t="s">
        <v>613</v>
      </c>
      <c r="AI53" s="81" t="b">
        <v>0</v>
      </c>
      <c r="AJ53" s="81"/>
      <c r="AK53" s="81"/>
      <c r="AL53" s="81"/>
      <c r="AM53" s="81"/>
      <c r="AN53" s="81"/>
      <c r="AO53" s="81"/>
      <c r="AP53" s="81"/>
      <c r="AQ53" s="81"/>
      <c r="AR53" s="81"/>
      <c r="AS53" s="81"/>
      <c r="AT53" s="81"/>
      <c r="AU53" s="81"/>
      <c r="AV53" s="86" t="str">
        <f>HYPERLINK("https://pbs.twimg.com/profile_images/605544839652843521/bJuIHXNl_normal.jpg")</f>
        <v>https://pbs.twimg.com/profile_images/605544839652843521/bJuIHXNl_normal.jpg</v>
      </c>
      <c r="AW53" s="84" t="s">
        <v>767</v>
      </c>
      <c r="AX53" s="84" t="s">
        <v>767</v>
      </c>
      <c r="AY53" s="81"/>
      <c r="AZ53" s="84" t="s">
        <v>879</v>
      </c>
      <c r="BA53" s="84" t="s">
        <v>879</v>
      </c>
      <c r="BB53" s="84" t="s">
        <v>766</v>
      </c>
      <c r="BC53" s="84" t="s">
        <v>766</v>
      </c>
      <c r="BD53" s="81">
        <v>3306005770</v>
      </c>
      <c r="BE53" s="81"/>
      <c r="BF53" s="81"/>
      <c r="BG53" s="81"/>
      <c r="BH53" s="81"/>
      <c r="BI53" s="81"/>
      <c r="BJ53">
        <v>1</v>
      </c>
      <c r="BK53" s="80" t="str">
        <f>REPLACE(INDEX(GroupVertices[Group], MATCH("~"&amp;Edges[[#This Row],[Vertex 1]],GroupVertices[Vertex],0)),1,1,"")</f>
        <v>2</v>
      </c>
      <c r="BL53" s="80" t="str">
        <f>REPLACE(INDEX(GroupVertices[Group], MATCH("~"&amp;Edges[[#This Row],[Vertex 2]],GroupVertices[Vertex],0)),1,1,"")</f>
        <v>2</v>
      </c>
      <c r="BM53" s="49"/>
      <c r="BN53" s="50"/>
      <c r="BO53" s="49"/>
      <c r="BP53" s="50"/>
      <c r="BQ53" s="49"/>
      <c r="BR53" s="50"/>
      <c r="BS53" s="49"/>
      <c r="BT53" s="50"/>
      <c r="BU53" s="49"/>
    </row>
    <row r="54" spans="1:73" x14ac:dyDescent="0.25">
      <c r="A54" s="65" t="s">
        <v>259</v>
      </c>
      <c r="B54" s="65" t="s">
        <v>268</v>
      </c>
      <c r="C54" s="66" t="s">
        <v>10075</v>
      </c>
      <c r="D54" s="67">
        <v>10</v>
      </c>
      <c r="E54" s="68" t="s">
        <v>132</v>
      </c>
      <c r="F54" s="69">
        <v>12</v>
      </c>
      <c r="G54" s="66"/>
      <c r="H54" s="70"/>
      <c r="I54" s="71"/>
      <c r="J54" s="71"/>
      <c r="K54" s="35" t="s">
        <v>65</v>
      </c>
      <c r="L54" s="79">
        <v>54</v>
      </c>
      <c r="M54" s="79"/>
      <c r="N54" s="73"/>
      <c r="O54" s="81" t="s">
        <v>366</v>
      </c>
      <c r="P54" s="83">
        <v>45231.06653935185</v>
      </c>
      <c r="Q54" s="81" t="s">
        <v>387</v>
      </c>
      <c r="R54" s="81">
        <v>2</v>
      </c>
      <c r="S54" s="81">
        <v>0</v>
      </c>
      <c r="T54" s="81">
        <v>0</v>
      </c>
      <c r="U54" s="81">
        <v>0</v>
      </c>
      <c r="V54" s="81"/>
      <c r="W54" s="84" t="s">
        <v>476</v>
      </c>
      <c r="X54" s="86" t="str">
        <f>HYPERLINK("https://www.schooljobs.com/careers/bgsu/jobs/4264712/assistant-professor-school-of-media-and-communication?page=3&amp;pagetype=jobOpportunitiesJobs")</f>
        <v>https://www.schooljobs.com/careers/bgsu/jobs/4264712/assistant-professor-school-of-media-and-communication?page=3&amp;pagetype=jobOpportunitiesJobs</v>
      </c>
      <c r="Y54" s="81" t="s">
        <v>499</v>
      </c>
      <c r="Z54" s="81" t="s">
        <v>529</v>
      </c>
      <c r="AA54" s="81"/>
      <c r="AB54" s="81"/>
      <c r="AC54" s="84" t="s">
        <v>582</v>
      </c>
      <c r="AD54" s="81" t="s">
        <v>588</v>
      </c>
      <c r="AE54" s="86" t="str">
        <f>HYPERLINK("https://twitter.com/annefmaclennan/status/1719528640973516901")</f>
        <v>https://twitter.com/annefmaclennan/status/1719528640973516901</v>
      </c>
      <c r="AF54" s="83">
        <v>45231.06653935185</v>
      </c>
      <c r="AG54" s="89">
        <v>45231</v>
      </c>
      <c r="AH54" s="84" t="s">
        <v>613</v>
      </c>
      <c r="AI54" s="81" t="b">
        <v>0</v>
      </c>
      <c r="AJ54" s="81"/>
      <c r="AK54" s="81"/>
      <c r="AL54" s="81"/>
      <c r="AM54" s="81"/>
      <c r="AN54" s="81"/>
      <c r="AO54" s="81"/>
      <c r="AP54" s="81"/>
      <c r="AQ54" s="81"/>
      <c r="AR54" s="81"/>
      <c r="AS54" s="81"/>
      <c r="AT54" s="81"/>
      <c r="AU54" s="81"/>
      <c r="AV54" s="86" t="str">
        <f>HYPERLINK("https://pbs.twimg.com/profile_images/605544839652843521/bJuIHXNl_normal.jpg")</f>
        <v>https://pbs.twimg.com/profile_images/605544839652843521/bJuIHXNl_normal.jpg</v>
      </c>
      <c r="AW54" s="84" t="s">
        <v>767</v>
      </c>
      <c r="AX54" s="84" t="s">
        <v>767</v>
      </c>
      <c r="AY54" s="81"/>
      <c r="AZ54" s="84" t="s">
        <v>879</v>
      </c>
      <c r="BA54" s="84" t="s">
        <v>879</v>
      </c>
      <c r="BB54" s="84" t="s">
        <v>766</v>
      </c>
      <c r="BC54" s="84" t="s">
        <v>766</v>
      </c>
      <c r="BD54" s="81">
        <v>3306005770</v>
      </c>
      <c r="BE54" s="81"/>
      <c r="BF54" s="81"/>
      <c r="BG54" s="81"/>
      <c r="BH54" s="81"/>
      <c r="BI54" s="81"/>
      <c r="BJ54">
        <v>3</v>
      </c>
      <c r="BK54" s="80" t="str">
        <f>REPLACE(INDEX(GroupVertices[Group], MATCH("~"&amp;Edges[[#This Row],[Vertex 1]],GroupVertices[Vertex],0)),1,1,"")</f>
        <v>2</v>
      </c>
      <c r="BL54" s="80" t="str">
        <f>REPLACE(INDEX(GroupVertices[Group], MATCH("~"&amp;Edges[[#This Row],[Vertex 2]],GroupVertices[Vertex],0)),1,1,"")</f>
        <v>1</v>
      </c>
      <c r="BM54" s="49"/>
      <c r="BN54" s="50"/>
      <c r="BO54" s="49"/>
      <c r="BP54" s="50"/>
      <c r="BQ54" s="49"/>
      <c r="BR54" s="50"/>
      <c r="BS54" s="49"/>
      <c r="BT54" s="50"/>
      <c r="BU54" s="49"/>
    </row>
    <row r="55" spans="1:73" x14ac:dyDescent="0.25">
      <c r="A55" s="65" t="s">
        <v>259</v>
      </c>
      <c r="B55" s="65" t="s">
        <v>252</v>
      </c>
      <c r="C55" s="66" t="s">
        <v>10074</v>
      </c>
      <c r="D55" s="67">
        <v>6.5</v>
      </c>
      <c r="E55" s="68" t="s">
        <v>132</v>
      </c>
      <c r="F55" s="69">
        <v>23.5</v>
      </c>
      <c r="G55" s="66"/>
      <c r="H55" s="70"/>
      <c r="I55" s="71"/>
      <c r="J55" s="71"/>
      <c r="K55" s="35" t="s">
        <v>65</v>
      </c>
      <c r="L55" s="79">
        <v>55</v>
      </c>
      <c r="M55" s="79"/>
      <c r="N55" s="73"/>
      <c r="O55" s="81" t="s">
        <v>365</v>
      </c>
      <c r="P55" s="83">
        <v>45231.06653935185</v>
      </c>
      <c r="Q55" s="81" t="s">
        <v>387</v>
      </c>
      <c r="R55" s="81">
        <v>2</v>
      </c>
      <c r="S55" s="81">
        <v>0</v>
      </c>
      <c r="T55" s="81">
        <v>0</v>
      </c>
      <c r="U55" s="81">
        <v>0</v>
      </c>
      <c r="V55" s="81"/>
      <c r="W55" s="84" t="s">
        <v>476</v>
      </c>
      <c r="X55" s="86" t="str">
        <f>HYPERLINK("https://www.schooljobs.com/careers/bgsu/jobs/4264712/assistant-professor-school-of-media-and-communication?page=3&amp;pagetype=jobOpportunitiesJobs")</f>
        <v>https://www.schooljobs.com/careers/bgsu/jobs/4264712/assistant-professor-school-of-media-and-communication?page=3&amp;pagetype=jobOpportunitiesJobs</v>
      </c>
      <c r="Y55" s="81" t="s">
        <v>499</v>
      </c>
      <c r="Z55" s="81" t="s">
        <v>529</v>
      </c>
      <c r="AA55" s="81"/>
      <c r="AB55" s="81"/>
      <c r="AC55" s="84" t="s">
        <v>582</v>
      </c>
      <c r="AD55" s="81" t="s">
        <v>588</v>
      </c>
      <c r="AE55" s="86" t="str">
        <f>HYPERLINK("https://twitter.com/annefmaclennan/status/1719528640973516901")</f>
        <v>https://twitter.com/annefmaclennan/status/1719528640973516901</v>
      </c>
      <c r="AF55" s="83">
        <v>45231.06653935185</v>
      </c>
      <c r="AG55" s="89">
        <v>45231</v>
      </c>
      <c r="AH55" s="84" t="s">
        <v>613</v>
      </c>
      <c r="AI55" s="81" t="b">
        <v>0</v>
      </c>
      <c r="AJ55" s="81"/>
      <c r="AK55" s="81"/>
      <c r="AL55" s="81"/>
      <c r="AM55" s="81"/>
      <c r="AN55" s="81"/>
      <c r="AO55" s="81"/>
      <c r="AP55" s="81"/>
      <c r="AQ55" s="81"/>
      <c r="AR55" s="81"/>
      <c r="AS55" s="81"/>
      <c r="AT55" s="81"/>
      <c r="AU55" s="81"/>
      <c r="AV55" s="86" t="str">
        <f>HYPERLINK("https://pbs.twimg.com/profile_images/605544839652843521/bJuIHXNl_normal.jpg")</f>
        <v>https://pbs.twimg.com/profile_images/605544839652843521/bJuIHXNl_normal.jpg</v>
      </c>
      <c r="AW55" s="84" t="s">
        <v>767</v>
      </c>
      <c r="AX55" s="84" t="s">
        <v>767</v>
      </c>
      <c r="AY55" s="81"/>
      <c r="AZ55" s="84" t="s">
        <v>879</v>
      </c>
      <c r="BA55" s="84" t="s">
        <v>879</v>
      </c>
      <c r="BB55" s="84" t="s">
        <v>766</v>
      </c>
      <c r="BC55" s="84" t="s">
        <v>766</v>
      </c>
      <c r="BD55" s="81">
        <v>3306005770</v>
      </c>
      <c r="BE55" s="81"/>
      <c r="BF55" s="81"/>
      <c r="BG55" s="81"/>
      <c r="BH55" s="81"/>
      <c r="BI55" s="81"/>
      <c r="BJ55">
        <v>2</v>
      </c>
      <c r="BK55" s="80" t="str">
        <f>REPLACE(INDEX(GroupVertices[Group], MATCH("~"&amp;Edges[[#This Row],[Vertex 1]],GroupVertices[Vertex],0)),1,1,"")</f>
        <v>2</v>
      </c>
      <c r="BL55" s="80" t="str">
        <f>REPLACE(INDEX(GroupVertices[Group], MATCH("~"&amp;Edges[[#This Row],[Vertex 2]],GroupVertices[Vertex],0)),1,1,"")</f>
        <v>2</v>
      </c>
      <c r="BM55" s="49">
        <v>0</v>
      </c>
      <c r="BN55" s="50">
        <v>0</v>
      </c>
      <c r="BO55" s="49">
        <v>0</v>
      </c>
      <c r="BP55" s="50">
        <v>0</v>
      </c>
      <c r="BQ55" s="49">
        <v>0</v>
      </c>
      <c r="BR55" s="50">
        <v>0</v>
      </c>
      <c r="BS55" s="49">
        <v>10</v>
      </c>
      <c r="BT55" s="50">
        <v>76.92307692307692</v>
      </c>
      <c r="BU55" s="49">
        <v>13</v>
      </c>
    </row>
    <row r="56" spans="1:73" x14ac:dyDescent="0.25">
      <c r="A56" s="65" t="s">
        <v>260</v>
      </c>
      <c r="B56" s="65" t="s">
        <v>292</v>
      </c>
      <c r="C56" s="66" t="s">
        <v>10073</v>
      </c>
      <c r="D56" s="67">
        <v>3</v>
      </c>
      <c r="E56" s="68" t="s">
        <v>132</v>
      </c>
      <c r="F56" s="69">
        <v>35</v>
      </c>
      <c r="G56" s="66"/>
      <c r="H56" s="70"/>
      <c r="I56" s="71"/>
      <c r="J56" s="71"/>
      <c r="K56" s="35" t="s">
        <v>65</v>
      </c>
      <c r="L56" s="79">
        <v>56</v>
      </c>
      <c r="M56" s="79"/>
      <c r="N56" s="73"/>
      <c r="O56" s="81" t="s">
        <v>365</v>
      </c>
      <c r="P56" s="83">
        <v>45228.748900462961</v>
      </c>
      <c r="Q56" s="81" t="s">
        <v>392</v>
      </c>
      <c r="R56" s="81">
        <v>6</v>
      </c>
      <c r="S56" s="81">
        <v>0</v>
      </c>
      <c r="T56" s="81">
        <v>0</v>
      </c>
      <c r="U56" s="81">
        <v>0</v>
      </c>
      <c r="V56" s="81"/>
      <c r="W56" s="81"/>
      <c r="X56" s="81"/>
      <c r="Y56" s="81"/>
      <c r="Z56" s="81" t="s">
        <v>292</v>
      </c>
      <c r="AA56" s="81"/>
      <c r="AB56" s="81"/>
      <c r="AC56" s="84" t="s">
        <v>580</v>
      </c>
      <c r="AD56" s="81" t="s">
        <v>588</v>
      </c>
      <c r="AE56" s="86" t="str">
        <f>HYPERLINK("https://twitter.com/aejmc_rmig/status/1718688756105126073")</f>
        <v>https://twitter.com/aejmc_rmig/status/1718688756105126073</v>
      </c>
      <c r="AF56" s="83">
        <v>45228.748900462961</v>
      </c>
      <c r="AG56" s="89">
        <v>45228</v>
      </c>
      <c r="AH56" s="84" t="s">
        <v>615</v>
      </c>
      <c r="AI56" s="81"/>
      <c r="AJ56" s="81"/>
      <c r="AK56" s="81"/>
      <c r="AL56" s="81"/>
      <c r="AM56" s="81"/>
      <c r="AN56" s="81"/>
      <c r="AO56" s="81"/>
      <c r="AP56" s="81"/>
      <c r="AQ56" s="81"/>
      <c r="AR56" s="81"/>
      <c r="AS56" s="81"/>
      <c r="AT56" s="81"/>
      <c r="AU56" s="81"/>
      <c r="AV56" s="86" t="str">
        <f>HYPERLINK("https://pbs.twimg.com/profile_images/1422692606962716672/vssCrcL1_normal.jpg")</f>
        <v>https://pbs.twimg.com/profile_images/1422692606962716672/vssCrcL1_normal.jpg</v>
      </c>
      <c r="AW56" s="84" t="s">
        <v>769</v>
      </c>
      <c r="AX56" s="84" t="s">
        <v>769</v>
      </c>
      <c r="AY56" s="81"/>
      <c r="AZ56" s="84" t="s">
        <v>879</v>
      </c>
      <c r="BA56" s="84" t="s">
        <v>879</v>
      </c>
      <c r="BB56" s="84" t="s">
        <v>843</v>
      </c>
      <c r="BC56" s="84" t="s">
        <v>843</v>
      </c>
      <c r="BD56" s="84" t="s">
        <v>885</v>
      </c>
      <c r="BE56" s="81"/>
      <c r="BF56" s="81"/>
      <c r="BG56" s="81"/>
      <c r="BH56" s="81"/>
      <c r="BI56" s="81"/>
      <c r="BJ56">
        <v>1</v>
      </c>
      <c r="BK56" s="80" t="str">
        <f>REPLACE(INDEX(GroupVertices[Group], MATCH("~"&amp;Edges[[#This Row],[Vertex 1]],GroupVertices[Vertex],0)),1,1,"")</f>
        <v>15</v>
      </c>
      <c r="BL56" s="80" t="str">
        <f>REPLACE(INDEX(GroupVertices[Group], MATCH("~"&amp;Edges[[#This Row],[Vertex 2]],GroupVertices[Vertex],0)),1,1,"")</f>
        <v>15</v>
      </c>
      <c r="BM56" s="49">
        <v>2</v>
      </c>
      <c r="BN56" s="50">
        <v>9.0909090909090917</v>
      </c>
      <c r="BO56" s="49">
        <v>0</v>
      </c>
      <c r="BP56" s="50">
        <v>0</v>
      </c>
      <c r="BQ56" s="49">
        <v>0</v>
      </c>
      <c r="BR56" s="50">
        <v>0</v>
      </c>
      <c r="BS56" s="49">
        <v>10</v>
      </c>
      <c r="BT56" s="50">
        <v>45.454545454545453</v>
      </c>
      <c r="BU56" s="49">
        <v>22</v>
      </c>
    </row>
    <row r="57" spans="1:73" x14ac:dyDescent="0.25">
      <c r="A57" s="65" t="s">
        <v>249</v>
      </c>
      <c r="B57" s="65" t="s">
        <v>261</v>
      </c>
      <c r="C57" s="66" t="s">
        <v>10073</v>
      </c>
      <c r="D57" s="67">
        <v>3</v>
      </c>
      <c r="E57" s="68" t="s">
        <v>132</v>
      </c>
      <c r="F57" s="69">
        <v>35</v>
      </c>
      <c r="G57" s="66"/>
      <c r="H57" s="70"/>
      <c r="I57" s="71"/>
      <c r="J57" s="71"/>
      <c r="K57" s="35" t="s">
        <v>65</v>
      </c>
      <c r="L57" s="79">
        <v>57</v>
      </c>
      <c r="M57" s="79"/>
      <c r="N57" s="73"/>
      <c r="O57" s="81" t="s">
        <v>367</v>
      </c>
      <c r="P57" s="83">
        <v>45233.33766203704</v>
      </c>
      <c r="Q57" s="81" t="s">
        <v>382</v>
      </c>
      <c r="R57" s="81">
        <v>4</v>
      </c>
      <c r="S57" s="81">
        <v>15</v>
      </c>
      <c r="T57" s="81">
        <v>0</v>
      </c>
      <c r="U57" s="81">
        <v>1</v>
      </c>
      <c r="V57" s="81">
        <v>2001</v>
      </c>
      <c r="W57" s="84" t="s">
        <v>473</v>
      </c>
      <c r="X57" s="81"/>
      <c r="Y57" s="81"/>
      <c r="Z57" s="81" t="s">
        <v>526</v>
      </c>
      <c r="AA57" s="81"/>
      <c r="AB57" s="81"/>
      <c r="AC57" s="84" t="s">
        <v>579</v>
      </c>
      <c r="AD57" s="81" t="s">
        <v>588</v>
      </c>
      <c r="AE57" s="86" t="str">
        <f>HYPERLINK("https://twitter.com/jmcquarterly/status/1720351664719151216")</f>
        <v>https://twitter.com/jmcquarterly/status/1720351664719151216</v>
      </c>
      <c r="AF57" s="83">
        <v>45233.33766203704</v>
      </c>
      <c r="AG57" s="89">
        <v>45233</v>
      </c>
      <c r="AH57" s="84" t="s">
        <v>600</v>
      </c>
      <c r="AI57" s="81"/>
      <c r="AJ57" s="81"/>
      <c r="AK57" s="81"/>
      <c r="AL57" s="81"/>
      <c r="AM57" s="81"/>
      <c r="AN57" s="81"/>
      <c r="AO57" s="81"/>
      <c r="AP57" s="81"/>
      <c r="AQ57" s="81"/>
      <c r="AR57" s="81"/>
      <c r="AS57" s="81"/>
      <c r="AT57" s="81"/>
      <c r="AU57" s="81"/>
      <c r="AV57" s="86" t="str">
        <f>HYPERLINK("https://pbs.twimg.com/profile_images/1297970849820147712/3xME2yZ6_normal.jpg")</f>
        <v>https://pbs.twimg.com/profile_images/1297970849820147712/3xME2yZ6_normal.jpg</v>
      </c>
      <c r="AW57" s="84" t="s">
        <v>754</v>
      </c>
      <c r="AX57" s="84" t="s">
        <v>754</v>
      </c>
      <c r="AY57" s="81"/>
      <c r="AZ57" s="84" t="s">
        <v>879</v>
      </c>
      <c r="BA57" s="84" t="s">
        <v>879</v>
      </c>
      <c r="BB57" s="84" t="s">
        <v>879</v>
      </c>
      <c r="BC57" s="84" t="s">
        <v>754</v>
      </c>
      <c r="BD57" s="84" t="s">
        <v>876</v>
      </c>
      <c r="BE57" s="81"/>
      <c r="BF57" s="81"/>
      <c r="BG57" s="81"/>
      <c r="BH57" s="81"/>
      <c r="BI57" s="81"/>
      <c r="BJ57">
        <v>1</v>
      </c>
      <c r="BK57" s="80" t="str">
        <f>REPLACE(INDEX(GroupVertices[Group], MATCH("~"&amp;Edges[[#This Row],[Vertex 1]],GroupVertices[Vertex],0)),1,1,"")</f>
        <v>3</v>
      </c>
      <c r="BL57" s="80" t="str">
        <f>REPLACE(INDEX(GroupVertices[Group], MATCH("~"&amp;Edges[[#This Row],[Vertex 2]],GroupVertices[Vertex],0)),1,1,"")</f>
        <v>2</v>
      </c>
      <c r="BM57" s="49"/>
      <c r="BN57" s="50"/>
      <c r="BO57" s="49"/>
      <c r="BP57" s="50"/>
      <c r="BQ57" s="49"/>
      <c r="BR57" s="50"/>
      <c r="BS57" s="49"/>
      <c r="BT57" s="50"/>
      <c r="BU57" s="49"/>
    </row>
    <row r="58" spans="1:73" x14ac:dyDescent="0.25">
      <c r="A58" s="65" t="s">
        <v>252</v>
      </c>
      <c r="B58" s="65" t="s">
        <v>261</v>
      </c>
      <c r="C58" s="66" t="s">
        <v>10073</v>
      </c>
      <c r="D58" s="67">
        <v>3</v>
      </c>
      <c r="E58" s="68" t="s">
        <v>132</v>
      </c>
      <c r="F58" s="69">
        <v>35</v>
      </c>
      <c r="G58" s="66"/>
      <c r="H58" s="70"/>
      <c r="I58" s="71"/>
      <c r="J58" s="71"/>
      <c r="K58" s="35" t="s">
        <v>65</v>
      </c>
      <c r="L58" s="79">
        <v>58</v>
      </c>
      <c r="M58" s="79"/>
      <c r="N58" s="73"/>
      <c r="O58" s="81" t="s">
        <v>367</v>
      </c>
      <c r="P58" s="83">
        <v>45231.048402777778</v>
      </c>
      <c r="Q58" s="81" t="s">
        <v>391</v>
      </c>
      <c r="R58" s="81">
        <v>2</v>
      </c>
      <c r="S58" s="81">
        <v>2</v>
      </c>
      <c r="T58" s="81">
        <v>0</v>
      </c>
      <c r="U58" s="81">
        <v>0</v>
      </c>
      <c r="V58" s="81">
        <v>396</v>
      </c>
      <c r="W58" s="84" t="s">
        <v>476</v>
      </c>
      <c r="X58" s="86" t="str">
        <f>HYPERLINK("https://www.schooljobs.com/careers/bgsu/jobs/4264712/assistant-professor-school-of-media-and-communication?page=3&amp;pagetype=jobOpportunitiesJobs")</f>
        <v>https://www.schooljobs.com/careers/bgsu/jobs/4264712/assistant-professor-school-of-media-and-communication?page=3&amp;pagetype=jobOpportunitiesJobs</v>
      </c>
      <c r="Y58" s="81" t="s">
        <v>499</v>
      </c>
      <c r="Z58" s="81" t="s">
        <v>533</v>
      </c>
      <c r="AA58" s="81"/>
      <c r="AB58" s="81"/>
      <c r="AC58" s="84" t="s">
        <v>580</v>
      </c>
      <c r="AD58" s="81" t="s">
        <v>588</v>
      </c>
      <c r="AE58" s="86" t="str">
        <f>HYPERLINK("https://twitter.com/willthewordguy/status/1719522068411085041")</f>
        <v>https://twitter.com/willthewordguy/status/1719522068411085041</v>
      </c>
      <c r="AF58" s="83">
        <v>45231.048402777778</v>
      </c>
      <c r="AG58" s="89">
        <v>45231</v>
      </c>
      <c r="AH58" s="84" t="s">
        <v>612</v>
      </c>
      <c r="AI58" s="81" t="b">
        <v>0</v>
      </c>
      <c r="AJ58" s="81"/>
      <c r="AK58" s="81"/>
      <c r="AL58" s="81"/>
      <c r="AM58" s="81"/>
      <c r="AN58" s="81"/>
      <c r="AO58" s="81"/>
      <c r="AP58" s="81"/>
      <c r="AQ58" s="81"/>
      <c r="AR58" s="81"/>
      <c r="AS58" s="81"/>
      <c r="AT58" s="81"/>
      <c r="AU58" s="81"/>
      <c r="AV58" s="86" t="str">
        <f>HYPERLINK("https://pbs.twimg.com/profile_images/1331376273755664384/mF7tQg3B_normal.jpg")</f>
        <v>https://pbs.twimg.com/profile_images/1331376273755664384/mF7tQg3B_normal.jpg</v>
      </c>
      <c r="AW58" s="84" t="s">
        <v>766</v>
      </c>
      <c r="AX58" s="84" t="s">
        <v>766</v>
      </c>
      <c r="AY58" s="81"/>
      <c r="AZ58" s="84" t="s">
        <v>879</v>
      </c>
      <c r="BA58" s="84" t="s">
        <v>879</v>
      </c>
      <c r="BB58" s="84" t="s">
        <v>879</v>
      </c>
      <c r="BC58" s="84" t="s">
        <v>766</v>
      </c>
      <c r="BD58" s="81">
        <v>414179273</v>
      </c>
      <c r="BE58" s="81"/>
      <c r="BF58" s="81"/>
      <c r="BG58" s="81"/>
      <c r="BH58" s="81"/>
      <c r="BI58" s="81"/>
      <c r="BJ58">
        <v>1</v>
      </c>
      <c r="BK58" s="80" t="str">
        <f>REPLACE(INDEX(GroupVertices[Group], MATCH("~"&amp;Edges[[#This Row],[Vertex 1]],GroupVertices[Vertex],0)),1,1,"")</f>
        <v>2</v>
      </c>
      <c r="BL58" s="80" t="str">
        <f>REPLACE(INDEX(GroupVertices[Group], MATCH("~"&amp;Edges[[#This Row],[Vertex 2]],GroupVertices[Vertex],0)),1,1,"")</f>
        <v>2</v>
      </c>
      <c r="BM58" s="49"/>
      <c r="BN58" s="50"/>
      <c r="BO58" s="49"/>
      <c r="BP58" s="50"/>
      <c r="BQ58" s="49"/>
      <c r="BR58" s="50"/>
      <c r="BS58" s="49"/>
      <c r="BT58" s="50"/>
      <c r="BU58" s="49"/>
    </row>
    <row r="59" spans="1:73" x14ac:dyDescent="0.25">
      <c r="A59" s="65" t="s">
        <v>261</v>
      </c>
      <c r="B59" s="65" t="s">
        <v>261</v>
      </c>
      <c r="C59" s="66" t="s">
        <v>10073</v>
      </c>
      <c r="D59" s="67">
        <v>3</v>
      </c>
      <c r="E59" s="68" t="s">
        <v>132</v>
      </c>
      <c r="F59" s="69">
        <v>35</v>
      </c>
      <c r="G59" s="66"/>
      <c r="H59" s="70"/>
      <c r="I59" s="71"/>
      <c r="J59" s="71"/>
      <c r="K59" s="35" t="s">
        <v>65</v>
      </c>
      <c r="L59" s="79">
        <v>59</v>
      </c>
      <c r="M59" s="79"/>
      <c r="N59" s="73"/>
      <c r="O59" s="81" t="s">
        <v>367</v>
      </c>
      <c r="P59" s="83">
        <v>45234.818124999998</v>
      </c>
      <c r="Q59" s="81" t="s">
        <v>393</v>
      </c>
      <c r="R59" s="81">
        <v>1</v>
      </c>
      <c r="S59" s="81">
        <v>3</v>
      </c>
      <c r="T59" s="81">
        <v>0</v>
      </c>
      <c r="U59" s="81">
        <v>1</v>
      </c>
      <c r="V59" s="81">
        <v>580</v>
      </c>
      <c r="W59" s="84" t="s">
        <v>477</v>
      </c>
      <c r="X59" s="86" t="str">
        <f>HYPERLINK("https://olemiss.zoom.us/j/91781083553")</f>
        <v>https://olemiss.zoom.us/j/91781083553</v>
      </c>
      <c r="Y59" s="81" t="s">
        <v>502</v>
      </c>
      <c r="Z59" s="81" t="s">
        <v>261</v>
      </c>
      <c r="AA59" s="81" t="s">
        <v>558</v>
      </c>
      <c r="AB59" s="81" t="s">
        <v>575</v>
      </c>
      <c r="AC59" s="84" t="s">
        <v>582</v>
      </c>
      <c r="AD59" s="81" t="s">
        <v>588</v>
      </c>
      <c r="AE59" s="86" t="str">
        <f>HYPERLINK("https://twitter.com/aejmc_prd/status/1720888166104592768")</f>
        <v>https://twitter.com/aejmc_prd/status/1720888166104592768</v>
      </c>
      <c r="AF59" s="83">
        <v>45234.818124999998</v>
      </c>
      <c r="AG59" s="89">
        <v>45234</v>
      </c>
      <c r="AH59" s="84" t="s">
        <v>616</v>
      </c>
      <c r="AI59" s="81" t="b">
        <v>0</v>
      </c>
      <c r="AJ59" s="81"/>
      <c r="AK59" s="81"/>
      <c r="AL59" s="81"/>
      <c r="AM59" s="81"/>
      <c r="AN59" s="81"/>
      <c r="AO59" s="81"/>
      <c r="AP59" s="81"/>
      <c r="AQ59" s="81" t="s">
        <v>727</v>
      </c>
      <c r="AR59" s="81"/>
      <c r="AS59" s="81"/>
      <c r="AT59" s="81"/>
      <c r="AU59" s="81"/>
      <c r="AV59" s="86" t="str">
        <f>HYPERLINK("https://pbs.twimg.com/media/F-HRsi1WMAA2DI-.jpg")</f>
        <v>https://pbs.twimg.com/media/F-HRsi1WMAA2DI-.jpg</v>
      </c>
      <c r="AW59" s="84" t="s">
        <v>770</v>
      </c>
      <c r="AX59" s="84" t="s">
        <v>770</v>
      </c>
      <c r="AY59" s="81"/>
      <c r="AZ59" s="84" t="s">
        <v>879</v>
      </c>
      <c r="BA59" s="84" t="s">
        <v>879</v>
      </c>
      <c r="BB59" s="84" t="s">
        <v>879</v>
      </c>
      <c r="BC59" s="84" t="s">
        <v>770</v>
      </c>
      <c r="BD59" s="81">
        <v>48711250</v>
      </c>
      <c r="BE59" s="81"/>
      <c r="BF59" s="81"/>
      <c r="BG59" s="81"/>
      <c r="BH59" s="81"/>
      <c r="BI59" s="81"/>
      <c r="BJ59">
        <v>1</v>
      </c>
      <c r="BK59" s="80" t="str">
        <f>REPLACE(INDEX(GroupVertices[Group], MATCH("~"&amp;Edges[[#This Row],[Vertex 1]],GroupVertices[Vertex],0)),1,1,"")</f>
        <v>2</v>
      </c>
      <c r="BL59" s="80" t="str">
        <f>REPLACE(INDEX(GroupVertices[Group], MATCH("~"&amp;Edges[[#This Row],[Vertex 2]],GroupVertices[Vertex],0)),1,1,"")</f>
        <v>2</v>
      </c>
      <c r="BM59" s="49">
        <v>2</v>
      </c>
      <c r="BN59" s="50">
        <v>5.1282051282051286</v>
      </c>
      <c r="BO59" s="49">
        <v>0</v>
      </c>
      <c r="BP59" s="50">
        <v>0</v>
      </c>
      <c r="BQ59" s="49">
        <v>0</v>
      </c>
      <c r="BR59" s="50">
        <v>0</v>
      </c>
      <c r="BS59" s="49">
        <v>20</v>
      </c>
      <c r="BT59" s="50">
        <v>51.282051282051285</v>
      </c>
      <c r="BU59" s="49">
        <v>39</v>
      </c>
    </row>
    <row r="60" spans="1:73" x14ac:dyDescent="0.25">
      <c r="A60" s="65" t="s">
        <v>261</v>
      </c>
      <c r="B60" s="65" t="s">
        <v>268</v>
      </c>
      <c r="C60" s="66" t="s">
        <v>10073</v>
      </c>
      <c r="D60" s="67">
        <v>3</v>
      </c>
      <c r="E60" s="68" t="s">
        <v>132</v>
      </c>
      <c r="F60" s="69">
        <v>35</v>
      </c>
      <c r="G60" s="66"/>
      <c r="H60" s="70"/>
      <c r="I60" s="71"/>
      <c r="J60" s="71"/>
      <c r="K60" s="35" t="s">
        <v>65</v>
      </c>
      <c r="L60" s="79">
        <v>60</v>
      </c>
      <c r="M60" s="79"/>
      <c r="N60" s="73"/>
      <c r="O60" s="81" t="s">
        <v>367</v>
      </c>
      <c r="P60" s="83">
        <v>45222.782685185186</v>
      </c>
      <c r="Q60" s="81" t="s">
        <v>394</v>
      </c>
      <c r="R60" s="81">
        <v>2</v>
      </c>
      <c r="S60" s="81">
        <v>10</v>
      </c>
      <c r="T60" s="81">
        <v>1</v>
      </c>
      <c r="U60" s="81">
        <v>5</v>
      </c>
      <c r="V60" s="81">
        <v>2697</v>
      </c>
      <c r="W60" s="84" t="s">
        <v>478</v>
      </c>
      <c r="X60" s="81"/>
      <c r="Y60" s="81"/>
      <c r="Z60" s="81" t="s">
        <v>268</v>
      </c>
      <c r="AA60" s="81" t="s">
        <v>559</v>
      </c>
      <c r="AB60" s="81" t="s">
        <v>575</v>
      </c>
      <c r="AC60" s="84" t="s">
        <v>582</v>
      </c>
      <c r="AD60" s="81" t="s">
        <v>588</v>
      </c>
      <c r="AE60" s="86" t="str">
        <f>HYPERLINK("https://twitter.com/aejmc_prd/status/1716526669639614760")</f>
        <v>https://twitter.com/aejmc_prd/status/1716526669639614760</v>
      </c>
      <c r="AF60" s="83">
        <v>45222.782685185186</v>
      </c>
      <c r="AG60" s="89">
        <v>45222</v>
      </c>
      <c r="AH60" s="84" t="s">
        <v>617</v>
      </c>
      <c r="AI60" s="81" t="b">
        <v>0</v>
      </c>
      <c r="AJ60" s="81"/>
      <c r="AK60" s="81"/>
      <c r="AL60" s="81"/>
      <c r="AM60" s="81"/>
      <c r="AN60" s="81"/>
      <c r="AO60" s="81"/>
      <c r="AP60" s="81"/>
      <c r="AQ60" s="81" t="s">
        <v>728</v>
      </c>
      <c r="AR60" s="81"/>
      <c r="AS60" s="81"/>
      <c r="AT60" s="81"/>
      <c r="AU60" s="81"/>
      <c r="AV60" s="86" t="str">
        <f>HYPERLINK("https://pbs.twimg.com/media/F9JTS4GagAEmrtd.jpg")</f>
        <v>https://pbs.twimg.com/media/F9JTS4GagAEmrtd.jpg</v>
      </c>
      <c r="AW60" s="84" t="s">
        <v>771</v>
      </c>
      <c r="AX60" s="84" t="s">
        <v>771</v>
      </c>
      <c r="AY60" s="81"/>
      <c r="AZ60" s="84" t="s">
        <v>879</v>
      </c>
      <c r="BA60" s="84" t="s">
        <v>879</v>
      </c>
      <c r="BB60" s="84" t="s">
        <v>879</v>
      </c>
      <c r="BC60" s="84" t="s">
        <v>771</v>
      </c>
      <c r="BD60" s="81">
        <v>48711250</v>
      </c>
      <c r="BE60" s="81"/>
      <c r="BF60" s="81"/>
      <c r="BG60" s="81"/>
      <c r="BH60" s="81"/>
      <c r="BI60" s="81"/>
      <c r="BJ60">
        <v>1</v>
      </c>
      <c r="BK60" s="80" t="str">
        <f>REPLACE(INDEX(GroupVertices[Group], MATCH("~"&amp;Edges[[#This Row],[Vertex 1]],GroupVertices[Vertex],0)),1,1,"")</f>
        <v>2</v>
      </c>
      <c r="BL60" s="80" t="str">
        <f>REPLACE(INDEX(GroupVertices[Group], MATCH("~"&amp;Edges[[#This Row],[Vertex 2]],GroupVertices[Vertex],0)),1,1,"")</f>
        <v>1</v>
      </c>
      <c r="BM60" s="49">
        <v>2</v>
      </c>
      <c r="BN60" s="50">
        <v>4.5454545454545459</v>
      </c>
      <c r="BO60" s="49">
        <v>0</v>
      </c>
      <c r="BP60" s="50">
        <v>0</v>
      </c>
      <c r="BQ60" s="49">
        <v>0</v>
      </c>
      <c r="BR60" s="50">
        <v>0</v>
      </c>
      <c r="BS60" s="49">
        <v>23</v>
      </c>
      <c r="BT60" s="50">
        <v>52.272727272727273</v>
      </c>
      <c r="BU60" s="49">
        <v>44</v>
      </c>
    </row>
    <row r="61" spans="1:73" x14ac:dyDescent="0.25">
      <c r="A61" s="65" t="s">
        <v>261</v>
      </c>
      <c r="B61" s="65" t="s">
        <v>261</v>
      </c>
      <c r="C61" s="66" t="s">
        <v>10075</v>
      </c>
      <c r="D61" s="67">
        <v>10</v>
      </c>
      <c r="E61" s="68" t="s">
        <v>132</v>
      </c>
      <c r="F61" s="69">
        <v>12</v>
      </c>
      <c r="G61" s="66"/>
      <c r="H61" s="70"/>
      <c r="I61" s="71"/>
      <c r="J61" s="71"/>
      <c r="K61" s="35" t="s">
        <v>65</v>
      </c>
      <c r="L61" s="79">
        <v>61</v>
      </c>
      <c r="M61" s="79"/>
      <c r="N61" s="73"/>
      <c r="O61" s="81" t="s">
        <v>196</v>
      </c>
      <c r="P61" s="83">
        <v>45233.80972222222</v>
      </c>
      <c r="Q61" s="81" t="s">
        <v>395</v>
      </c>
      <c r="R61" s="81">
        <v>0</v>
      </c>
      <c r="S61" s="81">
        <v>1</v>
      </c>
      <c r="T61" s="81">
        <v>0</v>
      </c>
      <c r="U61" s="81">
        <v>0</v>
      </c>
      <c r="V61" s="81">
        <v>100</v>
      </c>
      <c r="W61" s="84" t="s">
        <v>479</v>
      </c>
      <c r="X61" s="86" t="str">
        <f>HYPERLINK("https://community.aejmc.org/publi.../publications/newsletter")</f>
        <v>https://community.aejmc.org/publi.../publications/newsletter</v>
      </c>
      <c r="Y61" s="81" t="s">
        <v>503</v>
      </c>
      <c r="Z61" s="81"/>
      <c r="AA61" s="81" t="s">
        <v>560</v>
      </c>
      <c r="AB61" s="81" t="s">
        <v>575</v>
      </c>
      <c r="AC61" s="84" t="s">
        <v>582</v>
      </c>
      <c r="AD61" s="81" t="s">
        <v>588</v>
      </c>
      <c r="AE61" s="86" t="str">
        <f>HYPERLINK("https://twitter.com/aejmc_prd/status/1720522733946093576")</f>
        <v>https://twitter.com/aejmc_prd/status/1720522733946093576</v>
      </c>
      <c r="AF61" s="83">
        <v>45233.80972222222</v>
      </c>
      <c r="AG61" s="89">
        <v>45233</v>
      </c>
      <c r="AH61" s="84" t="s">
        <v>618</v>
      </c>
      <c r="AI61" s="81" t="b">
        <v>0</v>
      </c>
      <c r="AJ61" s="81"/>
      <c r="AK61" s="81"/>
      <c r="AL61" s="81"/>
      <c r="AM61" s="81"/>
      <c r="AN61" s="81"/>
      <c r="AO61" s="81"/>
      <c r="AP61" s="81"/>
      <c r="AQ61" s="81" t="s">
        <v>729</v>
      </c>
      <c r="AR61" s="81"/>
      <c r="AS61" s="81"/>
      <c r="AT61" s="81"/>
      <c r="AU61" s="81"/>
      <c r="AV61" s="86" t="str">
        <f>HYPERLINK("https://pbs.twimg.com/media/F9tgJw4XIAAbXgn.jpg")</f>
        <v>https://pbs.twimg.com/media/F9tgJw4XIAAbXgn.jpg</v>
      </c>
      <c r="AW61" s="84" t="s">
        <v>772</v>
      </c>
      <c r="AX61" s="84" t="s">
        <v>772</v>
      </c>
      <c r="AY61" s="81"/>
      <c r="AZ61" s="84" t="s">
        <v>879</v>
      </c>
      <c r="BA61" s="84" t="s">
        <v>879</v>
      </c>
      <c r="BB61" s="84" t="s">
        <v>879</v>
      </c>
      <c r="BC61" s="84" t="s">
        <v>772</v>
      </c>
      <c r="BD61" s="81">
        <v>48711250</v>
      </c>
      <c r="BE61" s="81"/>
      <c r="BF61" s="81"/>
      <c r="BG61" s="81"/>
      <c r="BH61" s="81"/>
      <c r="BI61" s="81"/>
      <c r="BJ61">
        <v>3</v>
      </c>
      <c r="BK61" s="80" t="str">
        <f>REPLACE(INDEX(GroupVertices[Group], MATCH("~"&amp;Edges[[#This Row],[Vertex 1]],GroupVertices[Vertex],0)),1,1,"")</f>
        <v>2</v>
      </c>
      <c r="BL61" s="80" t="str">
        <f>REPLACE(INDEX(GroupVertices[Group], MATCH("~"&amp;Edges[[#This Row],[Vertex 2]],GroupVertices[Vertex],0)),1,1,"")</f>
        <v>2</v>
      </c>
      <c r="BM61" s="49">
        <v>0</v>
      </c>
      <c r="BN61" s="50">
        <v>0</v>
      </c>
      <c r="BO61" s="49">
        <v>1</v>
      </c>
      <c r="BP61" s="50">
        <v>4</v>
      </c>
      <c r="BQ61" s="49">
        <v>0</v>
      </c>
      <c r="BR61" s="50">
        <v>0</v>
      </c>
      <c r="BS61" s="49">
        <v>19</v>
      </c>
      <c r="BT61" s="50">
        <v>76</v>
      </c>
      <c r="BU61" s="49">
        <v>25</v>
      </c>
    </row>
    <row r="62" spans="1:73" x14ac:dyDescent="0.25">
      <c r="A62" s="65" t="s">
        <v>261</v>
      </c>
      <c r="B62" s="65" t="s">
        <v>261</v>
      </c>
      <c r="C62" s="66" t="s">
        <v>10075</v>
      </c>
      <c r="D62" s="67">
        <v>10</v>
      </c>
      <c r="E62" s="68" t="s">
        <v>132</v>
      </c>
      <c r="F62" s="69">
        <v>12</v>
      </c>
      <c r="G62" s="66"/>
      <c r="H62" s="70"/>
      <c r="I62" s="71"/>
      <c r="J62" s="71"/>
      <c r="K62" s="35" t="s">
        <v>65</v>
      </c>
      <c r="L62" s="79">
        <v>62</v>
      </c>
      <c r="M62" s="79"/>
      <c r="N62" s="73"/>
      <c r="O62" s="81" t="s">
        <v>196</v>
      </c>
      <c r="P62" s="83">
        <v>45230.655752314815</v>
      </c>
      <c r="Q62" s="81" t="s">
        <v>396</v>
      </c>
      <c r="R62" s="81">
        <v>0</v>
      </c>
      <c r="S62" s="81">
        <v>4</v>
      </c>
      <c r="T62" s="81">
        <v>0</v>
      </c>
      <c r="U62" s="81">
        <v>1</v>
      </c>
      <c r="V62" s="81">
        <v>336</v>
      </c>
      <c r="W62" s="84" t="s">
        <v>480</v>
      </c>
      <c r="X62" s="86" t="str">
        <f>HYPERLINK("https://kennesaw-edu.zoom.us/meeting/register/tZcpd-GurD0vHtOBt6ciqEa1hWY15Dijyo3R#/registration")</f>
        <v>https://kennesaw-edu.zoom.us/meeting/register/tZcpd-GurD0vHtOBt6ciqEa1hWY15Dijyo3R#/registration</v>
      </c>
      <c r="Y62" s="81" t="s">
        <v>502</v>
      </c>
      <c r="Z62" s="81"/>
      <c r="AA62" s="81" t="s">
        <v>561</v>
      </c>
      <c r="AB62" s="81" t="s">
        <v>575</v>
      </c>
      <c r="AC62" s="84" t="s">
        <v>582</v>
      </c>
      <c r="AD62" s="81" t="s">
        <v>588</v>
      </c>
      <c r="AE62" s="86" t="str">
        <f>HYPERLINK("https://twitter.com/aejmc_prd/status/1719379773795750043")</f>
        <v>https://twitter.com/aejmc_prd/status/1719379773795750043</v>
      </c>
      <c r="AF62" s="83">
        <v>45230.655752314815</v>
      </c>
      <c r="AG62" s="89">
        <v>45230</v>
      </c>
      <c r="AH62" s="84" t="s">
        <v>619</v>
      </c>
      <c r="AI62" s="81" t="b">
        <v>0</v>
      </c>
      <c r="AJ62" s="81"/>
      <c r="AK62" s="81"/>
      <c r="AL62" s="81"/>
      <c r="AM62" s="81"/>
      <c r="AN62" s="81"/>
      <c r="AO62" s="81"/>
      <c r="AP62" s="81"/>
      <c r="AQ62" s="81" t="s">
        <v>730</v>
      </c>
      <c r="AR62" s="81"/>
      <c r="AS62" s="81"/>
      <c r="AT62" s="81"/>
      <c r="AU62" s="81"/>
      <c r="AV62" s="86" t="str">
        <f>HYPERLINK("https://pbs.twimg.com/media/F9xslKgWEAAwHeM.jpg")</f>
        <v>https://pbs.twimg.com/media/F9xslKgWEAAwHeM.jpg</v>
      </c>
      <c r="AW62" s="84" t="s">
        <v>773</v>
      </c>
      <c r="AX62" s="84" t="s">
        <v>773</v>
      </c>
      <c r="AY62" s="81"/>
      <c r="AZ62" s="84" t="s">
        <v>879</v>
      </c>
      <c r="BA62" s="84" t="s">
        <v>879</v>
      </c>
      <c r="BB62" s="84" t="s">
        <v>879</v>
      </c>
      <c r="BC62" s="84" t="s">
        <v>773</v>
      </c>
      <c r="BD62" s="81">
        <v>48711250</v>
      </c>
      <c r="BE62" s="81"/>
      <c r="BF62" s="81"/>
      <c r="BG62" s="81"/>
      <c r="BH62" s="81"/>
      <c r="BI62" s="81"/>
      <c r="BJ62">
        <v>3</v>
      </c>
      <c r="BK62" s="80" t="str">
        <f>REPLACE(INDEX(GroupVertices[Group], MATCH("~"&amp;Edges[[#This Row],[Vertex 1]],GroupVertices[Vertex],0)),1,1,"")</f>
        <v>2</v>
      </c>
      <c r="BL62" s="80" t="str">
        <f>REPLACE(INDEX(GroupVertices[Group], MATCH("~"&amp;Edges[[#This Row],[Vertex 2]],GroupVertices[Vertex],0)),1,1,"")</f>
        <v>2</v>
      </c>
      <c r="BM62" s="49">
        <v>0</v>
      </c>
      <c r="BN62" s="50">
        <v>0</v>
      </c>
      <c r="BO62" s="49">
        <v>0</v>
      </c>
      <c r="BP62" s="50">
        <v>0</v>
      </c>
      <c r="BQ62" s="49">
        <v>0</v>
      </c>
      <c r="BR62" s="50">
        <v>0</v>
      </c>
      <c r="BS62" s="49">
        <v>14</v>
      </c>
      <c r="BT62" s="50">
        <v>58.333333333333336</v>
      </c>
      <c r="BU62" s="49">
        <v>24</v>
      </c>
    </row>
    <row r="63" spans="1:73" x14ac:dyDescent="0.25">
      <c r="A63" s="65" t="s">
        <v>261</v>
      </c>
      <c r="B63" s="65" t="s">
        <v>261</v>
      </c>
      <c r="C63" s="66" t="s">
        <v>10075</v>
      </c>
      <c r="D63" s="67">
        <v>10</v>
      </c>
      <c r="E63" s="68" t="s">
        <v>132</v>
      </c>
      <c r="F63" s="69">
        <v>12</v>
      </c>
      <c r="G63" s="66"/>
      <c r="H63" s="70"/>
      <c r="I63" s="71"/>
      <c r="J63" s="71"/>
      <c r="K63" s="35" t="s">
        <v>65</v>
      </c>
      <c r="L63" s="79">
        <v>63</v>
      </c>
      <c r="M63" s="79"/>
      <c r="N63" s="73"/>
      <c r="O63" s="81" t="s">
        <v>196</v>
      </c>
      <c r="P63" s="83">
        <v>45229.923611111109</v>
      </c>
      <c r="Q63" s="81" t="s">
        <v>397</v>
      </c>
      <c r="R63" s="81">
        <v>1</v>
      </c>
      <c r="S63" s="81">
        <v>4</v>
      </c>
      <c r="T63" s="81">
        <v>0</v>
      </c>
      <c r="U63" s="81">
        <v>0</v>
      </c>
      <c r="V63" s="81">
        <v>253</v>
      </c>
      <c r="W63" s="84" t="s">
        <v>481</v>
      </c>
      <c r="X63" s="81"/>
      <c r="Y63" s="81"/>
      <c r="Z63" s="81"/>
      <c r="AA63" s="81" t="s">
        <v>562</v>
      </c>
      <c r="AB63" s="81" t="s">
        <v>575</v>
      </c>
      <c r="AC63" s="84" t="s">
        <v>582</v>
      </c>
      <c r="AD63" s="81" t="s">
        <v>588</v>
      </c>
      <c r="AE63" s="86" t="str">
        <f>HYPERLINK("https://twitter.com/aejmc_prd/status/1719114454913446213")</f>
        <v>https://twitter.com/aejmc_prd/status/1719114454913446213</v>
      </c>
      <c r="AF63" s="83">
        <v>45229.923611111109</v>
      </c>
      <c r="AG63" s="89">
        <v>45229</v>
      </c>
      <c r="AH63" s="84" t="s">
        <v>620</v>
      </c>
      <c r="AI63" s="81" t="b">
        <v>0</v>
      </c>
      <c r="AJ63" s="81"/>
      <c r="AK63" s="81"/>
      <c r="AL63" s="81"/>
      <c r="AM63" s="81"/>
      <c r="AN63" s="81"/>
      <c r="AO63" s="81"/>
      <c r="AP63" s="81"/>
      <c r="AQ63" s="81" t="s">
        <v>731</v>
      </c>
      <c r="AR63" s="81"/>
      <c r="AS63" s="81"/>
      <c r="AT63" s="81"/>
      <c r="AU63" s="81"/>
      <c r="AV63" s="86" t="str">
        <f>HYPERLINK("https://pbs.twimg.com/media/F9tcXGJXEAAOUf6.jpg")</f>
        <v>https://pbs.twimg.com/media/F9tcXGJXEAAOUf6.jpg</v>
      </c>
      <c r="AW63" s="84" t="s">
        <v>774</v>
      </c>
      <c r="AX63" s="84" t="s">
        <v>774</v>
      </c>
      <c r="AY63" s="81"/>
      <c r="AZ63" s="84" t="s">
        <v>879</v>
      </c>
      <c r="BA63" s="84" t="s">
        <v>879</v>
      </c>
      <c r="BB63" s="84" t="s">
        <v>879</v>
      </c>
      <c r="BC63" s="84" t="s">
        <v>774</v>
      </c>
      <c r="BD63" s="81">
        <v>48711250</v>
      </c>
      <c r="BE63" s="81"/>
      <c r="BF63" s="81"/>
      <c r="BG63" s="81"/>
      <c r="BH63" s="81"/>
      <c r="BI63" s="81"/>
      <c r="BJ63">
        <v>3</v>
      </c>
      <c r="BK63" s="80" t="str">
        <f>REPLACE(INDEX(GroupVertices[Group], MATCH("~"&amp;Edges[[#This Row],[Vertex 1]],GroupVertices[Vertex],0)),1,1,"")</f>
        <v>2</v>
      </c>
      <c r="BL63" s="80" t="str">
        <f>REPLACE(INDEX(GroupVertices[Group], MATCH("~"&amp;Edges[[#This Row],[Vertex 2]],GroupVertices[Vertex],0)),1,1,"")</f>
        <v>2</v>
      </c>
      <c r="BM63" s="49">
        <v>1</v>
      </c>
      <c r="BN63" s="50">
        <v>7.1428571428571432</v>
      </c>
      <c r="BO63" s="49">
        <v>0</v>
      </c>
      <c r="BP63" s="50">
        <v>0</v>
      </c>
      <c r="BQ63" s="49">
        <v>0</v>
      </c>
      <c r="BR63" s="50">
        <v>0</v>
      </c>
      <c r="BS63" s="49">
        <v>10</v>
      </c>
      <c r="BT63" s="50">
        <v>71.428571428571431</v>
      </c>
      <c r="BU63" s="49">
        <v>14</v>
      </c>
    </row>
    <row r="64" spans="1:73" x14ac:dyDescent="0.25">
      <c r="A64" s="65" t="s">
        <v>262</v>
      </c>
      <c r="B64" s="65" t="s">
        <v>261</v>
      </c>
      <c r="C64" s="66" t="s">
        <v>10073</v>
      </c>
      <c r="D64" s="67">
        <v>3</v>
      </c>
      <c r="E64" s="68" t="s">
        <v>132</v>
      </c>
      <c r="F64" s="69">
        <v>35</v>
      </c>
      <c r="G64" s="66"/>
      <c r="H64" s="70"/>
      <c r="I64" s="71"/>
      <c r="J64" s="71"/>
      <c r="K64" s="35" t="s">
        <v>65</v>
      </c>
      <c r="L64" s="79">
        <v>64</v>
      </c>
      <c r="M64" s="79"/>
      <c r="N64" s="73"/>
      <c r="O64" s="81" t="s">
        <v>365</v>
      </c>
      <c r="P64" s="83">
        <v>45229.842766203707</v>
      </c>
      <c r="Q64" s="81" t="s">
        <v>398</v>
      </c>
      <c r="R64" s="81">
        <v>2</v>
      </c>
      <c r="S64" s="81">
        <v>0</v>
      </c>
      <c r="T64" s="81">
        <v>0</v>
      </c>
      <c r="U64" s="81">
        <v>0</v>
      </c>
      <c r="V64" s="81"/>
      <c r="W64" s="81"/>
      <c r="X64" s="81"/>
      <c r="Y64" s="81"/>
      <c r="Z64" s="81" t="s">
        <v>261</v>
      </c>
      <c r="AA64" s="81"/>
      <c r="AB64" s="81"/>
      <c r="AC64" s="84" t="s">
        <v>582</v>
      </c>
      <c r="AD64" s="81" t="s">
        <v>588</v>
      </c>
      <c r="AE64" s="86" t="str">
        <f>HYPERLINK("https://twitter.com/jpreprd/status/1719085160015229016")</f>
        <v>https://twitter.com/jpreprd/status/1719085160015229016</v>
      </c>
      <c r="AF64" s="83">
        <v>45229.842766203707</v>
      </c>
      <c r="AG64" s="89">
        <v>45229</v>
      </c>
      <c r="AH64" s="84" t="s">
        <v>621</v>
      </c>
      <c r="AI64" s="81"/>
      <c r="AJ64" s="81"/>
      <c r="AK64" s="81"/>
      <c r="AL64" s="81"/>
      <c r="AM64" s="81"/>
      <c r="AN64" s="81"/>
      <c r="AO64" s="81"/>
      <c r="AP64" s="81"/>
      <c r="AQ64" s="81"/>
      <c r="AR64" s="81"/>
      <c r="AS64" s="81"/>
      <c r="AT64" s="81"/>
      <c r="AU64" s="81"/>
      <c r="AV64" s="86" t="str">
        <f>HYPERLINK("https://pbs.twimg.com/profile_images/1436489393309683718/NZYg-bsj_normal.png")</f>
        <v>https://pbs.twimg.com/profile_images/1436489393309683718/NZYg-bsj_normal.png</v>
      </c>
      <c r="AW64" s="84" t="s">
        <v>775</v>
      </c>
      <c r="AX64" s="84" t="s">
        <v>775</v>
      </c>
      <c r="AY64" s="81"/>
      <c r="AZ64" s="84" t="s">
        <v>879</v>
      </c>
      <c r="BA64" s="84" t="s">
        <v>879</v>
      </c>
      <c r="BB64" s="84" t="s">
        <v>771</v>
      </c>
      <c r="BC64" s="84" t="s">
        <v>771</v>
      </c>
      <c r="BD64" s="84" t="s">
        <v>886</v>
      </c>
      <c r="BE64" s="81"/>
      <c r="BF64" s="81"/>
      <c r="BG64" s="81"/>
      <c r="BH64" s="81"/>
      <c r="BI64" s="81"/>
      <c r="BJ64">
        <v>1</v>
      </c>
      <c r="BK64" s="80" t="str">
        <f>REPLACE(INDEX(GroupVertices[Group], MATCH("~"&amp;Edges[[#This Row],[Vertex 1]],GroupVertices[Vertex],0)),1,1,"")</f>
        <v>2</v>
      </c>
      <c r="BL64" s="80" t="str">
        <f>REPLACE(INDEX(GroupVertices[Group], MATCH("~"&amp;Edges[[#This Row],[Vertex 2]],GroupVertices[Vertex],0)),1,1,"")</f>
        <v>2</v>
      </c>
      <c r="BM64" s="49">
        <v>1</v>
      </c>
      <c r="BN64" s="50">
        <v>4.5454545454545459</v>
      </c>
      <c r="BO64" s="49">
        <v>0</v>
      </c>
      <c r="BP64" s="50">
        <v>0</v>
      </c>
      <c r="BQ64" s="49">
        <v>0</v>
      </c>
      <c r="BR64" s="50">
        <v>0</v>
      </c>
      <c r="BS64" s="49">
        <v>14</v>
      </c>
      <c r="BT64" s="50">
        <v>63.636363636363633</v>
      </c>
      <c r="BU64" s="49">
        <v>22</v>
      </c>
    </row>
    <row r="65" spans="1:73" x14ac:dyDescent="0.25">
      <c r="A65" s="65" t="s">
        <v>263</v>
      </c>
      <c r="B65" s="65" t="s">
        <v>263</v>
      </c>
      <c r="C65" s="66" t="s">
        <v>10073</v>
      </c>
      <c r="D65" s="67">
        <v>3</v>
      </c>
      <c r="E65" s="68" t="s">
        <v>132</v>
      </c>
      <c r="F65" s="69">
        <v>35</v>
      </c>
      <c r="G65" s="66"/>
      <c r="H65" s="70"/>
      <c r="I65" s="71"/>
      <c r="J65" s="71"/>
      <c r="K65" s="35" t="s">
        <v>65</v>
      </c>
      <c r="L65" s="79">
        <v>65</v>
      </c>
      <c r="M65" s="79"/>
      <c r="N65" s="73"/>
      <c r="O65" s="81" t="s">
        <v>196</v>
      </c>
      <c r="P65" s="83">
        <v>45230.79315972222</v>
      </c>
      <c r="Q65" s="81" t="s">
        <v>399</v>
      </c>
      <c r="R65" s="81">
        <v>0</v>
      </c>
      <c r="S65" s="81">
        <v>0</v>
      </c>
      <c r="T65" s="81">
        <v>0</v>
      </c>
      <c r="U65" s="81">
        <v>0</v>
      </c>
      <c r="V65" s="81">
        <v>98</v>
      </c>
      <c r="W65" s="81"/>
      <c r="X65" s="81"/>
      <c r="Y65" s="81"/>
      <c r="Z65" s="81"/>
      <c r="AA65" s="81" t="s">
        <v>563</v>
      </c>
      <c r="AB65" s="81" t="s">
        <v>576</v>
      </c>
      <c r="AC65" s="84" t="s">
        <v>582</v>
      </c>
      <c r="AD65" s="81" t="s">
        <v>588</v>
      </c>
      <c r="AE65" s="86" t="str">
        <f>HYPERLINK("https://twitter.com/icd_aejmc/status/1719429570024091940")</f>
        <v>https://twitter.com/icd_aejmc/status/1719429570024091940</v>
      </c>
      <c r="AF65" s="83">
        <v>45230.79315972222</v>
      </c>
      <c r="AG65" s="89">
        <v>45230</v>
      </c>
      <c r="AH65" s="84" t="s">
        <v>622</v>
      </c>
      <c r="AI65" s="81" t="b">
        <v>0</v>
      </c>
      <c r="AJ65" s="81"/>
      <c r="AK65" s="81"/>
      <c r="AL65" s="81"/>
      <c r="AM65" s="81"/>
      <c r="AN65" s="81"/>
      <c r="AO65" s="81"/>
      <c r="AP65" s="81"/>
      <c r="AQ65" s="81" t="s">
        <v>732</v>
      </c>
      <c r="AR65" s="81"/>
      <c r="AS65" s="81"/>
      <c r="AT65" s="81"/>
      <c r="AU65" s="81"/>
      <c r="AV65" s="86" t="str">
        <f>HYPERLINK("https://pbs.twimg.com/media/F9ykDLJX0AAhAKG.jpg")</f>
        <v>https://pbs.twimg.com/media/F9ykDLJX0AAhAKG.jpg</v>
      </c>
      <c r="AW65" s="84" t="s">
        <v>776</v>
      </c>
      <c r="AX65" s="84" t="s">
        <v>776</v>
      </c>
      <c r="AY65" s="81"/>
      <c r="AZ65" s="84" t="s">
        <v>879</v>
      </c>
      <c r="BA65" s="84" t="s">
        <v>879</v>
      </c>
      <c r="BB65" s="84" t="s">
        <v>879</v>
      </c>
      <c r="BC65" s="84" t="s">
        <v>776</v>
      </c>
      <c r="BD65" s="81">
        <v>1636606320</v>
      </c>
      <c r="BE65" s="81"/>
      <c r="BF65" s="81"/>
      <c r="BG65" s="81"/>
      <c r="BH65" s="81"/>
      <c r="BI65" s="81"/>
      <c r="BJ65">
        <v>1</v>
      </c>
      <c r="BK65" s="80" t="str">
        <f>REPLACE(INDEX(GroupVertices[Group], MATCH("~"&amp;Edges[[#This Row],[Vertex 1]],GroupVertices[Vertex],0)),1,1,"")</f>
        <v>13</v>
      </c>
      <c r="BL65" s="80" t="str">
        <f>REPLACE(INDEX(GroupVertices[Group], MATCH("~"&amp;Edges[[#This Row],[Vertex 2]],GroupVertices[Vertex],0)),1,1,"")</f>
        <v>13</v>
      </c>
      <c r="BM65" s="49">
        <v>0</v>
      </c>
      <c r="BN65" s="50">
        <v>0</v>
      </c>
      <c r="BO65" s="49">
        <v>0</v>
      </c>
      <c r="BP65" s="50">
        <v>0</v>
      </c>
      <c r="BQ65" s="49">
        <v>0</v>
      </c>
      <c r="BR65" s="50">
        <v>0</v>
      </c>
      <c r="BS65" s="49">
        <v>22</v>
      </c>
      <c r="BT65" s="50">
        <v>68.75</v>
      </c>
      <c r="BU65" s="49">
        <v>32</v>
      </c>
    </row>
    <row r="66" spans="1:73" x14ac:dyDescent="0.25">
      <c r="A66" s="65" t="s">
        <v>264</v>
      </c>
      <c r="B66" s="65" t="s">
        <v>306</v>
      </c>
      <c r="C66" s="66" t="s">
        <v>10073</v>
      </c>
      <c r="D66" s="67">
        <v>3</v>
      </c>
      <c r="E66" s="68" t="s">
        <v>132</v>
      </c>
      <c r="F66" s="69">
        <v>35</v>
      </c>
      <c r="G66" s="66"/>
      <c r="H66" s="70"/>
      <c r="I66" s="71"/>
      <c r="J66" s="71"/>
      <c r="K66" s="35" t="s">
        <v>65</v>
      </c>
      <c r="L66" s="79">
        <v>66</v>
      </c>
      <c r="M66" s="79"/>
      <c r="N66" s="73"/>
      <c r="O66" s="81" t="s">
        <v>365</v>
      </c>
      <c r="P66" s="83">
        <v>45235.070960648147</v>
      </c>
      <c r="Q66" s="81" t="s">
        <v>383</v>
      </c>
      <c r="R66" s="81">
        <v>4</v>
      </c>
      <c r="S66" s="81">
        <v>0</v>
      </c>
      <c r="T66" s="81">
        <v>0</v>
      </c>
      <c r="U66" s="81">
        <v>0</v>
      </c>
      <c r="V66" s="81"/>
      <c r="W66" s="81"/>
      <c r="X66" s="81"/>
      <c r="Y66" s="81"/>
      <c r="Z66" s="81" t="s">
        <v>306</v>
      </c>
      <c r="AA66" s="81"/>
      <c r="AB66" s="81"/>
      <c r="AC66" s="84" t="s">
        <v>580</v>
      </c>
      <c r="AD66" s="81" t="s">
        <v>588</v>
      </c>
      <c r="AE66" s="86" t="str">
        <f>HYPERLINK("https://twitter.com/drefb1/status/1720979792630370409")</f>
        <v>https://twitter.com/drefb1/status/1720979792630370409</v>
      </c>
      <c r="AF66" s="83">
        <v>45235.070960648147</v>
      </c>
      <c r="AG66" s="89">
        <v>45235</v>
      </c>
      <c r="AH66" s="84" t="s">
        <v>623</v>
      </c>
      <c r="AI66" s="81"/>
      <c r="AJ66" s="81"/>
      <c r="AK66" s="81"/>
      <c r="AL66" s="81"/>
      <c r="AM66" s="81"/>
      <c r="AN66" s="81"/>
      <c r="AO66" s="81"/>
      <c r="AP66" s="81"/>
      <c r="AQ66" s="81"/>
      <c r="AR66" s="81"/>
      <c r="AS66" s="81"/>
      <c r="AT66" s="81"/>
      <c r="AU66" s="81"/>
      <c r="AV66" s="86" t="str">
        <f>HYPERLINK("https://pbs.twimg.com/profile_images/1250098700296175618/S-7T9ZM4_normal.jpg")</f>
        <v>https://pbs.twimg.com/profile_images/1250098700296175618/S-7T9ZM4_normal.jpg</v>
      </c>
      <c r="AW66" s="84" t="s">
        <v>777</v>
      </c>
      <c r="AX66" s="84" t="s">
        <v>777</v>
      </c>
      <c r="AY66" s="81"/>
      <c r="AZ66" s="84" t="s">
        <v>879</v>
      </c>
      <c r="BA66" s="84" t="s">
        <v>879</v>
      </c>
      <c r="BB66" s="84" t="s">
        <v>870</v>
      </c>
      <c r="BC66" s="84" t="s">
        <v>870</v>
      </c>
      <c r="BD66" s="84" t="s">
        <v>887</v>
      </c>
      <c r="BE66" s="81"/>
      <c r="BF66" s="81"/>
      <c r="BG66" s="81"/>
      <c r="BH66" s="81"/>
      <c r="BI66" s="81"/>
      <c r="BJ66">
        <v>1</v>
      </c>
      <c r="BK66" s="80" t="str">
        <f>REPLACE(INDEX(GroupVertices[Group], MATCH("~"&amp;Edges[[#This Row],[Vertex 1]],GroupVertices[Vertex],0)),1,1,"")</f>
        <v>7</v>
      </c>
      <c r="BL66" s="80" t="str">
        <f>REPLACE(INDEX(GroupVertices[Group], MATCH("~"&amp;Edges[[#This Row],[Vertex 2]],GroupVertices[Vertex],0)),1,1,"")</f>
        <v>7</v>
      </c>
      <c r="BM66" s="49">
        <v>1</v>
      </c>
      <c r="BN66" s="50">
        <v>4.5454545454545459</v>
      </c>
      <c r="BO66" s="49">
        <v>0</v>
      </c>
      <c r="BP66" s="50">
        <v>0</v>
      </c>
      <c r="BQ66" s="49">
        <v>0</v>
      </c>
      <c r="BR66" s="50">
        <v>0</v>
      </c>
      <c r="BS66" s="49">
        <v>14</v>
      </c>
      <c r="BT66" s="50">
        <v>63.636363636363633</v>
      </c>
      <c r="BU66" s="49">
        <v>22</v>
      </c>
    </row>
    <row r="67" spans="1:73" x14ac:dyDescent="0.25">
      <c r="A67" s="65" t="s">
        <v>265</v>
      </c>
      <c r="B67" s="65" t="s">
        <v>312</v>
      </c>
      <c r="C67" s="66" t="s">
        <v>10073</v>
      </c>
      <c r="D67" s="67">
        <v>3</v>
      </c>
      <c r="E67" s="68" t="s">
        <v>132</v>
      </c>
      <c r="F67" s="69">
        <v>35</v>
      </c>
      <c r="G67" s="66"/>
      <c r="H67" s="70"/>
      <c r="I67" s="71"/>
      <c r="J67" s="71"/>
      <c r="K67" s="35" t="s">
        <v>65</v>
      </c>
      <c r="L67" s="79">
        <v>67</v>
      </c>
      <c r="M67" s="79"/>
      <c r="N67" s="73"/>
      <c r="O67" s="81" t="s">
        <v>366</v>
      </c>
      <c r="P67" s="83">
        <v>45232.01703703704</v>
      </c>
      <c r="Q67" s="81" t="s">
        <v>379</v>
      </c>
      <c r="R67" s="81">
        <v>5</v>
      </c>
      <c r="S67" s="81">
        <v>0</v>
      </c>
      <c r="T67" s="81">
        <v>0</v>
      </c>
      <c r="U67" s="81">
        <v>0</v>
      </c>
      <c r="V67" s="81"/>
      <c r="W67" s="81"/>
      <c r="X67" s="81"/>
      <c r="Y67" s="81"/>
      <c r="Z67" s="81" t="s">
        <v>523</v>
      </c>
      <c r="AA67" s="81"/>
      <c r="AB67" s="81"/>
      <c r="AC67" s="84" t="s">
        <v>579</v>
      </c>
      <c r="AD67" s="81" t="s">
        <v>588</v>
      </c>
      <c r="AE67" s="86" t="str">
        <f>HYPERLINK("https://twitter.com/dave_parisi/status/1719873085816369246")</f>
        <v>https://twitter.com/dave_parisi/status/1719873085816369246</v>
      </c>
      <c r="AF67" s="83">
        <v>45232.01703703704</v>
      </c>
      <c r="AG67" s="89">
        <v>45232</v>
      </c>
      <c r="AH67" s="84" t="s">
        <v>624</v>
      </c>
      <c r="AI67" s="81"/>
      <c r="AJ67" s="81"/>
      <c r="AK67" s="81"/>
      <c r="AL67" s="81"/>
      <c r="AM67" s="81"/>
      <c r="AN67" s="81"/>
      <c r="AO67" s="81"/>
      <c r="AP67" s="81"/>
      <c r="AQ67" s="81"/>
      <c r="AR67" s="81"/>
      <c r="AS67" s="81"/>
      <c r="AT67" s="81"/>
      <c r="AU67" s="81"/>
      <c r="AV67" s="86" t="str">
        <f>HYPERLINK("https://pbs.twimg.com/profile_images/1495073752341782540/tSJocytd_normal.jpg")</f>
        <v>https://pbs.twimg.com/profile_images/1495073752341782540/tSJocytd_normal.jpg</v>
      </c>
      <c r="AW67" s="84" t="s">
        <v>778</v>
      </c>
      <c r="AX67" s="84" t="s">
        <v>778</v>
      </c>
      <c r="AY67" s="81"/>
      <c r="AZ67" s="84" t="s">
        <v>879</v>
      </c>
      <c r="BA67" s="84" t="s">
        <v>879</v>
      </c>
      <c r="BB67" s="84" t="s">
        <v>757</v>
      </c>
      <c r="BC67" s="84" t="s">
        <v>757</v>
      </c>
      <c r="BD67" s="81">
        <v>438476687</v>
      </c>
      <c r="BE67" s="81"/>
      <c r="BF67" s="81"/>
      <c r="BG67" s="81"/>
      <c r="BH67" s="81"/>
      <c r="BI67" s="81"/>
      <c r="BJ67">
        <v>1</v>
      </c>
      <c r="BK67" s="80" t="str">
        <f>REPLACE(INDEX(GroupVertices[Group], MATCH("~"&amp;Edges[[#This Row],[Vertex 1]],GroupVertices[Vertex],0)),1,1,"")</f>
        <v>2</v>
      </c>
      <c r="BL67" s="80" t="str">
        <f>REPLACE(INDEX(GroupVertices[Group], MATCH("~"&amp;Edges[[#This Row],[Vertex 2]],GroupVertices[Vertex],0)),1,1,"")</f>
        <v>2</v>
      </c>
      <c r="BM67" s="49"/>
      <c r="BN67" s="50"/>
      <c r="BO67" s="49"/>
      <c r="BP67" s="50"/>
      <c r="BQ67" s="49"/>
      <c r="BR67" s="50"/>
      <c r="BS67" s="49"/>
      <c r="BT67" s="50"/>
      <c r="BU67" s="49"/>
    </row>
    <row r="68" spans="1:73" x14ac:dyDescent="0.25">
      <c r="A68" s="65" t="s">
        <v>265</v>
      </c>
      <c r="B68" s="65" t="s">
        <v>252</v>
      </c>
      <c r="C68" s="66" t="s">
        <v>10073</v>
      </c>
      <c r="D68" s="67">
        <v>3</v>
      </c>
      <c r="E68" s="68" t="s">
        <v>132</v>
      </c>
      <c r="F68" s="69">
        <v>35</v>
      </c>
      <c r="G68" s="66"/>
      <c r="H68" s="70"/>
      <c r="I68" s="71"/>
      <c r="J68" s="71"/>
      <c r="K68" s="35" t="s">
        <v>65</v>
      </c>
      <c r="L68" s="79">
        <v>68</v>
      </c>
      <c r="M68" s="79"/>
      <c r="N68" s="73"/>
      <c r="O68" s="81" t="s">
        <v>365</v>
      </c>
      <c r="P68" s="83">
        <v>45232.01703703704</v>
      </c>
      <c r="Q68" s="81" t="s">
        <v>379</v>
      </c>
      <c r="R68" s="81">
        <v>5</v>
      </c>
      <c r="S68" s="81">
        <v>0</v>
      </c>
      <c r="T68" s="81">
        <v>0</v>
      </c>
      <c r="U68" s="81">
        <v>0</v>
      </c>
      <c r="V68" s="81"/>
      <c r="W68" s="81"/>
      <c r="X68" s="81"/>
      <c r="Y68" s="81"/>
      <c r="Z68" s="81" t="s">
        <v>523</v>
      </c>
      <c r="AA68" s="81"/>
      <c r="AB68" s="81"/>
      <c r="AC68" s="84" t="s">
        <v>579</v>
      </c>
      <c r="AD68" s="81" t="s">
        <v>588</v>
      </c>
      <c r="AE68" s="86" t="str">
        <f>HYPERLINK("https://twitter.com/dave_parisi/status/1719873085816369246")</f>
        <v>https://twitter.com/dave_parisi/status/1719873085816369246</v>
      </c>
      <c r="AF68" s="83">
        <v>45232.01703703704</v>
      </c>
      <c r="AG68" s="89">
        <v>45232</v>
      </c>
      <c r="AH68" s="84" t="s">
        <v>624</v>
      </c>
      <c r="AI68" s="81"/>
      <c r="AJ68" s="81"/>
      <c r="AK68" s="81"/>
      <c r="AL68" s="81"/>
      <c r="AM68" s="81"/>
      <c r="AN68" s="81"/>
      <c r="AO68" s="81"/>
      <c r="AP68" s="81"/>
      <c r="AQ68" s="81"/>
      <c r="AR68" s="81"/>
      <c r="AS68" s="81"/>
      <c r="AT68" s="81"/>
      <c r="AU68" s="81"/>
      <c r="AV68" s="86" t="str">
        <f>HYPERLINK("https://pbs.twimg.com/profile_images/1495073752341782540/tSJocytd_normal.jpg")</f>
        <v>https://pbs.twimg.com/profile_images/1495073752341782540/tSJocytd_normal.jpg</v>
      </c>
      <c r="AW68" s="84" t="s">
        <v>778</v>
      </c>
      <c r="AX68" s="84" t="s">
        <v>778</v>
      </c>
      <c r="AY68" s="81"/>
      <c r="AZ68" s="84" t="s">
        <v>879</v>
      </c>
      <c r="BA68" s="84" t="s">
        <v>879</v>
      </c>
      <c r="BB68" s="84" t="s">
        <v>757</v>
      </c>
      <c r="BC68" s="84" t="s">
        <v>757</v>
      </c>
      <c r="BD68" s="81">
        <v>438476687</v>
      </c>
      <c r="BE68" s="81"/>
      <c r="BF68" s="81"/>
      <c r="BG68" s="81"/>
      <c r="BH68" s="81"/>
      <c r="BI68" s="81"/>
      <c r="BJ68">
        <v>1</v>
      </c>
      <c r="BK68" s="80" t="str">
        <f>REPLACE(INDEX(GroupVertices[Group], MATCH("~"&amp;Edges[[#This Row],[Vertex 1]],GroupVertices[Vertex],0)),1,1,"")</f>
        <v>2</v>
      </c>
      <c r="BL68" s="80" t="str">
        <f>REPLACE(INDEX(GroupVertices[Group], MATCH("~"&amp;Edges[[#This Row],[Vertex 2]],GroupVertices[Vertex],0)),1,1,"")</f>
        <v>2</v>
      </c>
      <c r="BM68" s="49">
        <v>0</v>
      </c>
      <c r="BN68" s="50">
        <v>0</v>
      </c>
      <c r="BO68" s="49">
        <v>0</v>
      </c>
      <c r="BP68" s="50">
        <v>0</v>
      </c>
      <c r="BQ68" s="49">
        <v>0</v>
      </c>
      <c r="BR68" s="50">
        <v>0</v>
      </c>
      <c r="BS68" s="49">
        <v>10</v>
      </c>
      <c r="BT68" s="50">
        <v>58.823529411764703</v>
      </c>
      <c r="BU68" s="49">
        <v>17</v>
      </c>
    </row>
    <row r="69" spans="1:73" x14ac:dyDescent="0.25">
      <c r="A69" s="65" t="s">
        <v>266</v>
      </c>
      <c r="B69" s="65" t="s">
        <v>268</v>
      </c>
      <c r="C69" s="66" t="s">
        <v>10073</v>
      </c>
      <c r="D69" s="67">
        <v>3</v>
      </c>
      <c r="E69" s="68" t="s">
        <v>132</v>
      </c>
      <c r="F69" s="69">
        <v>35</v>
      </c>
      <c r="G69" s="66"/>
      <c r="H69" s="70"/>
      <c r="I69" s="71"/>
      <c r="J69" s="71"/>
      <c r="K69" s="35" t="s">
        <v>65</v>
      </c>
      <c r="L69" s="79">
        <v>69</v>
      </c>
      <c r="M69" s="79"/>
      <c r="N69" s="73"/>
      <c r="O69" s="81" t="s">
        <v>366</v>
      </c>
      <c r="P69" s="83">
        <v>45233.898136574076</v>
      </c>
      <c r="Q69" s="81" t="s">
        <v>400</v>
      </c>
      <c r="R69" s="81">
        <v>1</v>
      </c>
      <c r="S69" s="81">
        <v>0</v>
      </c>
      <c r="T69" s="81">
        <v>0</v>
      </c>
      <c r="U69" s="81">
        <v>0</v>
      </c>
      <c r="V69" s="81"/>
      <c r="W69" s="84" t="s">
        <v>474</v>
      </c>
      <c r="X69" s="86" t="str">
        <f>HYPERLINK("https://www.higheredjobs.com/faculty/details.cfm?JobCode=178596886")</f>
        <v>https://www.higheredjobs.com/faculty/details.cfm?JobCode=178596886</v>
      </c>
      <c r="Y69" s="81" t="s">
        <v>498</v>
      </c>
      <c r="Z69" s="81" t="s">
        <v>530</v>
      </c>
      <c r="AA69" s="81"/>
      <c r="AB69" s="81"/>
      <c r="AC69" s="84" t="s">
        <v>580</v>
      </c>
      <c r="AD69" s="81" t="s">
        <v>588</v>
      </c>
      <c r="AE69" s="86" t="str">
        <f>HYPERLINK("https://twitter.com/llassabe/status/1720554776251838636")</f>
        <v>https://twitter.com/llassabe/status/1720554776251838636</v>
      </c>
      <c r="AF69" s="83">
        <v>45233.898136574076</v>
      </c>
      <c r="AG69" s="89">
        <v>45233</v>
      </c>
      <c r="AH69" s="84" t="s">
        <v>625</v>
      </c>
      <c r="AI69" s="81" t="b">
        <v>0</v>
      </c>
      <c r="AJ69" s="81"/>
      <c r="AK69" s="81"/>
      <c r="AL69" s="81"/>
      <c r="AM69" s="81"/>
      <c r="AN69" s="81"/>
      <c r="AO69" s="81"/>
      <c r="AP69" s="81"/>
      <c r="AQ69" s="81"/>
      <c r="AR69" s="81"/>
      <c r="AS69" s="81"/>
      <c r="AT69" s="81"/>
      <c r="AU69" s="81"/>
      <c r="AV69" s="86" t="str">
        <f>HYPERLINK("https://pbs.twimg.com/profile_images/1695196813077237760/dUrkZteM_normal.jpg")</f>
        <v>https://pbs.twimg.com/profile_images/1695196813077237760/dUrkZteM_normal.jpg</v>
      </c>
      <c r="AW69" s="84" t="s">
        <v>779</v>
      </c>
      <c r="AX69" s="84" t="s">
        <v>779</v>
      </c>
      <c r="AY69" s="81"/>
      <c r="AZ69" s="84" t="s">
        <v>879</v>
      </c>
      <c r="BA69" s="84" t="s">
        <v>879</v>
      </c>
      <c r="BB69" s="84" t="s">
        <v>856</v>
      </c>
      <c r="BC69" s="84" t="s">
        <v>856</v>
      </c>
      <c r="BD69" s="81">
        <v>48086979</v>
      </c>
      <c r="BE69" s="81"/>
      <c r="BF69" s="81"/>
      <c r="BG69" s="81"/>
      <c r="BH69" s="81"/>
      <c r="BI69" s="81"/>
      <c r="BJ69">
        <v>1</v>
      </c>
      <c r="BK69" s="80" t="str">
        <f>REPLACE(INDEX(GroupVertices[Group], MATCH("~"&amp;Edges[[#This Row],[Vertex 1]],GroupVertices[Vertex],0)),1,1,"")</f>
        <v>2</v>
      </c>
      <c r="BL69" s="80" t="str">
        <f>REPLACE(INDEX(GroupVertices[Group], MATCH("~"&amp;Edges[[#This Row],[Vertex 2]],GroupVertices[Vertex],0)),1,1,"")</f>
        <v>1</v>
      </c>
      <c r="BM69" s="49"/>
      <c r="BN69" s="50"/>
      <c r="BO69" s="49"/>
      <c r="BP69" s="50"/>
      <c r="BQ69" s="49"/>
      <c r="BR69" s="50"/>
      <c r="BS69" s="49"/>
      <c r="BT69" s="50"/>
      <c r="BU69" s="49"/>
    </row>
    <row r="70" spans="1:73" x14ac:dyDescent="0.25">
      <c r="A70" s="65" t="s">
        <v>266</v>
      </c>
      <c r="B70" s="65" t="s">
        <v>252</v>
      </c>
      <c r="C70" s="66" t="s">
        <v>10073</v>
      </c>
      <c r="D70" s="67">
        <v>3</v>
      </c>
      <c r="E70" s="68" t="s">
        <v>132</v>
      </c>
      <c r="F70" s="69">
        <v>35</v>
      </c>
      <c r="G70" s="66"/>
      <c r="H70" s="70"/>
      <c r="I70" s="71"/>
      <c r="J70" s="71"/>
      <c r="K70" s="35" t="s">
        <v>65</v>
      </c>
      <c r="L70" s="79">
        <v>70</v>
      </c>
      <c r="M70" s="79"/>
      <c r="N70" s="73"/>
      <c r="O70" s="81" t="s">
        <v>365</v>
      </c>
      <c r="P70" s="83">
        <v>45233.898136574076</v>
      </c>
      <c r="Q70" s="81" t="s">
        <v>400</v>
      </c>
      <c r="R70" s="81">
        <v>1</v>
      </c>
      <c r="S70" s="81">
        <v>0</v>
      </c>
      <c r="T70" s="81">
        <v>0</v>
      </c>
      <c r="U70" s="81">
        <v>0</v>
      </c>
      <c r="V70" s="81"/>
      <c r="W70" s="84" t="s">
        <v>474</v>
      </c>
      <c r="X70" s="86" t="str">
        <f>HYPERLINK("https://www.higheredjobs.com/faculty/details.cfm?JobCode=178596886")</f>
        <v>https://www.higheredjobs.com/faculty/details.cfm?JobCode=178596886</v>
      </c>
      <c r="Y70" s="81" t="s">
        <v>498</v>
      </c>
      <c r="Z70" s="81" t="s">
        <v>530</v>
      </c>
      <c r="AA70" s="81"/>
      <c r="AB70" s="81"/>
      <c r="AC70" s="84" t="s">
        <v>580</v>
      </c>
      <c r="AD70" s="81" t="s">
        <v>588</v>
      </c>
      <c r="AE70" s="86" t="str">
        <f>HYPERLINK("https://twitter.com/llassabe/status/1720554776251838636")</f>
        <v>https://twitter.com/llassabe/status/1720554776251838636</v>
      </c>
      <c r="AF70" s="83">
        <v>45233.898136574076</v>
      </c>
      <c r="AG70" s="89">
        <v>45233</v>
      </c>
      <c r="AH70" s="84" t="s">
        <v>625</v>
      </c>
      <c r="AI70" s="81" t="b">
        <v>0</v>
      </c>
      <c r="AJ70" s="81"/>
      <c r="AK70" s="81"/>
      <c r="AL70" s="81"/>
      <c r="AM70" s="81"/>
      <c r="AN70" s="81"/>
      <c r="AO70" s="81"/>
      <c r="AP70" s="81"/>
      <c r="AQ70" s="81"/>
      <c r="AR70" s="81"/>
      <c r="AS70" s="81"/>
      <c r="AT70" s="81"/>
      <c r="AU70" s="81"/>
      <c r="AV70" s="86" t="str">
        <f>HYPERLINK("https://pbs.twimg.com/profile_images/1695196813077237760/dUrkZteM_normal.jpg")</f>
        <v>https://pbs.twimg.com/profile_images/1695196813077237760/dUrkZteM_normal.jpg</v>
      </c>
      <c r="AW70" s="84" t="s">
        <v>779</v>
      </c>
      <c r="AX70" s="84" t="s">
        <v>779</v>
      </c>
      <c r="AY70" s="81"/>
      <c r="AZ70" s="84" t="s">
        <v>879</v>
      </c>
      <c r="BA70" s="84" t="s">
        <v>879</v>
      </c>
      <c r="BB70" s="84" t="s">
        <v>856</v>
      </c>
      <c r="BC70" s="84" t="s">
        <v>856</v>
      </c>
      <c r="BD70" s="81">
        <v>48086979</v>
      </c>
      <c r="BE70" s="81"/>
      <c r="BF70" s="81"/>
      <c r="BG70" s="81"/>
      <c r="BH70" s="81"/>
      <c r="BI70" s="81"/>
      <c r="BJ70">
        <v>1</v>
      </c>
      <c r="BK70" s="80" t="str">
        <f>REPLACE(INDEX(GroupVertices[Group], MATCH("~"&amp;Edges[[#This Row],[Vertex 1]],GroupVertices[Vertex],0)),1,1,"")</f>
        <v>2</v>
      </c>
      <c r="BL70" s="80" t="str">
        <f>REPLACE(INDEX(GroupVertices[Group], MATCH("~"&amp;Edges[[#This Row],[Vertex 2]],GroupVertices[Vertex],0)),1,1,"")</f>
        <v>2</v>
      </c>
      <c r="BM70" s="49">
        <v>0</v>
      </c>
      <c r="BN70" s="50">
        <v>0</v>
      </c>
      <c r="BO70" s="49">
        <v>0</v>
      </c>
      <c r="BP70" s="50">
        <v>0</v>
      </c>
      <c r="BQ70" s="49">
        <v>0</v>
      </c>
      <c r="BR70" s="50">
        <v>0</v>
      </c>
      <c r="BS70" s="49">
        <v>7</v>
      </c>
      <c r="BT70" s="50">
        <v>77.777777777777771</v>
      </c>
      <c r="BU70" s="49">
        <v>9</v>
      </c>
    </row>
    <row r="71" spans="1:73" x14ac:dyDescent="0.25">
      <c r="A71" s="65" t="s">
        <v>252</v>
      </c>
      <c r="B71" s="65" t="s">
        <v>267</v>
      </c>
      <c r="C71" s="66" t="s">
        <v>10074</v>
      </c>
      <c r="D71" s="67">
        <v>6.5</v>
      </c>
      <c r="E71" s="68" t="s">
        <v>132</v>
      </c>
      <c r="F71" s="69">
        <v>23.5</v>
      </c>
      <c r="G71" s="66"/>
      <c r="H71" s="70"/>
      <c r="I71" s="71"/>
      <c r="J71" s="71"/>
      <c r="K71" s="35" t="s">
        <v>65</v>
      </c>
      <c r="L71" s="79">
        <v>71</v>
      </c>
      <c r="M71" s="79"/>
      <c r="N71" s="73"/>
      <c r="O71" s="81" t="s">
        <v>367</v>
      </c>
      <c r="P71" s="83">
        <v>45233.693148148152</v>
      </c>
      <c r="Q71" s="81" t="s">
        <v>401</v>
      </c>
      <c r="R71" s="81">
        <v>0</v>
      </c>
      <c r="S71" s="81">
        <v>1</v>
      </c>
      <c r="T71" s="81">
        <v>0</v>
      </c>
      <c r="U71" s="81">
        <v>0</v>
      </c>
      <c r="V71" s="81">
        <v>148</v>
      </c>
      <c r="W71" s="84" t="s">
        <v>474</v>
      </c>
      <c r="X71" s="86" t="str">
        <f>HYPERLINK("https://eeik.fa.us2.oraclecloud.com/hcmUI/CandidateExperience/en/sites/CX_1/requisitions/preview/233303/?keyword=Professor&amp;mode=location")</f>
        <v>https://eeik.fa.us2.oraclecloud.com/hcmUI/CandidateExperience/en/sites/CX_1/requisitions/preview/233303/?keyword=Professor&amp;mode=location</v>
      </c>
      <c r="Y71" s="81" t="s">
        <v>504</v>
      </c>
      <c r="Z71" s="81" t="s">
        <v>534</v>
      </c>
      <c r="AA71" s="81"/>
      <c r="AB71" s="81"/>
      <c r="AC71" s="84" t="s">
        <v>580</v>
      </c>
      <c r="AD71" s="81" t="s">
        <v>588</v>
      </c>
      <c r="AE71" s="86" t="str">
        <f>HYPERLINK("https://twitter.com/willthewordguy/status/1720480491709534567")</f>
        <v>https://twitter.com/willthewordguy/status/1720480491709534567</v>
      </c>
      <c r="AF71" s="83">
        <v>45233.693148148152</v>
      </c>
      <c r="AG71" s="89">
        <v>45233</v>
      </c>
      <c r="AH71" s="84" t="s">
        <v>626</v>
      </c>
      <c r="AI71" s="81" t="b">
        <v>0</v>
      </c>
      <c r="AJ71" s="81"/>
      <c r="AK71" s="81"/>
      <c r="AL71" s="81"/>
      <c r="AM71" s="81"/>
      <c r="AN71" s="81"/>
      <c r="AO71" s="81"/>
      <c r="AP71" s="81"/>
      <c r="AQ71" s="81"/>
      <c r="AR71" s="81"/>
      <c r="AS71" s="81"/>
      <c r="AT71" s="81"/>
      <c r="AU71" s="81"/>
      <c r="AV71" s="86" t="str">
        <f>HYPERLINK("https://pbs.twimg.com/profile_images/1331376273755664384/mF7tQg3B_normal.jpg")</f>
        <v>https://pbs.twimg.com/profile_images/1331376273755664384/mF7tQg3B_normal.jpg</v>
      </c>
      <c r="AW71" s="84" t="s">
        <v>780</v>
      </c>
      <c r="AX71" s="84" t="s">
        <v>780</v>
      </c>
      <c r="AY71" s="81"/>
      <c r="AZ71" s="84" t="s">
        <v>879</v>
      </c>
      <c r="BA71" s="84" t="s">
        <v>879</v>
      </c>
      <c r="BB71" s="84" t="s">
        <v>879</v>
      </c>
      <c r="BC71" s="84" t="s">
        <v>780</v>
      </c>
      <c r="BD71" s="81">
        <v>414179273</v>
      </c>
      <c r="BE71" s="81"/>
      <c r="BF71" s="81"/>
      <c r="BG71" s="81"/>
      <c r="BH71" s="81"/>
      <c r="BI71" s="81"/>
      <c r="BJ71">
        <v>2</v>
      </c>
      <c r="BK71" s="80" t="str">
        <f>REPLACE(INDEX(GroupVertices[Group], MATCH("~"&amp;Edges[[#This Row],[Vertex 1]],GroupVertices[Vertex],0)),1,1,"")</f>
        <v>2</v>
      </c>
      <c r="BL71" s="80" t="str">
        <f>REPLACE(INDEX(GroupVertices[Group], MATCH("~"&amp;Edges[[#This Row],[Vertex 2]],GroupVertices[Vertex],0)),1,1,"")</f>
        <v>2</v>
      </c>
      <c r="BM71" s="49">
        <v>0</v>
      </c>
      <c r="BN71" s="50">
        <v>0</v>
      </c>
      <c r="BO71" s="49">
        <v>0</v>
      </c>
      <c r="BP71" s="50">
        <v>0</v>
      </c>
      <c r="BQ71" s="49">
        <v>0</v>
      </c>
      <c r="BR71" s="50">
        <v>0</v>
      </c>
      <c r="BS71" s="49">
        <v>14</v>
      </c>
      <c r="BT71" s="50">
        <v>82.352941176470594</v>
      </c>
      <c r="BU71" s="49">
        <v>17</v>
      </c>
    </row>
    <row r="72" spans="1:73" x14ac:dyDescent="0.25">
      <c r="A72" s="65" t="s">
        <v>252</v>
      </c>
      <c r="B72" s="65" t="s">
        <v>267</v>
      </c>
      <c r="C72" s="66" t="s">
        <v>10074</v>
      </c>
      <c r="D72" s="67">
        <v>6.5</v>
      </c>
      <c r="E72" s="68" t="s">
        <v>132</v>
      </c>
      <c r="F72" s="69">
        <v>23.5</v>
      </c>
      <c r="G72" s="66"/>
      <c r="H72" s="70"/>
      <c r="I72" s="71"/>
      <c r="J72" s="71"/>
      <c r="K72" s="35" t="s">
        <v>65</v>
      </c>
      <c r="L72" s="79">
        <v>72</v>
      </c>
      <c r="M72" s="79"/>
      <c r="N72" s="73"/>
      <c r="O72" s="81" t="s">
        <v>367</v>
      </c>
      <c r="P72" s="83">
        <v>45233.679722222223</v>
      </c>
      <c r="Q72" s="81" t="s">
        <v>402</v>
      </c>
      <c r="R72" s="81">
        <v>0</v>
      </c>
      <c r="S72" s="81">
        <v>1</v>
      </c>
      <c r="T72" s="81">
        <v>0</v>
      </c>
      <c r="U72" s="81">
        <v>0</v>
      </c>
      <c r="V72" s="81">
        <v>104</v>
      </c>
      <c r="W72" s="84" t="s">
        <v>474</v>
      </c>
      <c r="X72" s="86" t="str">
        <f>HYPERLINK("https://www.higheredjobs.com/faculty/details.cfm?JobCode=178595177")</f>
        <v>https://www.higheredjobs.com/faculty/details.cfm?JobCode=178595177</v>
      </c>
      <c r="Y72" s="81" t="s">
        <v>498</v>
      </c>
      <c r="Z72" s="81" t="s">
        <v>534</v>
      </c>
      <c r="AA72" s="81"/>
      <c r="AB72" s="81"/>
      <c r="AC72" s="84" t="s">
        <v>580</v>
      </c>
      <c r="AD72" s="81" t="s">
        <v>588</v>
      </c>
      <c r="AE72" s="86" t="str">
        <f>HYPERLINK("https://twitter.com/willthewordguy/status/1720475626551881857")</f>
        <v>https://twitter.com/willthewordguy/status/1720475626551881857</v>
      </c>
      <c r="AF72" s="83">
        <v>45233.679722222223</v>
      </c>
      <c r="AG72" s="89">
        <v>45233</v>
      </c>
      <c r="AH72" s="84" t="s">
        <v>627</v>
      </c>
      <c r="AI72" s="81" t="b">
        <v>0</v>
      </c>
      <c r="AJ72" s="81"/>
      <c r="AK72" s="81"/>
      <c r="AL72" s="81"/>
      <c r="AM72" s="81"/>
      <c r="AN72" s="81"/>
      <c r="AO72" s="81"/>
      <c r="AP72" s="81"/>
      <c r="AQ72" s="81"/>
      <c r="AR72" s="81"/>
      <c r="AS72" s="81"/>
      <c r="AT72" s="81"/>
      <c r="AU72" s="81"/>
      <c r="AV72" s="86" t="str">
        <f>HYPERLINK("https://pbs.twimg.com/profile_images/1331376273755664384/mF7tQg3B_normal.jpg")</f>
        <v>https://pbs.twimg.com/profile_images/1331376273755664384/mF7tQg3B_normal.jpg</v>
      </c>
      <c r="AW72" s="84" t="s">
        <v>781</v>
      </c>
      <c r="AX72" s="84" t="s">
        <v>781</v>
      </c>
      <c r="AY72" s="81"/>
      <c r="AZ72" s="84" t="s">
        <v>879</v>
      </c>
      <c r="BA72" s="84" t="s">
        <v>879</v>
      </c>
      <c r="BB72" s="84" t="s">
        <v>879</v>
      </c>
      <c r="BC72" s="84" t="s">
        <v>781</v>
      </c>
      <c r="BD72" s="81">
        <v>414179273</v>
      </c>
      <c r="BE72" s="81"/>
      <c r="BF72" s="81"/>
      <c r="BG72" s="81"/>
      <c r="BH72" s="81"/>
      <c r="BI72" s="81"/>
      <c r="BJ72">
        <v>2</v>
      </c>
      <c r="BK72" s="80" t="str">
        <f>REPLACE(INDEX(GroupVertices[Group], MATCH("~"&amp;Edges[[#This Row],[Vertex 1]],GroupVertices[Vertex],0)),1,1,"")</f>
        <v>2</v>
      </c>
      <c r="BL72" s="80" t="str">
        <f>REPLACE(INDEX(GroupVertices[Group], MATCH("~"&amp;Edges[[#This Row],[Vertex 2]],GroupVertices[Vertex],0)),1,1,"")</f>
        <v>2</v>
      </c>
      <c r="BM72" s="49">
        <v>0</v>
      </c>
      <c r="BN72" s="50">
        <v>0</v>
      </c>
      <c r="BO72" s="49">
        <v>0</v>
      </c>
      <c r="BP72" s="50">
        <v>0</v>
      </c>
      <c r="BQ72" s="49">
        <v>0</v>
      </c>
      <c r="BR72" s="50">
        <v>0</v>
      </c>
      <c r="BS72" s="49">
        <v>9</v>
      </c>
      <c r="BT72" s="50">
        <v>81.818181818181813</v>
      </c>
      <c r="BU72" s="49">
        <v>11</v>
      </c>
    </row>
    <row r="73" spans="1:73" x14ac:dyDescent="0.25">
      <c r="A73" s="65" t="s">
        <v>267</v>
      </c>
      <c r="B73" s="65" t="s">
        <v>267</v>
      </c>
      <c r="C73" s="66" t="s">
        <v>10073</v>
      </c>
      <c r="D73" s="67">
        <v>3</v>
      </c>
      <c r="E73" s="68" t="s">
        <v>132</v>
      </c>
      <c r="F73" s="69">
        <v>35</v>
      </c>
      <c r="G73" s="66"/>
      <c r="H73" s="70"/>
      <c r="I73" s="71"/>
      <c r="J73" s="71"/>
      <c r="K73" s="35" t="s">
        <v>65</v>
      </c>
      <c r="L73" s="79">
        <v>73</v>
      </c>
      <c r="M73" s="79"/>
      <c r="N73" s="73"/>
      <c r="O73" s="81" t="s">
        <v>196</v>
      </c>
      <c r="P73" s="83">
        <v>45232.656469907408</v>
      </c>
      <c r="Q73" s="81" t="s">
        <v>403</v>
      </c>
      <c r="R73" s="81">
        <v>3</v>
      </c>
      <c r="S73" s="81">
        <v>4</v>
      </c>
      <c r="T73" s="81">
        <v>0</v>
      </c>
      <c r="U73" s="81">
        <v>0</v>
      </c>
      <c r="V73" s="81">
        <v>491</v>
      </c>
      <c r="W73" s="81"/>
      <c r="X73" s="86" t="str">
        <f>HYPERLINK("https://bit.ly/3FJt4WK")</f>
        <v>https://bit.ly/3FJt4WK</v>
      </c>
      <c r="Y73" s="81" t="s">
        <v>505</v>
      </c>
      <c r="Z73" s="81"/>
      <c r="AA73" s="81"/>
      <c r="AB73" s="81"/>
      <c r="AC73" s="84" t="s">
        <v>582</v>
      </c>
      <c r="AD73" s="81" t="s">
        <v>588</v>
      </c>
      <c r="AE73" s="86" t="str">
        <f>HYPERLINK("https://twitter.com/aejmcviscom/status/1720104809574109277")</f>
        <v>https://twitter.com/aejmcviscom/status/1720104809574109277</v>
      </c>
      <c r="AF73" s="83">
        <v>45232.656469907408</v>
      </c>
      <c r="AG73" s="89">
        <v>45232</v>
      </c>
      <c r="AH73" s="84" t="s">
        <v>628</v>
      </c>
      <c r="AI73" s="81" t="b">
        <v>0</v>
      </c>
      <c r="AJ73" s="81"/>
      <c r="AK73" s="81"/>
      <c r="AL73" s="81"/>
      <c r="AM73" s="81"/>
      <c r="AN73" s="81"/>
      <c r="AO73" s="81"/>
      <c r="AP73" s="81"/>
      <c r="AQ73" s="81"/>
      <c r="AR73" s="81"/>
      <c r="AS73" s="81"/>
      <c r="AT73" s="81"/>
      <c r="AU73" s="81"/>
      <c r="AV73" s="86" t="str">
        <f>HYPERLINK("https://pbs.twimg.com/profile_images/378800000281230339/6ad02fea0dccd5f899ccdd79092deb23_normal.jpeg")</f>
        <v>https://pbs.twimg.com/profile_images/378800000281230339/6ad02fea0dccd5f899ccdd79092deb23_normal.jpeg</v>
      </c>
      <c r="AW73" s="84" t="s">
        <v>782</v>
      </c>
      <c r="AX73" s="84" t="s">
        <v>782</v>
      </c>
      <c r="AY73" s="81"/>
      <c r="AZ73" s="84" t="s">
        <v>879</v>
      </c>
      <c r="BA73" s="84" t="s">
        <v>879</v>
      </c>
      <c r="BB73" s="84" t="s">
        <v>879</v>
      </c>
      <c r="BC73" s="84" t="s">
        <v>782</v>
      </c>
      <c r="BD73" s="81">
        <v>1663878439</v>
      </c>
      <c r="BE73" s="81"/>
      <c r="BF73" s="81"/>
      <c r="BG73" s="81"/>
      <c r="BH73" s="81"/>
      <c r="BI73" s="81"/>
      <c r="BJ73">
        <v>1</v>
      </c>
      <c r="BK73" s="80" t="str">
        <f>REPLACE(INDEX(GroupVertices[Group], MATCH("~"&amp;Edges[[#This Row],[Vertex 1]],GroupVertices[Vertex],0)),1,1,"")</f>
        <v>2</v>
      </c>
      <c r="BL73" s="80" t="str">
        <f>REPLACE(INDEX(GroupVertices[Group], MATCH("~"&amp;Edges[[#This Row],[Vertex 2]],GroupVertices[Vertex],0)),1,1,"")</f>
        <v>2</v>
      </c>
      <c r="BM73" s="49">
        <v>1</v>
      </c>
      <c r="BN73" s="50">
        <v>3.5714285714285716</v>
      </c>
      <c r="BO73" s="49">
        <v>1</v>
      </c>
      <c r="BP73" s="50">
        <v>3.5714285714285716</v>
      </c>
      <c r="BQ73" s="49">
        <v>0</v>
      </c>
      <c r="BR73" s="50">
        <v>0</v>
      </c>
      <c r="BS73" s="49">
        <v>11</v>
      </c>
      <c r="BT73" s="50">
        <v>39.285714285714285</v>
      </c>
      <c r="BU73" s="49">
        <v>28</v>
      </c>
    </row>
    <row r="74" spans="1:73" x14ac:dyDescent="0.25">
      <c r="A74" s="65" t="s">
        <v>268</v>
      </c>
      <c r="B74" s="65" t="s">
        <v>267</v>
      </c>
      <c r="C74" s="66" t="s">
        <v>10073</v>
      </c>
      <c r="D74" s="67">
        <v>3</v>
      </c>
      <c r="E74" s="68" t="s">
        <v>132</v>
      </c>
      <c r="F74" s="69">
        <v>35</v>
      </c>
      <c r="G74" s="66"/>
      <c r="H74" s="70"/>
      <c r="I74" s="71"/>
      <c r="J74" s="71"/>
      <c r="K74" s="35" t="s">
        <v>65</v>
      </c>
      <c r="L74" s="79">
        <v>74</v>
      </c>
      <c r="M74" s="79"/>
      <c r="N74" s="73"/>
      <c r="O74" s="81" t="s">
        <v>365</v>
      </c>
      <c r="P74" s="83">
        <v>45233.732766203706</v>
      </c>
      <c r="Q74" s="81" t="s">
        <v>404</v>
      </c>
      <c r="R74" s="81">
        <v>3</v>
      </c>
      <c r="S74" s="81">
        <v>0</v>
      </c>
      <c r="T74" s="81">
        <v>0</v>
      </c>
      <c r="U74" s="81">
        <v>0</v>
      </c>
      <c r="V74" s="81"/>
      <c r="W74" s="81"/>
      <c r="X74" s="81"/>
      <c r="Y74" s="81"/>
      <c r="Z74" s="81" t="s">
        <v>267</v>
      </c>
      <c r="AA74" s="81"/>
      <c r="AB74" s="81"/>
      <c r="AC74" s="84" t="s">
        <v>582</v>
      </c>
      <c r="AD74" s="81" t="s">
        <v>588</v>
      </c>
      <c r="AE74" s="86" t="str">
        <f>HYPERLINK("https://twitter.com/aejmc/status/1720494848510206134")</f>
        <v>https://twitter.com/aejmc/status/1720494848510206134</v>
      </c>
      <c r="AF74" s="83">
        <v>45233.732766203706</v>
      </c>
      <c r="AG74" s="89">
        <v>45233</v>
      </c>
      <c r="AH74" s="84" t="s">
        <v>629</v>
      </c>
      <c r="AI74" s="81" t="b">
        <v>0</v>
      </c>
      <c r="AJ74" s="81"/>
      <c r="AK74" s="81"/>
      <c r="AL74" s="81"/>
      <c r="AM74" s="81"/>
      <c r="AN74" s="81"/>
      <c r="AO74" s="81"/>
      <c r="AP74" s="81"/>
      <c r="AQ74" s="81"/>
      <c r="AR74" s="81"/>
      <c r="AS74" s="81"/>
      <c r="AT74" s="81"/>
      <c r="AU74" s="81"/>
      <c r="AV74" s="86" t="str">
        <f>HYPERLINK("https://pbs.twimg.com/profile_images/1559584982439444482/vOVkFGh3_normal.png")</f>
        <v>https://pbs.twimg.com/profile_images/1559584982439444482/vOVkFGh3_normal.png</v>
      </c>
      <c r="AW74" s="84" t="s">
        <v>783</v>
      </c>
      <c r="AX74" s="84" t="s">
        <v>783</v>
      </c>
      <c r="AY74" s="81"/>
      <c r="AZ74" s="84" t="s">
        <v>879</v>
      </c>
      <c r="BA74" s="84" t="s">
        <v>879</v>
      </c>
      <c r="BB74" s="84" t="s">
        <v>782</v>
      </c>
      <c r="BC74" s="84" t="s">
        <v>782</v>
      </c>
      <c r="BD74" s="81">
        <v>8442592</v>
      </c>
      <c r="BE74" s="81"/>
      <c r="BF74" s="81"/>
      <c r="BG74" s="81"/>
      <c r="BH74" s="81"/>
      <c r="BI74" s="81"/>
      <c r="BJ74">
        <v>1</v>
      </c>
      <c r="BK74" s="80" t="str">
        <f>REPLACE(INDEX(GroupVertices[Group], MATCH("~"&amp;Edges[[#This Row],[Vertex 1]],GroupVertices[Vertex],0)),1,1,"")</f>
        <v>1</v>
      </c>
      <c r="BL74" s="80" t="str">
        <f>REPLACE(INDEX(GroupVertices[Group], MATCH("~"&amp;Edges[[#This Row],[Vertex 2]],GroupVertices[Vertex],0)),1,1,"")</f>
        <v>2</v>
      </c>
      <c r="BM74" s="49">
        <v>1</v>
      </c>
      <c r="BN74" s="50">
        <v>3.7037037037037037</v>
      </c>
      <c r="BO74" s="49">
        <v>1</v>
      </c>
      <c r="BP74" s="50">
        <v>3.7037037037037037</v>
      </c>
      <c r="BQ74" s="49">
        <v>0</v>
      </c>
      <c r="BR74" s="50">
        <v>0</v>
      </c>
      <c r="BS74" s="49">
        <v>10</v>
      </c>
      <c r="BT74" s="50">
        <v>37.037037037037038</v>
      </c>
      <c r="BU74" s="49">
        <v>27</v>
      </c>
    </row>
    <row r="75" spans="1:73" x14ac:dyDescent="0.25">
      <c r="A75" s="65" t="s">
        <v>249</v>
      </c>
      <c r="B75" s="65" t="s">
        <v>321</v>
      </c>
      <c r="C75" s="66" t="s">
        <v>10073</v>
      </c>
      <c r="D75" s="67">
        <v>3</v>
      </c>
      <c r="E75" s="68" t="s">
        <v>132</v>
      </c>
      <c r="F75" s="69">
        <v>35</v>
      </c>
      <c r="G75" s="66"/>
      <c r="H75" s="70"/>
      <c r="I75" s="71"/>
      <c r="J75" s="71"/>
      <c r="K75" s="35" t="s">
        <v>65</v>
      </c>
      <c r="L75" s="79">
        <v>75</v>
      </c>
      <c r="M75" s="79"/>
      <c r="N75" s="73"/>
      <c r="O75" s="81" t="s">
        <v>367</v>
      </c>
      <c r="P75" s="83">
        <v>45214.020243055558</v>
      </c>
      <c r="Q75" s="81" t="s">
        <v>381</v>
      </c>
      <c r="R75" s="81">
        <v>1</v>
      </c>
      <c r="S75" s="81">
        <v>10</v>
      </c>
      <c r="T75" s="81">
        <v>0</v>
      </c>
      <c r="U75" s="81">
        <v>1</v>
      </c>
      <c r="V75" s="81">
        <v>848</v>
      </c>
      <c r="W75" s="81"/>
      <c r="X75" s="81"/>
      <c r="Y75" s="81"/>
      <c r="Z75" s="81" t="s">
        <v>525</v>
      </c>
      <c r="AA75" s="81"/>
      <c r="AB75" s="81"/>
      <c r="AC75" s="84" t="s">
        <v>579</v>
      </c>
      <c r="AD75" s="81" t="s">
        <v>588</v>
      </c>
      <c r="AE75" s="86" t="str">
        <f>HYPERLINK("https://twitter.com/jmcquarterly/status/1713351267106336845")</f>
        <v>https://twitter.com/jmcquarterly/status/1713351267106336845</v>
      </c>
      <c r="AF75" s="83">
        <v>45214.020243055558</v>
      </c>
      <c r="AG75" s="89">
        <v>45214</v>
      </c>
      <c r="AH75" s="84" t="s">
        <v>599</v>
      </c>
      <c r="AI75" s="81"/>
      <c r="AJ75" s="81"/>
      <c r="AK75" s="81"/>
      <c r="AL75" s="81"/>
      <c r="AM75" s="81"/>
      <c r="AN75" s="81"/>
      <c r="AO75" s="81"/>
      <c r="AP75" s="81"/>
      <c r="AQ75" s="81"/>
      <c r="AR75" s="81"/>
      <c r="AS75" s="81"/>
      <c r="AT75" s="81"/>
      <c r="AU75" s="81"/>
      <c r="AV75" s="86" t="str">
        <f>HYPERLINK("https://pbs.twimg.com/profile_images/1297970849820147712/3xME2yZ6_normal.jpg")</f>
        <v>https://pbs.twimg.com/profile_images/1297970849820147712/3xME2yZ6_normal.jpg</v>
      </c>
      <c r="AW75" s="84" t="s">
        <v>753</v>
      </c>
      <c r="AX75" s="84" t="s">
        <v>753</v>
      </c>
      <c r="AY75" s="81"/>
      <c r="AZ75" s="84" t="s">
        <v>879</v>
      </c>
      <c r="BA75" s="84" t="s">
        <v>879</v>
      </c>
      <c r="BB75" s="84" t="s">
        <v>879</v>
      </c>
      <c r="BC75" s="84" t="s">
        <v>753</v>
      </c>
      <c r="BD75" s="84" t="s">
        <v>876</v>
      </c>
      <c r="BE75" s="81"/>
      <c r="BF75" s="81"/>
      <c r="BG75" s="81"/>
      <c r="BH75" s="81"/>
      <c r="BI75" s="81"/>
      <c r="BJ75">
        <v>1</v>
      </c>
      <c r="BK75" s="80" t="str">
        <f>REPLACE(INDEX(GroupVertices[Group], MATCH("~"&amp;Edges[[#This Row],[Vertex 1]],GroupVertices[Vertex],0)),1,1,"")</f>
        <v>3</v>
      </c>
      <c r="BL75" s="80" t="str">
        <f>REPLACE(INDEX(GroupVertices[Group], MATCH("~"&amp;Edges[[#This Row],[Vertex 2]],GroupVertices[Vertex],0)),1,1,"")</f>
        <v>3</v>
      </c>
      <c r="BM75" s="49">
        <v>0</v>
      </c>
      <c r="BN75" s="50">
        <v>0</v>
      </c>
      <c r="BO75" s="49">
        <v>0</v>
      </c>
      <c r="BP75" s="50">
        <v>0</v>
      </c>
      <c r="BQ75" s="49">
        <v>0</v>
      </c>
      <c r="BR75" s="50">
        <v>0</v>
      </c>
      <c r="BS75" s="49">
        <v>5</v>
      </c>
      <c r="BT75" s="50">
        <v>55.555555555555557</v>
      </c>
      <c r="BU75" s="49">
        <v>9</v>
      </c>
    </row>
    <row r="76" spans="1:73" x14ac:dyDescent="0.25">
      <c r="A76" s="65" t="s">
        <v>268</v>
      </c>
      <c r="B76" s="65" t="s">
        <v>321</v>
      </c>
      <c r="C76" s="66" t="s">
        <v>10073</v>
      </c>
      <c r="D76" s="67">
        <v>3</v>
      </c>
      <c r="E76" s="68" t="s">
        <v>132</v>
      </c>
      <c r="F76" s="69">
        <v>35</v>
      </c>
      <c r="G76" s="66"/>
      <c r="H76" s="70"/>
      <c r="I76" s="71"/>
      <c r="J76" s="71"/>
      <c r="K76" s="35" t="s">
        <v>65</v>
      </c>
      <c r="L76" s="79">
        <v>76</v>
      </c>
      <c r="M76" s="79"/>
      <c r="N76" s="73"/>
      <c r="O76" s="81" t="s">
        <v>366</v>
      </c>
      <c r="P76" s="83">
        <v>45229.644247685188</v>
      </c>
      <c r="Q76" s="81" t="s">
        <v>405</v>
      </c>
      <c r="R76" s="81">
        <v>1</v>
      </c>
      <c r="S76" s="81">
        <v>0</v>
      </c>
      <c r="T76" s="81">
        <v>0</v>
      </c>
      <c r="U76" s="81">
        <v>0</v>
      </c>
      <c r="V76" s="81"/>
      <c r="W76" s="81"/>
      <c r="X76" s="81"/>
      <c r="Y76" s="81"/>
      <c r="Z76" s="81" t="s">
        <v>535</v>
      </c>
      <c r="AA76" s="81"/>
      <c r="AB76" s="81"/>
      <c r="AC76" s="84" t="s">
        <v>582</v>
      </c>
      <c r="AD76" s="81" t="s">
        <v>588</v>
      </c>
      <c r="AE76" s="86" t="str">
        <f>HYPERLINK("https://twitter.com/aejmc/status/1719013216028676245")</f>
        <v>https://twitter.com/aejmc/status/1719013216028676245</v>
      </c>
      <c r="AF76" s="83">
        <v>45229.644247685188</v>
      </c>
      <c r="AG76" s="89">
        <v>45229</v>
      </c>
      <c r="AH76" s="84" t="s">
        <v>630</v>
      </c>
      <c r="AI76" s="81"/>
      <c r="AJ76" s="81"/>
      <c r="AK76" s="81"/>
      <c r="AL76" s="81"/>
      <c r="AM76" s="81"/>
      <c r="AN76" s="81"/>
      <c r="AO76" s="81"/>
      <c r="AP76" s="81"/>
      <c r="AQ76" s="81"/>
      <c r="AR76" s="81"/>
      <c r="AS76" s="81"/>
      <c r="AT76" s="81"/>
      <c r="AU76" s="81"/>
      <c r="AV76" s="86" t="str">
        <f>HYPERLINK("https://pbs.twimg.com/profile_images/1559584982439444482/vOVkFGh3_normal.png")</f>
        <v>https://pbs.twimg.com/profile_images/1559584982439444482/vOVkFGh3_normal.png</v>
      </c>
      <c r="AW76" s="84" t="s">
        <v>784</v>
      </c>
      <c r="AX76" s="84" t="s">
        <v>784</v>
      </c>
      <c r="AY76" s="81"/>
      <c r="AZ76" s="84" t="s">
        <v>879</v>
      </c>
      <c r="BA76" s="84" t="s">
        <v>879</v>
      </c>
      <c r="BB76" s="84" t="s">
        <v>753</v>
      </c>
      <c r="BC76" s="84" t="s">
        <v>753</v>
      </c>
      <c r="BD76" s="81">
        <v>8442592</v>
      </c>
      <c r="BE76" s="81"/>
      <c r="BF76" s="81"/>
      <c r="BG76" s="81"/>
      <c r="BH76" s="81"/>
      <c r="BI76" s="81"/>
      <c r="BJ76">
        <v>1</v>
      </c>
      <c r="BK76" s="80" t="str">
        <f>REPLACE(INDEX(GroupVertices[Group], MATCH("~"&amp;Edges[[#This Row],[Vertex 1]],GroupVertices[Vertex],0)),1,1,"")</f>
        <v>1</v>
      </c>
      <c r="BL76" s="80" t="str">
        <f>REPLACE(INDEX(GroupVertices[Group], MATCH("~"&amp;Edges[[#This Row],[Vertex 2]],GroupVertices[Vertex],0)),1,1,"")</f>
        <v>3</v>
      </c>
      <c r="BM76" s="49">
        <v>0</v>
      </c>
      <c r="BN76" s="50">
        <v>0</v>
      </c>
      <c r="BO76" s="49">
        <v>0</v>
      </c>
      <c r="BP76" s="50">
        <v>0</v>
      </c>
      <c r="BQ76" s="49">
        <v>0</v>
      </c>
      <c r="BR76" s="50">
        <v>0</v>
      </c>
      <c r="BS76" s="49">
        <v>5</v>
      </c>
      <c r="BT76" s="50">
        <v>50</v>
      </c>
      <c r="BU76" s="49">
        <v>10</v>
      </c>
    </row>
    <row r="77" spans="1:73" x14ac:dyDescent="0.25">
      <c r="A77" s="65" t="s">
        <v>248</v>
      </c>
      <c r="B77" s="65" t="s">
        <v>322</v>
      </c>
      <c r="C77" s="66" t="s">
        <v>10073</v>
      </c>
      <c r="D77" s="67">
        <v>3</v>
      </c>
      <c r="E77" s="68" t="s">
        <v>132</v>
      </c>
      <c r="F77" s="69">
        <v>35</v>
      </c>
      <c r="G77" s="66"/>
      <c r="H77" s="70"/>
      <c r="I77" s="71"/>
      <c r="J77" s="71"/>
      <c r="K77" s="35" t="s">
        <v>65</v>
      </c>
      <c r="L77" s="79">
        <v>77</v>
      </c>
      <c r="M77" s="79"/>
      <c r="N77" s="73"/>
      <c r="O77" s="81" t="s">
        <v>370</v>
      </c>
      <c r="P77" s="83">
        <v>45233.347071759257</v>
      </c>
      <c r="Q77" s="81" t="s">
        <v>380</v>
      </c>
      <c r="R77" s="81">
        <v>0</v>
      </c>
      <c r="S77" s="81">
        <v>5</v>
      </c>
      <c r="T77" s="81">
        <v>0</v>
      </c>
      <c r="U77" s="81">
        <v>0</v>
      </c>
      <c r="V77" s="81">
        <v>625</v>
      </c>
      <c r="W77" s="84" t="s">
        <v>472</v>
      </c>
      <c r="X77" s="81"/>
      <c r="Y77" s="81"/>
      <c r="Z77" s="81" t="s">
        <v>524</v>
      </c>
      <c r="AA77" s="81"/>
      <c r="AB77" s="81"/>
      <c r="AC77" s="84" t="s">
        <v>579</v>
      </c>
      <c r="AD77" s="81" t="s">
        <v>588</v>
      </c>
      <c r="AE77" s="86" t="str">
        <f>HYPERLINK("https://twitter.com/vioreladan/status/1720355075653050557")</f>
        <v>https://twitter.com/vioreladan/status/1720355075653050557</v>
      </c>
      <c r="AF77" s="83">
        <v>45233.347071759257</v>
      </c>
      <c r="AG77" s="89">
        <v>45233</v>
      </c>
      <c r="AH77" s="84" t="s">
        <v>598</v>
      </c>
      <c r="AI77" s="81"/>
      <c r="AJ77" s="81"/>
      <c r="AK77" s="81"/>
      <c r="AL77" s="81"/>
      <c r="AM77" s="81"/>
      <c r="AN77" s="81"/>
      <c r="AO77" s="81"/>
      <c r="AP77" s="81"/>
      <c r="AQ77" s="81"/>
      <c r="AR77" s="81"/>
      <c r="AS77" s="81"/>
      <c r="AT77" s="81"/>
      <c r="AU77" s="81"/>
      <c r="AV77" s="86" t="str">
        <f>HYPERLINK("https://pbs.twimg.com/profile_images/1499394758606671883/eX-QPowP_normal.jpg")</f>
        <v>https://pbs.twimg.com/profile_images/1499394758606671883/eX-QPowP_normal.jpg</v>
      </c>
      <c r="AW77" s="84" t="s">
        <v>752</v>
      </c>
      <c r="AX77" s="84" t="s">
        <v>752</v>
      </c>
      <c r="AY77" s="81"/>
      <c r="AZ77" s="84" t="s">
        <v>879</v>
      </c>
      <c r="BA77" s="84" t="s">
        <v>754</v>
      </c>
      <c r="BB77" s="84" t="s">
        <v>879</v>
      </c>
      <c r="BC77" s="84" t="s">
        <v>754</v>
      </c>
      <c r="BD77" s="84" t="s">
        <v>882</v>
      </c>
      <c r="BE77" s="81"/>
      <c r="BF77" s="81"/>
      <c r="BG77" s="81"/>
      <c r="BH77" s="81"/>
      <c r="BI77" s="81"/>
      <c r="BJ77">
        <v>1</v>
      </c>
      <c r="BK77" s="80" t="str">
        <f>REPLACE(INDEX(GroupVertices[Group], MATCH("~"&amp;Edges[[#This Row],[Vertex 1]],GroupVertices[Vertex],0)),1,1,"")</f>
        <v>6</v>
      </c>
      <c r="BL77" s="80" t="str">
        <f>REPLACE(INDEX(GroupVertices[Group], MATCH("~"&amp;Edges[[#This Row],[Vertex 2]],GroupVertices[Vertex],0)),1,1,"")</f>
        <v>6</v>
      </c>
      <c r="BM77" s="49">
        <v>0</v>
      </c>
      <c r="BN77" s="50">
        <v>0</v>
      </c>
      <c r="BO77" s="49">
        <v>0</v>
      </c>
      <c r="BP77" s="50">
        <v>0</v>
      </c>
      <c r="BQ77" s="49">
        <v>0</v>
      </c>
      <c r="BR77" s="50">
        <v>0</v>
      </c>
      <c r="BS77" s="49">
        <v>13</v>
      </c>
      <c r="BT77" s="50">
        <v>76.470588235294116</v>
      </c>
      <c r="BU77" s="49">
        <v>17</v>
      </c>
    </row>
    <row r="78" spans="1:73" x14ac:dyDescent="0.25">
      <c r="A78" s="65" t="s">
        <v>248</v>
      </c>
      <c r="B78" s="65" t="s">
        <v>268</v>
      </c>
      <c r="C78" s="66" t="s">
        <v>10073</v>
      </c>
      <c r="D78" s="67">
        <v>3</v>
      </c>
      <c r="E78" s="68" t="s">
        <v>132</v>
      </c>
      <c r="F78" s="69">
        <v>35</v>
      </c>
      <c r="G78" s="66"/>
      <c r="H78" s="70"/>
      <c r="I78" s="71"/>
      <c r="J78" s="71"/>
      <c r="K78" s="35" t="s">
        <v>66</v>
      </c>
      <c r="L78" s="79">
        <v>78</v>
      </c>
      <c r="M78" s="79"/>
      <c r="N78" s="73"/>
      <c r="O78" s="81" t="s">
        <v>370</v>
      </c>
      <c r="P78" s="83">
        <v>45233.347071759257</v>
      </c>
      <c r="Q78" s="81" t="s">
        <v>380</v>
      </c>
      <c r="R78" s="81">
        <v>0</v>
      </c>
      <c r="S78" s="81">
        <v>5</v>
      </c>
      <c r="T78" s="81">
        <v>0</v>
      </c>
      <c r="U78" s="81">
        <v>0</v>
      </c>
      <c r="V78" s="81">
        <v>625</v>
      </c>
      <c r="W78" s="84" t="s">
        <v>472</v>
      </c>
      <c r="X78" s="81"/>
      <c r="Y78" s="81"/>
      <c r="Z78" s="81" t="s">
        <v>524</v>
      </c>
      <c r="AA78" s="81"/>
      <c r="AB78" s="81"/>
      <c r="AC78" s="84" t="s">
        <v>579</v>
      </c>
      <c r="AD78" s="81" t="s">
        <v>588</v>
      </c>
      <c r="AE78" s="86" t="str">
        <f>HYPERLINK("https://twitter.com/vioreladan/status/1720355075653050557")</f>
        <v>https://twitter.com/vioreladan/status/1720355075653050557</v>
      </c>
      <c r="AF78" s="83">
        <v>45233.347071759257</v>
      </c>
      <c r="AG78" s="89">
        <v>45233</v>
      </c>
      <c r="AH78" s="84" t="s">
        <v>598</v>
      </c>
      <c r="AI78" s="81"/>
      <c r="AJ78" s="81"/>
      <c r="AK78" s="81"/>
      <c r="AL78" s="81"/>
      <c r="AM78" s="81"/>
      <c r="AN78" s="81"/>
      <c r="AO78" s="81"/>
      <c r="AP78" s="81"/>
      <c r="AQ78" s="81"/>
      <c r="AR78" s="81"/>
      <c r="AS78" s="81"/>
      <c r="AT78" s="81"/>
      <c r="AU78" s="81"/>
      <c r="AV78" s="86" t="str">
        <f>HYPERLINK("https://pbs.twimg.com/profile_images/1499394758606671883/eX-QPowP_normal.jpg")</f>
        <v>https://pbs.twimg.com/profile_images/1499394758606671883/eX-QPowP_normal.jpg</v>
      </c>
      <c r="AW78" s="84" t="s">
        <v>752</v>
      </c>
      <c r="AX78" s="84" t="s">
        <v>752</v>
      </c>
      <c r="AY78" s="81"/>
      <c r="AZ78" s="84" t="s">
        <v>879</v>
      </c>
      <c r="BA78" s="84" t="s">
        <v>754</v>
      </c>
      <c r="BB78" s="84" t="s">
        <v>879</v>
      </c>
      <c r="BC78" s="84" t="s">
        <v>754</v>
      </c>
      <c r="BD78" s="84" t="s">
        <v>882</v>
      </c>
      <c r="BE78" s="81"/>
      <c r="BF78" s="81"/>
      <c r="BG78" s="81"/>
      <c r="BH78" s="81"/>
      <c r="BI78" s="81"/>
      <c r="BJ78">
        <v>1</v>
      </c>
      <c r="BK78" s="80" t="str">
        <f>REPLACE(INDEX(GroupVertices[Group], MATCH("~"&amp;Edges[[#This Row],[Vertex 1]],GroupVertices[Vertex],0)),1,1,"")</f>
        <v>6</v>
      </c>
      <c r="BL78" s="80" t="str">
        <f>REPLACE(INDEX(GroupVertices[Group], MATCH("~"&amp;Edges[[#This Row],[Vertex 2]],GroupVertices[Vertex],0)),1,1,"")</f>
        <v>1</v>
      </c>
      <c r="BM78" s="49"/>
      <c r="BN78" s="50"/>
      <c r="BO78" s="49"/>
      <c r="BP78" s="50"/>
      <c r="BQ78" s="49"/>
      <c r="BR78" s="50"/>
      <c r="BS78" s="49"/>
      <c r="BT78" s="50"/>
      <c r="BU78" s="49"/>
    </row>
    <row r="79" spans="1:73" x14ac:dyDescent="0.25">
      <c r="A79" s="65" t="s">
        <v>248</v>
      </c>
      <c r="B79" s="65" t="s">
        <v>275</v>
      </c>
      <c r="C79" s="66" t="s">
        <v>10073</v>
      </c>
      <c r="D79" s="67">
        <v>3</v>
      </c>
      <c r="E79" s="68" t="s">
        <v>132</v>
      </c>
      <c r="F79" s="69">
        <v>35</v>
      </c>
      <c r="G79" s="66"/>
      <c r="H79" s="70"/>
      <c r="I79" s="71"/>
      <c r="J79" s="71"/>
      <c r="K79" s="35" t="s">
        <v>65</v>
      </c>
      <c r="L79" s="79">
        <v>79</v>
      </c>
      <c r="M79" s="79"/>
      <c r="N79" s="73"/>
      <c r="O79" s="81" t="s">
        <v>370</v>
      </c>
      <c r="P79" s="83">
        <v>45233.347071759257</v>
      </c>
      <c r="Q79" s="81" t="s">
        <v>380</v>
      </c>
      <c r="R79" s="81">
        <v>0</v>
      </c>
      <c r="S79" s="81">
        <v>5</v>
      </c>
      <c r="T79" s="81">
        <v>0</v>
      </c>
      <c r="U79" s="81">
        <v>0</v>
      </c>
      <c r="V79" s="81">
        <v>625</v>
      </c>
      <c r="W79" s="84" t="s">
        <v>472</v>
      </c>
      <c r="X79" s="81"/>
      <c r="Y79" s="81"/>
      <c r="Z79" s="81" t="s">
        <v>524</v>
      </c>
      <c r="AA79" s="81"/>
      <c r="AB79" s="81"/>
      <c r="AC79" s="84" t="s">
        <v>579</v>
      </c>
      <c r="AD79" s="81" t="s">
        <v>588</v>
      </c>
      <c r="AE79" s="86" t="str">
        <f>HYPERLINK("https://twitter.com/vioreladan/status/1720355075653050557")</f>
        <v>https://twitter.com/vioreladan/status/1720355075653050557</v>
      </c>
      <c r="AF79" s="83">
        <v>45233.347071759257</v>
      </c>
      <c r="AG79" s="89">
        <v>45233</v>
      </c>
      <c r="AH79" s="84" t="s">
        <v>598</v>
      </c>
      <c r="AI79" s="81"/>
      <c r="AJ79" s="81"/>
      <c r="AK79" s="81"/>
      <c r="AL79" s="81"/>
      <c r="AM79" s="81"/>
      <c r="AN79" s="81"/>
      <c r="AO79" s="81"/>
      <c r="AP79" s="81"/>
      <c r="AQ79" s="81"/>
      <c r="AR79" s="81"/>
      <c r="AS79" s="81"/>
      <c r="AT79" s="81"/>
      <c r="AU79" s="81"/>
      <c r="AV79" s="86" t="str">
        <f>HYPERLINK("https://pbs.twimg.com/profile_images/1499394758606671883/eX-QPowP_normal.jpg")</f>
        <v>https://pbs.twimg.com/profile_images/1499394758606671883/eX-QPowP_normal.jpg</v>
      </c>
      <c r="AW79" s="84" t="s">
        <v>752</v>
      </c>
      <c r="AX79" s="84" t="s">
        <v>752</v>
      </c>
      <c r="AY79" s="81"/>
      <c r="AZ79" s="84" t="s">
        <v>879</v>
      </c>
      <c r="BA79" s="84" t="s">
        <v>754</v>
      </c>
      <c r="BB79" s="84" t="s">
        <v>879</v>
      </c>
      <c r="BC79" s="84" t="s">
        <v>754</v>
      </c>
      <c r="BD79" s="84" t="s">
        <v>882</v>
      </c>
      <c r="BE79" s="81"/>
      <c r="BF79" s="81"/>
      <c r="BG79" s="81"/>
      <c r="BH79" s="81"/>
      <c r="BI79" s="81"/>
      <c r="BJ79">
        <v>1</v>
      </c>
      <c r="BK79" s="80" t="str">
        <f>REPLACE(INDEX(GroupVertices[Group], MATCH("~"&amp;Edges[[#This Row],[Vertex 1]],GroupVertices[Vertex],0)),1,1,"")</f>
        <v>6</v>
      </c>
      <c r="BL79" s="80" t="str">
        <f>REPLACE(INDEX(GroupVertices[Group], MATCH("~"&amp;Edges[[#This Row],[Vertex 2]],GroupVertices[Vertex],0)),1,1,"")</f>
        <v>3</v>
      </c>
      <c r="BM79" s="49"/>
      <c r="BN79" s="50"/>
      <c r="BO79" s="49"/>
      <c r="BP79" s="50"/>
      <c r="BQ79" s="49"/>
      <c r="BR79" s="50"/>
      <c r="BS79" s="49"/>
      <c r="BT79" s="50"/>
      <c r="BU79" s="49"/>
    </row>
    <row r="80" spans="1:73" x14ac:dyDescent="0.25">
      <c r="A80" s="65" t="s">
        <v>248</v>
      </c>
      <c r="B80" s="65" t="s">
        <v>249</v>
      </c>
      <c r="C80" s="66" t="s">
        <v>10073</v>
      </c>
      <c r="D80" s="67">
        <v>3</v>
      </c>
      <c r="E80" s="68" t="s">
        <v>132</v>
      </c>
      <c r="F80" s="69">
        <v>35</v>
      </c>
      <c r="G80" s="66"/>
      <c r="H80" s="70"/>
      <c r="I80" s="71"/>
      <c r="J80" s="71"/>
      <c r="K80" s="35" t="s">
        <v>66</v>
      </c>
      <c r="L80" s="79">
        <v>80</v>
      </c>
      <c r="M80" s="79"/>
      <c r="N80" s="73"/>
      <c r="O80" s="81" t="s">
        <v>370</v>
      </c>
      <c r="P80" s="83">
        <v>45233.347071759257</v>
      </c>
      <c r="Q80" s="81" t="s">
        <v>380</v>
      </c>
      <c r="R80" s="81">
        <v>0</v>
      </c>
      <c r="S80" s="81">
        <v>5</v>
      </c>
      <c r="T80" s="81">
        <v>0</v>
      </c>
      <c r="U80" s="81">
        <v>0</v>
      </c>
      <c r="V80" s="81">
        <v>625</v>
      </c>
      <c r="W80" s="84" t="s">
        <v>472</v>
      </c>
      <c r="X80" s="81"/>
      <c r="Y80" s="81"/>
      <c r="Z80" s="81" t="s">
        <v>524</v>
      </c>
      <c r="AA80" s="81"/>
      <c r="AB80" s="81"/>
      <c r="AC80" s="84" t="s">
        <v>579</v>
      </c>
      <c r="AD80" s="81" t="s">
        <v>588</v>
      </c>
      <c r="AE80" s="86" t="str">
        <f>HYPERLINK("https://twitter.com/vioreladan/status/1720355075653050557")</f>
        <v>https://twitter.com/vioreladan/status/1720355075653050557</v>
      </c>
      <c r="AF80" s="83">
        <v>45233.347071759257</v>
      </c>
      <c r="AG80" s="89">
        <v>45233</v>
      </c>
      <c r="AH80" s="84" t="s">
        <v>598</v>
      </c>
      <c r="AI80" s="81"/>
      <c r="AJ80" s="81"/>
      <c r="AK80" s="81"/>
      <c r="AL80" s="81"/>
      <c r="AM80" s="81"/>
      <c r="AN80" s="81"/>
      <c r="AO80" s="81"/>
      <c r="AP80" s="81"/>
      <c r="AQ80" s="81"/>
      <c r="AR80" s="81"/>
      <c r="AS80" s="81"/>
      <c r="AT80" s="81"/>
      <c r="AU80" s="81"/>
      <c r="AV80" s="86" t="str">
        <f>HYPERLINK("https://pbs.twimg.com/profile_images/1499394758606671883/eX-QPowP_normal.jpg")</f>
        <v>https://pbs.twimg.com/profile_images/1499394758606671883/eX-QPowP_normal.jpg</v>
      </c>
      <c r="AW80" s="84" t="s">
        <v>752</v>
      </c>
      <c r="AX80" s="84" t="s">
        <v>752</v>
      </c>
      <c r="AY80" s="81"/>
      <c r="AZ80" s="84" t="s">
        <v>879</v>
      </c>
      <c r="BA80" s="84" t="s">
        <v>754</v>
      </c>
      <c r="BB80" s="84" t="s">
        <v>879</v>
      </c>
      <c r="BC80" s="84" t="s">
        <v>754</v>
      </c>
      <c r="BD80" s="84" t="s">
        <v>882</v>
      </c>
      <c r="BE80" s="81"/>
      <c r="BF80" s="81"/>
      <c r="BG80" s="81"/>
      <c r="BH80" s="81"/>
      <c r="BI80" s="81"/>
      <c r="BJ80">
        <v>1</v>
      </c>
      <c r="BK80" s="80" t="str">
        <f>REPLACE(INDEX(GroupVertices[Group], MATCH("~"&amp;Edges[[#This Row],[Vertex 1]],GroupVertices[Vertex],0)),1,1,"")</f>
        <v>6</v>
      </c>
      <c r="BL80" s="80" t="str">
        <f>REPLACE(INDEX(GroupVertices[Group], MATCH("~"&amp;Edges[[#This Row],[Vertex 2]],GroupVertices[Vertex],0)),1,1,"")</f>
        <v>3</v>
      </c>
      <c r="BM80" s="49"/>
      <c r="BN80" s="50"/>
      <c r="BO80" s="49"/>
      <c r="BP80" s="50"/>
      <c r="BQ80" s="49"/>
      <c r="BR80" s="50"/>
      <c r="BS80" s="49"/>
      <c r="BT80" s="50"/>
      <c r="BU80" s="49"/>
    </row>
    <row r="81" spans="1:73" x14ac:dyDescent="0.25">
      <c r="A81" s="65" t="s">
        <v>248</v>
      </c>
      <c r="B81" s="65" t="s">
        <v>249</v>
      </c>
      <c r="C81" s="66" t="s">
        <v>10073</v>
      </c>
      <c r="D81" s="67">
        <v>3</v>
      </c>
      <c r="E81" s="68" t="s">
        <v>132</v>
      </c>
      <c r="F81" s="69">
        <v>35</v>
      </c>
      <c r="G81" s="66"/>
      <c r="H81" s="70"/>
      <c r="I81" s="71"/>
      <c r="J81" s="71"/>
      <c r="K81" s="35" t="s">
        <v>66</v>
      </c>
      <c r="L81" s="79">
        <v>81</v>
      </c>
      <c r="M81" s="79"/>
      <c r="N81" s="73"/>
      <c r="O81" s="81" t="s">
        <v>371</v>
      </c>
      <c r="P81" s="83">
        <v>45233.347071759257</v>
      </c>
      <c r="Q81" s="81" t="s">
        <v>380</v>
      </c>
      <c r="R81" s="81">
        <v>0</v>
      </c>
      <c r="S81" s="81">
        <v>5</v>
      </c>
      <c r="T81" s="81">
        <v>0</v>
      </c>
      <c r="U81" s="81">
        <v>0</v>
      </c>
      <c r="V81" s="81">
        <v>625</v>
      </c>
      <c r="W81" s="84" t="s">
        <v>472</v>
      </c>
      <c r="X81" s="81"/>
      <c r="Y81" s="81"/>
      <c r="Z81" s="81" t="s">
        <v>524</v>
      </c>
      <c r="AA81" s="81"/>
      <c r="AB81" s="81"/>
      <c r="AC81" s="84" t="s">
        <v>579</v>
      </c>
      <c r="AD81" s="81" t="s">
        <v>588</v>
      </c>
      <c r="AE81" s="86" t="str">
        <f>HYPERLINK("https://twitter.com/vioreladan/status/1720355075653050557")</f>
        <v>https://twitter.com/vioreladan/status/1720355075653050557</v>
      </c>
      <c r="AF81" s="83">
        <v>45233.347071759257</v>
      </c>
      <c r="AG81" s="89">
        <v>45233</v>
      </c>
      <c r="AH81" s="84" t="s">
        <v>598</v>
      </c>
      <c r="AI81" s="81"/>
      <c r="AJ81" s="81"/>
      <c r="AK81" s="81"/>
      <c r="AL81" s="81"/>
      <c r="AM81" s="81"/>
      <c r="AN81" s="81"/>
      <c r="AO81" s="81"/>
      <c r="AP81" s="81"/>
      <c r="AQ81" s="81"/>
      <c r="AR81" s="81"/>
      <c r="AS81" s="81"/>
      <c r="AT81" s="81"/>
      <c r="AU81" s="81"/>
      <c r="AV81" s="86" t="str">
        <f>HYPERLINK("https://pbs.twimg.com/profile_images/1499394758606671883/eX-QPowP_normal.jpg")</f>
        <v>https://pbs.twimg.com/profile_images/1499394758606671883/eX-QPowP_normal.jpg</v>
      </c>
      <c r="AW81" s="84" t="s">
        <v>752</v>
      </c>
      <c r="AX81" s="84" t="s">
        <v>752</v>
      </c>
      <c r="AY81" s="81"/>
      <c r="AZ81" s="84" t="s">
        <v>879</v>
      </c>
      <c r="BA81" s="84" t="s">
        <v>754</v>
      </c>
      <c r="BB81" s="84" t="s">
        <v>879</v>
      </c>
      <c r="BC81" s="84" t="s">
        <v>754</v>
      </c>
      <c r="BD81" s="84" t="s">
        <v>882</v>
      </c>
      <c r="BE81" s="81"/>
      <c r="BF81" s="81"/>
      <c r="BG81" s="81"/>
      <c r="BH81" s="81"/>
      <c r="BI81" s="81"/>
      <c r="BJ81">
        <v>1</v>
      </c>
      <c r="BK81" s="80" t="str">
        <f>REPLACE(INDEX(GroupVertices[Group], MATCH("~"&amp;Edges[[#This Row],[Vertex 1]],GroupVertices[Vertex],0)),1,1,"")</f>
        <v>6</v>
      </c>
      <c r="BL81" s="80" t="str">
        <f>REPLACE(INDEX(GroupVertices[Group], MATCH("~"&amp;Edges[[#This Row],[Vertex 2]],GroupVertices[Vertex],0)),1,1,"")</f>
        <v>3</v>
      </c>
      <c r="BM81" s="49"/>
      <c r="BN81" s="50"/>
      <c r="BO81" s="49"/>
      <c r="BP81" s="50"/>
      <c r="BQ81" s="49"/>
      <c r="BR81" s="50"/>
      <c r="BS81" s="49"/>
      <c r="BT81" s="50"/>
      <c r="BU81" s="49"/>
    </row>
    <row r="82" spans="1:73" x14ac:dyDescent="0.25">
      <c r="A82" s="65" t="s">
        <v>248</v>
      </c>
      <c r="B82" s="65" t="s">
        <v>268</v>
      </c>
      <c r="C82" s="66" t="s">
        <v>10073</v>
      </c>
      <c r="D82" s="67">
        <v>3</v>
      </c>
      <c r="E82" s="68" t="s">
        <v>132</v>
      </c>
      <c r="F82" s="69">
        <v>35</v>
      </c>
      <c r="G82" s="66"/>
      <c r="H82" s="70"/>
      <c r="I82" s="71"/>
      <c r="J82" s="71"/>
      <c r="K82" s="35" t="s">
        <v>66</v>
      </c>
      <c r="L82" s="79">
        <v>82</v>
      </c>
      <c r="M82" s="79"/>
      <c r="N82" s="73"/>
      <c r="O82" s="81" t="s">
        <v>365</v>
      </c>
      <c r="P82" s="83">
        <v>45233.872812499998</v>
      </c>
      <c r="Q82" s="81" t="s">
        <v>406</v>
      </c>
      <c r="R82" s="81">
        <v>3</v>
      </c>
      <c r="S82" s="81">
        <v>0</v>
      </c>
      <c r="T82" s="81">
        <v>0</v>
      </c>
      <c r="U82" s="81">
        <v>0</v>
      </c>
      <c r="V82" s="81"/>
      <c r="W82" s="81"/>
      <c r="X82" s="81"/>
      <c r="Y82" s="81"/>
      <c r="Z82" s="81" t="s">
        <v>268</v>
      </c>
      <c r="AA82" s="81"/>
      <c r="AB82" s="81"/>
      <c r="AC82" s="84" t="s">
        <v>579</v>
      </c>
      <c r="AD82" s="81" t="s">
        <v>588</v>
      </c>
      <c r="AE82" s="86" t="str">
        <f>HYPERLINK("https://twitter.com/vioreladan/status/1720545599345369196")</f>
        <v>https://twitter.com/vioreladan/status/1720545599345369196</v>
      </c>
      <c r="AF82" s="83">
        <v>45233.872812499998</v>
      </c>
      <c r="AG82" s="89">
        <v>45233</v>
      </c>
      <c r="AH82" s="84" t="s">
        <v>631</v>
      </c>
      <c r="AI82" s="81"/>
      <c r="AJ82" s="81"/>
      <c r="AK82" s="81"/>
      <c r="AL82" s="81"/>
      <c r="AM82" s="81"/>
      <c r="AN82" s="81"/>
      <c r="AO82" s="81"/>
      <c r="AP82" s="81"/>
      <c r="AQ82" s="81"/>
      <c r="AR82" s="81"/>
      <c r="AS82" s="81"/>
      <c r="AT82" s="81"/>
      <c r="AU82" s="81"/>
      <c r="AV82" s="86" t="str">
        <f>HYPERLINK("https://pbs.twimg.com/profile_images/1499394758606671883/eX-QPowP_normal.jpg")</f>
        <v>https://pbs.twimg.com/profile_images/1499394758606671883/eX-QPowP_normal.jpg</v>
      </c>
      <c r="AW82" s="84" t="s">
        <v>785</v>
      </c>
      <c r="AX82" s="84" t="s">
        <v>785</v>
      </c>
      <c r="AY82" s="81"/>
      <c r="AZ82" s="84" t="s">
        <v>879</v>
      </c>
      <c r="BA82" s="84" t="s">
        <v>879</v>
      </c>
      <c r="BB82" s="84" t="s">
        <v>862</v>
      </c>
      <c r="BC82" s="84" t="s">
        <v>862</v>
      </c>
      <c r="BD82" s="84" t="s">
        <v>882</v>
      </c>
      <c r="BE82" s="81"/>
      <c r="BF82" s="81"/>
      <c r="BG82" s="81"/>
      <c r="BH82" s="81"/>
      <c r="BI82" s="81"/>
      <c r="BJ82">
        <v>1</v>
      </c>
      <c r="BK82" s="80" t="str">
        <f>REPLACE(INDEX(GroupVertices[Group], MATCH("~"&amp;Edges[[#This Row],[Vertex 1]],GroupVertices[Vertex],0)),1,1,"")</f>
        <v>6</v>
      </c>
      <c r="BL82" s="80" t="str">
        <f>REPLACE(INDEX(GroupVertices[Group], MATCH("~"&amp;Edges[[#This Row],[Vertex 2]],GroupVertices[Vertex],0)),1,1,"")</f>
        <v>1</v>
      </c>
      <c r="BM82" s="49">
        <v>2</v>
      </c>
      <c r="BN82" s="50">
        <v>9.0909090909090917</v>
      </c>
      <c r="BO82" s="49">
        <v>0</v>
      </c>
      <c r="BP82" s="50">
        <v>0</v>
      </c>
      <c r="BQ82" s="49">
        <v>0</v>
      </c>
      <c r="BR82" s="50">
        <v>0</v>
      </c>
      <c r="BS82" s="49">
        <v>12</v>
      </c>
      <c r="BT82" s="50">
        <v>54.545454545454547</v>
      </c>
      <c r="BU82" s="49">
        <v>22</v>
      </c>
    </row>
    <row r="83" spans="1:73" x14ac:dyDescent="0.25">
      <c r="A83" s="65" t="s">
        <v>249</v>
      </c>
      <c r="B83" s="65" t="s">
        <v>248</v>
      </c>
      <c r="C83" s="66" t="s">
        <v>10073</v>
      </c>
      <c r="D83" s="67">
        <v>3</v>
      </c>
      <c r="E83" s="68" t="s">
        <v>132</v>
      </c>
      <c r="F83" s="69">
        <v>35</v>
      </c>
      <c r="G83" s="66"/>
      <c r="H83" s="70"/>
      <c r="I83" s="71"/>
      <c r="J83" s="71"/>
      <c r="K83" s="35" t="s">
        <v>66</v>
      </c>
      <c r="L83" s="79">
        <v>83</v>
      </c>
      <c r="M83" s="79"/>
      <c r="N83" s="73"/>
      <c r="O83" s="81" t="s">
        <v>367</v>
      </c>
      <c r="P83" s="83">
        <v>45233.717175925929</v>
      </c>
      <c r="Q83" s="81" t="s">
        <v>407</v>
      </c>
      <c r="R83" s="81">
        <v>1</v>
      </c>
      <c r="S83" s="81">
        <v>32</v>
      </c>
      <c r="T83" s="81">
        <v>4</v>
      </c>
      <c r="U83" s="81">
        <v>4</v>
      </c>
      <c r="V83" s="81">
        <v>3086</v>
      </c>
      <c r="W83" s="81"/>
      <c r="X83" s="81"/>
      <c r="Y83" s="81"/>
      <c r="Z83" s="81" t="s">
        <v>536</v>
      </c>
      <c r="AA83" s="81" t="s">
        <v>564</v>
      </c>
      <c r="AB83" s="81" t="s">
        <v>575</v>
      </c>
      <c r="AC83" s="84" t="s">
        <v>582</v>
      </c>
      <c r="AD83" s="81" t="s">
        <v>588</v>
      </c>
      <c r="AE83" s="86" t="str">
        <f>HYPERLINK("https://twitter.com/jmcquarterly/status/1720489199554486686")</f>
        <v>https://twitter.com/jmcquarterly/status/1720489199554486686</v>
      </c>
      <c r="AF83" s="83">
        <v>45233.717175925929</v>
      </c>
      <c r="AG83" s="89">
        <v>45233</v>
      </c>
      <c r="AH83" s="84" t="s">
        <v>632</v>
      </c>
      <c r="AI83" s="81" t="b">
        <v>0</v>
      </c>
      <c r="AJ83" s="81"/>
      <c r="AK83" s="81"/>
      <c r="AL83" s="81"/>
      <c r="AM83" s="81"/>
      <c r="AN83" s="81"/>
      <c r="AO83" s="81"/>
      <c r="AP83" s="81"/>
      <c r="AQ83" s="81" t="s">
        <v>733</v>
      </c>
      <c r="AR83" s="81"/>
      <c r="AS83" s="81"/>
      <c r="AT83" s="81"/>
      <c r="AU83" s="81"/>
      <c r="AV83" s="86" t="str">
        <f>HYPERLINK("https://pbs.twimg.com/media/F-BnCAIXwAA6-2j.jpg")</f>
        <v>https://pbs.twimg.com/media/F-BnCAIXwAA6-2j.jpg</v>
      </c>
      <c r="AW83" s="84" t="s">
        <v>786</v>
      </c>
      <c r="AX83" s="84" t="s">
        <v>786</v>
      </c>
      <c r="AY83" s="81"/>
      <c r="AZ83" s="84" t="s">
        <v>879</v>
      </c>
      <c r="BA83" s="84" t="s">
        <v>879</v>
      </c>
      <c r="BB83" s="84" t="s">
        <v>879</v>
      </c>
      <c r="BC83" s="84" t="s">
        <v>786</v>
      </c>
      <c r="BD83" s="84" t="s">
        <v>876</v>
      </c>
      <c r="BE83" s="81"/>
      <c r="BF83" s="81"/>
      <c r="BG83" s="81"/>
      <c r="BH83" s="81"/>
      <c r="BI83" s="81"/>
      <c r="BJ83">
        <v>1</v>
      </c>
      <c r="BK83" s="80" t="str">
        <f>REPLACE(INDEX(GroupVertices[Group], MATCH("~"&amp;Edges[[#This Row],[Vertex 1]],GroupVertices[Vertex],0)),1,1,"")</f>
        <v>3</v>
      </c>
      <c r="BL83" s="80" t="str">
        <f>REPLACE(INDEX(GroupVertices[Group], MATCH("~"&amp;Edges[[#This Row],[Vertex 2]],GroupVertices[Vertex],0)),1,1,"")</f>
        <v>6</v>
      </c>
      <c r="BM83" s="49"/>
      <c r="BN83" s="50"/>
      <c r="BO83" s="49"/>
      <c r="BP83" s="50"/>
      <c r="BQ83" s="49"/>
      <c r="BR83" s="50"/>
      <c r="BS83" s="49"/>
      <c r="BT83" s="50"/>
      <c r="BU83" s="49"/>
    </row>
    <row r="84" spans="1:73" x14ac:dyDescent="0.25">
      <c r="A84" s="65" t="s">
        <v>268</v>
      </c>
      <c r="B84" s="65" t="s">
        <v>248</v>
      </c>
      <c r="C84" s="66" t="s">
        <v>10073</v>
      </c>
      <c r="D84" s="67">
        <v>3</v>
      </c>
      <c r="E84" s="68" t="s">
        <v>132</v>
      </c>
      <c r="F84" s="69">
        <v>35</v>
      </c>
      <c r="G84" s="66"/>
      <c r="H84" s="70"/>
      <c r="I84" s="71"/>
      <c r="J84" s="71"/>
      <c r="K84" s="35" t="s">
        <v>66</v>
      </c>
      <c r="L84" s="79">
        <v>84</v>
      </c>
      <c r="M84" s="79"/>
      <c r="N84" s="73"/>
      <c r="O84" s="81" t="s">
        <v>368</v>
      </c>
      <c r="P84" s="83">
        <v>45233.740937499999</v>
      </c>
      <c r="Q84" s="81" t="s">
        <v>408</v>
      </c>
      <c r="R84" s="81">
        <v>0</v>
      </c>
      <c r="S84" s="81">
        <v>2</v>
      </c>
      <c r="T84" s="81">
        <v>0</v>
      </c>
      <c r="U84" s="81">
        <v>0</v>
      </c>
      <c r="V84" s="81">
        <v>80</v>
      </c>
      <c r="W84" s="81"/>
      <c r="X84" s="81"/>
      <c r="Y84" s="81"/>
      <c r="Z84" s="81" t="s">
        <v>536</v>
      </c>
      <c r="AA84" s="81"/>
      <c r="AB84" s="81"/>
      <c r="AC84" s="84" t="s">
        <v>582</v>
      </c>
      <c r="AD84" s="81" t="s">
        <v>589</v>
      </c>
      <c r="AE84" s="86" t="str">
        <f>HYPERLINK("https://twitter.com/aejmc/status/1720497808719942028")</f>
        <v>https://twitter.com/aejmc/status/1720497808719942028</v>
      </c>
      <c r="AF84" s="83">
        <v>45233.740937499999</v>
      </c>
      <c r="AG84" s="89">
        <v>45233</v>
      </c>
      <c r="AH84" s="84" t="s">
        <v>633</v>
      </c>
      <c r="AI84" s="81"/>
      <c r="AJ84" s="81"/>
      <c r="AK84" s="81"/>
      <c r="AL84" s="81"/>
      <c r="AM84" s="81"/>
      <c r="AN84" s="81"/>
      <c r="AO84" s="81"/>
      <c r="AP84" s="81"/>
      <c r="AQ84" s="81"/>
      <c r="AR84" s="81"/>
      <c r="AS84" s="81"/>
      <c r="AT84" s="81"/>
      <c r="AU84" s="81"/>
      <c r="AV84" s="86" t="str">
        <f>HYPERLINK("https://pbs.twimg.com/profile_images/1559584982439444482/vOVkFGh3_normal.png")</f>
        <v>https://pbs.twimg.com/profile_images/1559584982439444482/vOVkFGh3_normal.png</v>
      </c>
      <c r="AW84" s="84" t="s">
        <v>787</v>
      </c>
      <c r="AX84" s="84" t="s">
        <v>786</v>
      </c>
      <c r="AY84" s="84" t="s">
        <v>876</v>
      </c>
      <c r="AZ84" s="84" t="s">
        <v>786</v>
      </c>
      <c r="BA84" s="84" t="s">
        <v>879</v>
      </c>
      <c r="BB84" s="84" t="s">
        <v>879</v>
      </c>
      <c r="BC84" s="84" t="s">
        <v>786</v>
      </c>
      <c r="BD84" s="81">
        <v>8442592</v>
      </c>
      <c r="BE84" s="81"/>
      <c r="BF84" s="81"/>
      <c r="BG84" s="81"/>
      <c r="BH84" s="81"/>
      <c r="BI84" s="81"/>
      <c r="BJ84">
        <v>1</v>
      </c>
      <c r="BK84" s="80" t="str">
        <f>REPLACE(INDEX(GroupVertices[Group], MATCH("~"&amp;Edges[[#This Row],[Vertex 1]],GroupVertices[Vertex],0)),1,1,"")</f>
        <v>1</v>
      </c>
      <c r="BL84" s="80" t="str">
        <f>REPLACE(INDEX(GroupVertices[Group], MATCH("~"&amp;Edges[[#This Row],[Vertex 2]],GroupVertices[Vertex],0)),1,1,"")</f>
        <v>6</v>
      </c>
      <c r="BM84" s="49"/>
      <c r="BN84" s="50"/>
      <c r="BO84" s="49"/>
      <c r="BP84" s="50"/>
      <c r="BQ84" s="49"/>
      <c r="BR84" s="50"/>
      <c r="BS84" s="49"/>
      <c r="BT84" s="50"/>
      <c r="BU84" s="49"/>
    </row>
    <row r="85" spans="1:73" x14ac:dyDescent="0.25">
      <c r="A85" s="65" t="s">
        <v>249</v>
      </c>
      <c r="B85" s="65" t="s">
        <v>323</v>
      </c>
      <c r="C85" s="66" t="s">
        <v>10073</v>
      </c>
      <c r="D85" s="67">
        <v>3</v>
      </c>
      <c r="E85" s="68" t="s">
        <v>132</v>
      </c>
      <c r="F85" s="69">
        <v>35</v>
      </c>
      <c r="G85" s="66"/>
      <c r="H85" s="70"/>
      <c r="I85" s="71"/>
      <c r="J85" s="71"/>
      <c r="K85" s="35" t="s">
        <v>65</v>
      </c>
      <c r="L85" s="79">
        <v>85</v>
      </c>
      <c r="M85" s="79"/>
      <c r="N85" s="73"/>
      <c r="O85" s="81" t="s">
        <v>367</v>
      </c>
      <c r="P85" s="83">
        <v>45233.717175925929</v>
      </c>
      <c r="Q85" s="81" t="s">
        <v>407</v>
      </c>
      <c r="R85" s="81">
        <v>1</v>
      </c>
      <c r="S85" s="81">
        <v>32</v>
      </c>
      <c r="T85" s="81">
        <v>4</v>
      </c>
      <c r="U85" s="81">
        <v>4</v>
      </c>
      <c r="V85" s="81">
        <v>3086</v>
      </c>
      <c r="W85" s="81"/>
      <c r="X85" s="81"/>
      <c r="Y85" s="81"/>
      <c r="Z85" s="81" t="s">
        <v>536</v>
      </c>
      <c r="AA85" s="81" t="s">
        <v>564</v>
      </c>
      <c r="AB85" s="81" t="s">
        <v>575</v>
      </c>
      <c r="AC85" s="84" t="s">
        <v>582</v>
      </c>
      <c r="AD85" s="81" t="s">
        <v>588</v>
      </c>
      <c r="AE85" s="86" t="str">
        <f>HYPERLINK("https://twitter.com/jmcquarterly/status/1720489199554486686")</f>
        <v>https://twitter.com/jmcquarterly/status/1720489199554486686</v>
      </c>
      <c r="AF85" s="83">
        <v>45233.717175925929</v>
      </c>
      <c r="AG85" s="89">
        <v>45233</v>
      </c>
      <c r="AH85" s="84" t="s">
        <v>632</v>
      </c>
      <c r="AI85" s="81" t="b">
        <v>0</v>
      </c>
      <c r="AJ85" s="81"/>
      <c r="AK85" s="81"/>
      <c r="AL85" s="81"/>
      <c r="AM85" s="81"/>
      <c r="AN85" s="81"/>
      <c r="AO85" s="81"/>
      <c r="AP85" s="81"/>
      <c r="AQ85" s="81" t="s">
        <v>733</v>
      </c>
      <c r="AR85" s="81"/>
      <c r="AS85" s="81"/>
      <c r="AT85" s="81"/>
      <c r="AU85" s="81"/>
      <c r="AV85" s="86" t="str">
        <f>HYPERLINK("https://pbs.twimg.com/media/F-BnCAIXwAA6-2j.jpg")</f>
        <v>https://pbs.twimg.com/media/F-BnCAIXwAA6-2j.jpg</v>
      </c>
      <c r="AW85" s="84" t="s">
        <v>786</v>
      </c>
      <c r="AX85" s="84" t="s">
        <v>786</v>
      </c>
      <c r="AY85" s="81"/>
      <c r="AZ85" s="84" t="s">
        <v>879</v>
      </c>
      <c r="BA85" s="84" t="s">
        <v>879</v>
      </c>
      <c r="BB85" s="84" t="s">
        <v>879</v>
      </c>
      <c r="BC85" s="84" t="s">
        <v>786</v>
      </c>
      <c r="BD85" s="84" t="s">
        <v>876</v>
      </c>
      <c r="BE85" s="81"/>
      <c r="BF85" s="81"/>
      <c r="BG85" s="81"/>
      <c r="BH85" s="81"/>
      <c r="BI85" s="81"/>
      <c r="BJ85">
        <v>1</v>
      </c>
      <c r="BK85" s="80" t="str">
        <f>REPLACE(INDEX(GroupVertices[Group], MATCH("~"&amp;Edges[[#This Row],[Vertex 1]],GroupVertices[Vertex],0)),1,1,"")</f>
        <v>3</v>
      </c>
      <c r="BL85" s="80" t="str">
        <f>REPLACE(INDEX(GroupVertices[Group], MATCH("~"&amp;Edges[[#This Row],[Vertex 2]],GroupVertices[Vertex],0)),1,1,"")</f>
        <v>3</v>
      </c>
      <c r="BM85" s="49"/>
      <c r="BN85" s="50"/>
      <c r="BO85" s="49"/>
      <c r="BP85" s="50"/>
      <c r="BQ85" s="49"/>
      <c r="BR85" s="50"/>
      <c r="BS85" s="49"/>
      <c r="BT85" s="50"/>
      <c r="BU85" s="49"/>
    </row>
    <row r="86" spans="1:73" x14ac:dyDescent="0.25">
      <c r="A86" s="65" t="s">
        <v>268</v>
      </c>
      <c r="B86" s="65" t="s">
        <v>323</v>
      </c>
      <c r="C86" s="66" t="s">
        <v>10073</v>
      </c>
      <c r="D86" s="67">
        <v>3</v>
      </c>
      <c r="E86" s="68" t="s">
        <v>132</v>
      </c>
      <c r="F86" s="69">
        <v>35</v>
      </c>
      <c r="G86" s="66"/>
      <c r="H86" s="70"/>
      <c r="I86" s="71"/>
      <c r="J86" s="71"/>
      <c r="K86" s="35" t="s">
        <v>65</v>
      </c>
      <c r="L86" s="79">
        <v>86</v>
      </c>
      <c r="M86" s="79"/>
      <c r="N86" s="73"/>
      <c r="O86" s="81" t="s">
        <v>368</v>
      </c>
      <c r="P86" s="83">
        <v>45233.740937499999</v>
      </c>
      <c r="Q86" s="81" t="s">
        <v>408</v>
      </c>
      <c r="R86" s="81">
        <v>0</v>
      </c>
      <c r="S86" s="81">
        <v>2</v>
      </c>
      <c r="T86" s="81">
        <v>0</v>
      </c>
      <c r="U86" s="81">
        <v>0</v>
      </c>
      <c r="V86" s="81">
        <v>80</v>
      </c>
      <c r="W86" s="81"/>
      <c r="X86" s="81"/>
      <c r="Y86" s="81"/>
      <c r="Z86" s="81" t="s">
        <v>536</v>
      </c>
      <c r="AA86" s="81"/>
      <c r="AB86" s="81"/>
      <c r="AC86" s="84" t="s">
        <v>582</v>
      </c>
      <c r="AD86" s="81" t="s">
        <v>589</v>
      </c>
      <c r="AE86" s="86" t="str">
        <f>HYPERLINK("https://twitter.com/aejmc/status/1720497808719942028")</f>
        <v>https://twitter.com/aejmc/status/1720497808719942028</v>
      </c>
      <c r="AF86" s="83">
        <v>45233.740937499999</v>
      </c>
      <c r="AG86" s="89">
        <v>45233</v>
      </c>
      <c r="AH86" s="84" t="s">
        <v>633</v>
      </c>
      <c r="AI86" s="81"/>
      <c r="AJ86" s="81"/>
      <c r="AK86" s="81"/>
      <c r="AL86" s="81"/>
      <c r="AM86" s="81"/>
      <c r="AN86" s="81"/>
      <c r="AO86" s="81"/>
      <c r="AP86" s="81"/>
      <c r="AQ86" s="81"/>
      <c r="AR86" s="81"/>
      <c r="AS86" s="81"/>
      <c r="AT86" s="81"/>
      <c r="AU86" s="81"/>
      <c r="AV86" s="86" t="str">
        <f>HYPERLINK("https://pbs.twimg.com/profile_images/1559584982439444482/vOVkFGh3_normal.png")</f>
        <v>https://pbs.twimg.com/profile_images/1559584982439444482/vOVkFGh3_normal.png</v>
      </c>
      <c r="AW86" s="84" t="s">
        <v>787</v>
      </c>
      <c r="AX86" s="84" t="s">
        <v>786</v>
      </c>
      <c r="AY86" s="84" t="s">
        <v>876</v>
      </c>
      <c r="AZ86" s="84" t="s">
        <v>786</v>
      </c>
      <c r="BA86" s="84" t="s">
        <v>879</v>
      </c>
      <c r="BB86" s="84" t="s">
        <v>879</v>
      </c>
      <c r="BC86" s="84" t="s">
        <v>786</v>
      </c>
      <c r="BD86" s="81">
        <v>8442592</v>
      </c>
      <c r="BE86" s="81"/>
      <c r="BF86" s="81"/>
      <c r="BG86" s="81"/>
      <c r="BH86" s="81"/>
      <c r="BI86" s="81"/>
      <c r="BJ86">
        <v>1</v>
      </c>
      <c r="BK86" s="80" t="str">
        <f>REPLACE(INDEX(GroupVertices[Group], MATCH("~"&amp;Edges[[#This Row],[Vertex 1]],GroupVertices[Vertex],0)),1,1,"")</f>
        <v>1</v>
      </c>
      <c r="BL86" s="80" t="str">
        <f>REPLACE(INDEX(GroupVertices[Group], MATCH("~"&amp;Edges[[#This Row],[Vertex 2]],GroupVertices[Vertex],0)),1,1,"")</f>
        <v>3</v>
      </c>
      <c r="BM86" s="49"/>
      <c r="BN86" s="50"/>
      <c r="BO86" s="49"/>
      <c r="BP86" s="50"/>
      <c r="BQ86" s="49"/>
      <c r="BR86" s="50"/>
      <c r="BS86" s="49"/>
      <c r="BT86" s="50"/>
      <c r="BU86" s="49"/>
    </row>
    <row r="87" spans="1:73" x14ac:dyDescent="0.25">
      <c r="A87" s="65" t="s">
        <v>268</v>
      </c>
      <c r="B87" s="65" t="s">
        <v>324</v>
      </c>
      <c r="C87" s="66" t="s">
        <v>10073</v>
      </c>
      <c r="D87" s="67">
        <v>3</v>
      </c>
      <c r="E87" s="68" t="s">
        <v>132</v>
      </c>
      <c r="F87" s="69">
        <v>35</v>
      </c>
      <c r="G87" s="66"/>
      <c r="H87" s="70"/>
      <c r="I87" s="71"/>
      <c r="J87" s="71"/>
      <c r="K87" s="35" t="s">
        <v>65</v>
      </c>
      <c r="L87" s="79">
        <v>87</v>
      </c>
      <c r="M87" s="79"/>
      <c r="N87" s="73"/>
      <c r="O87" s="81" t="s">
        <v>367</v>
      </c>
      <c r="P87" s="83">
        <v>45231.832314814812</v>
      </c>
      <c r="Q87" s="81" t="s">
        <v>409</v>
      </c>
      <c r="R87" s="81">
        <v>3</v>
      </c>
      <c r="S87" s="81">
        <v>0</v>
      </c>
      <c r="T87" s="81">
        <v>0</v>
      </c>
      <c r="U87" s="81">
        <v>0</v>
      </c>
      <c r="V87" s="81">
        <v>829</v>
      </c>
      <c r="W87" s="84" t="s">
        <v>482</v>
      </c>
      <c r="X87" s="86" t="str">
        <f>HYPERLINK("https://www.aejmc.org/jobads/?p=19459")</f>
        <v>https://www.aejmc.org/jobads/?p=19459</v>
      </c>
      <c r="Y87" s="81" t="s">
        <v>503</v>
      </c>
      <c r="Z87" s="81" t="s">
        <v>324</v>
      </c>
      <c r="AA87" s="81"/>
      <c r="AB87" s="81"/>
      <c r="AC87" s="84" t="s">
        <v>582</v>
      </c>
      <c r="AD87" s="81" t="s">
        <v>588</v>
      </c>
      <c r="AE87" s="86" t="str">
        <f>HYPERLINK("https://twitter.com/aejmc/status/1719806146536444240")</f>
        <v>https://twitter.com/aejmc/status/1719806146536444240</v>
      </c>
      <c r="AF87" s="83">
        <v>45231.832314814812</v>
      </c>
      <c r="AG87" s="89">
        <v>45231</v>
      </c>
      <c r="AH87" s="84" t="s">
        <v>634</v>
      </c>
      <c r="AI87" s="81" t="b">
        <v>0</v>
      </c>
      <c r="AJ87" s="81"/>
      <c r="AK87" s="81"/>
      <c r="AL87" s="81"/>
      <c r="AM87" s="81"/>
      <c r="AN87" s="81"/>
      <c r="AO87" s="81"/>
      <c r="AP87" s="81"/>
      <c r="AQ87" s="81"/>
      <c r="AR87" s="81"/>
      <c r="AS87" s="81"/>
      <c r="AT87" s="81"/>
      <c r="AU87" s="81"/>
      <c r="AV87" s="86" t="str">
        <f>HYPERLINK("https://pbs.twimg.com/profile_images/1559584982439444482/vOVkFGh3_normal.png")</f>
        <v>https://pbs.twimg.com/profile_images/1559584982439444482/vOVkFGh3_normal.png</v>
      </c>
      <c r="AW87" s="84" t="s">
        <v>788</v>
      </c>
      <c r="AX87" s="84" t="s">
        <v>788</v>
      </c>
      <c r="AY87" s="81"/>
      <c r="AZ87" s="84" t="s">
        <v>879</v>
      </c>
      <c r="BA87" s="84" t="s">
        <v>879</v>
      </c>
      <c r="BB87" s="84" t="s">
        <v>879</v>
      </c>
      <c r="BC87" s="84" t="s">
        <v>788</v>
      </c>
      <c r="BD87" s="81">
        <v>8442592</v>
      </c>
      <c r="BE87" s="81"/>
      <c r="BF87" s="81"/>
      <c r="BG87" s="81"/>
      <c r="BH87" s="81"/>
      <c r="BI87" s="81"/>
      <c r="BJ87">
        <v>1</v>
      </c>
      <c r="BK87" s="80" t="str">
        <f>REPLACE(INDEX(GroupVertices[Group], MATCH("~"&amp;Edges[[#This Row],[Vertex 1]],GroupVertices[Vertex],0)),1,1,"")</f>
        <v>1</v>
      </c>
      <c r="BL87" s="80" t="str">
        <f>REPLACE(INDEX(GroupVertices[Group], MATCH("~"&amp;Edges[[#This Row],[Vertex 2]],GroupVertices[Vertex],0)),1,1,"")</f>
        <v>1</v>
      </c>
      <c r="BM87" s="49">
        <v>0</v>
      </c>
      <c r="BN87" s="50">
        <v>0</v>
      </c>
      <c r="BO87" s="49">
        <v>0</v>
      </c>
      <c r="BP87" s="50">
        <v>0</v>
      </c>
      <c r="BQ87" s="49">
        <v>0</v>
      </c>
      <c r="BR87" s="50">
        <v>0</v>
      </c>
      <c r="BS87" s="49">
        <v>14</v>
      </c>
      <c r="BT87" s="50">
        <v>100</v>
      </c>
      <c r="BU87" s="49">
        <v>14</v>
      </c>
    </row>
    <row r="88" spans="1:73" x14ac:dyDescent="0.25">
      <c r="A88" s="65" t="s">
        <v>269</v>
      </c>
      <c r="B88" s="65" t="s">
        <v>325</v>
      </c>
      <c r="C88" s="66" t="s">
        <v>10073</v>
      </c>
      <c r="D88" s="67">
        <v>3</v>
      </c>
      <c r="E88" s="68" t="s">
        <v>132</v>
      </c>
      <c r="F88" s="69">
        <v>35</v>
      </c>
      <c r="G88" s="66"/>
      <c r="H88" s="70"/>
      <c r="I88" s="71"/>
      <c r="J88" s="71"/>
      <c r="K88" s="35" t="s">
        <v>65</v>
      </c>
      <c r="L88" s="79">
        <v>88</v>
      </c>
      <c r="M88" s="79"/>
      <c r="N88" s="73"/>
      <c r="O88" s="81" t="s">
        <v>370</v>
      </c>
      <c r="P88" s="83">
        <v>45229.280138888891</v>
      </c>
      <c r="Q88" s="81" t="s">
        <v>410</v>
      </c>
      <c r="R88" s="81">
        <v>1</v>
      </c>
      <c r="S88" s="81">
        <v>0</v>
      </c>
      <c r="T88" s="81">
        <v>0</v>
      </c>
      <c r="U88" s="81">
        <v>0</v>
      </c>
      <c r="V88" s="81">
        <v>552</v>
      </c>
      <c r="W88" s="81"/>
      <c r="X88" s="86" t="str">
        <f>HYPERLINK("https://journals.sagepub.com/doi/abs/10.1177/0973258617743625")</f>
        <v>https://journals.sagepub.com/doi/abs/10.1177/0973258617743625</v>
      </c>
      <c r="Y88" s="81" t="s">
        <v>506</v>
      </c>
      <c r="Z88" s="81" t="s">
        <v>537</v>
      </c>
      <c r="AA88" s="81"/>
      <c r="AB88" s="81"/>
      <c r="AC88" s="84" t="s">
        <v>582</v>
      </c>
      <c r="AD88" s="81" t="s">
        <v>588</v>
      </c>
      <c r="AE88" s="86" t="str">
        <f>HYPERLINK("https://twitter.com/joccjournal/status/1718881270619627729")</f>
        <v>https://twitter.com/joccjournal/status/1718881270619627729</v>
      </c>
      <c r="AF88" s="83">
        <v>45229.280138888891</v>
      </c>
      <c r="AG88" s="89">
        <v>45229</v>
      </c>
      <c r="AH88" s="84" t="s">
        <v>635</v>
      </c>
      <c r="AI88" s="81" t="b">
        <v>0</v>
      </c>
      <c r="AJ88" s="81"/>
      <c r="AK88" s="81"/>
      <c r="AL88" s="81"/>
      <c r="AM88" s="81"/>
      <c r="AN88" s="81"/>
      <c r="AO88" s="81"/>
      <c r="AP88" s="81"/>
      <c r="AQ88" s="81"/>
      <c r="AR88" s="81"/>
      <c r="AS88" s="81"/>
      <c r="AT88" s="81"/>
      <c r="AU88" s="81"/>
      <c r="AV88" s="86" t="str">
        <f>HYPERLINK("https://pbs.twimg.com/profile_images/1306278808039780352/Wk3HPqPR_normal.jpg")</f>
        <v>https://pbs.twimg.com/profile_images/1306278808039780352/Wk3HPqPR_normal.jpg</v>
      </c>
      <c r="AW88" s="84" t="s">
        <v>789</v>
      </c>
      <c r="AX88" s="84" t="s">
        <v>789</v>
      </c>
      <c r="AY88" s="81"/>
      <c r="AZ88" s="84" t="s">
        <v>879</v>
      </c>
      <c r="BA88" s="84" t="s">
        <v>791</v>
      </c>
      <c r="BB88" s="84" t="s">
        <v>879</v>
      </c>
      <c r="BC88" s="84" t="s">
        <v>791</v>
      </c>
      <c r="BD88" s="84" t="s">
        <v>888</v>
      </c>
      <c r="BE88" s="81"/>
      <c r="BF88" s="81"/>
      <c r="BG88" s="81"/>
      <c r="BH88" s="81"/>
      <c r="BI88" s="81"/>
      <c r="BJ88">
        <v>1</v>
      </c>
      <c r="BK88" s="80" t="str">
        <f>REPLACE(INDEX(GroupVertices[Group], MATCH("~"&amp;Edges[[#This Row],[Vertex 1]],GroupVertices[Vertex],0)),1,1,"")</f>
        <v>1</v>
      </c>
      <c r="BL88" s="80" t="str">
        <f>REPLACE(INDEX(GroupVertices[Group], MATCH("~"&amp;Edges[[#This Row],[Vertex 2]],GroupVertices[Vertex],0)),1,1,"")</f>
        <v>1</v>
      </c>
      <c r="BM88" s="49">
        <v>0</v>
      </c>
      <c r="BN88" s="50">
        <v>0</v>
      </c>
      <c r="BO88" s="49">
        <v>0</v>
      </c>
      <c r="BP88" s="50">
        <v>0</v>
      </c>
      <c r="BQ88" s="49">
        <v>0</v>
      </c>
      <c r="BR88" s="50">
        <v>0</v>
      </c>
      <c r="BS88" s="49">
        <v>22</v>
      </c>
      <c r="BT88" s="50">
        <v>61.111111111111114</v>
      </c>
      <c r="BU88" s="49">
        <v>36</v>
      </c>
    </row>
    <row r="89" spans="1:73" x14ac:dyDescent="0.25">
      <c r="A89" s="65" t="s">
        <v>268</v>
      </c>
      <c r="B89" s="65" t="s">
        <v>269</v>
      </c>
      <c r="C89" s="66" t="s">
        <v>10073</v>
      </c>
      <c r="D89" s="67">
        <v>3</v>
      </c>
      <c r="E89" s="68" t="s">
        <v>132</v>
      </c>
      <c r="F89" s="69">
        <v>35</v>
      </c>
      <c r="G89" s="66"/>
      <c r="H89" s="70"/>
      <c r="I89" s="71"/>
      <c r="J89" s="71"/>
      <c r="K89" s="35" t="s">
        <v>66</v>
      </c>
      <c r="L89" s="79">
        <v>89</v>
      </c>
      <c r="M89" s="79"/>
      <c r="N89" s="73"/>
      <c r="O89" s="81" t="s">
        <v>365</v>
      </c>
      <c r="P89" s="83">
        <v>45229.644479166665</v>
      </c>
      <c r="Q89" s="81" t="s">
        <v>411</v>
      </c>
      <c r="R89" s="81">
        <v>1</v>
      </c>
      <c r="S89" s="81">
        <v>0</v>
      </c>
      <c r="T89" s="81">
        <v>0</v>
      </c>
      <c r="U89" s="81">
        <v>0</v>
      </c>
      <c r="V89" s="81"/>
      <c r="W89" s="81"/>
      <c r="X89" s="81"/>
      <c r="Y89" s="81"/>
      <c r="Z89" s="81" t="s">
        <v>269</v>
      </c>
      <c r="AA89" s="81"/>
      <c r="AB89" s="81"/>
      <c r="AC89" s="84" t="s">
        <v>582</v>
      </c>
      <c r="AD89" s="81" t="s">
        <v>588</v>
      </c>
      <c r="AE89" s="86" t="str">
        <f>HYPERLINK("https://twitter.com/aejmc/status/1719013300917153948")</f>
        <v>https://twitter.com/aejmc/status/1719013300917153948</v>
      </c>
      <c r="AF89" s="83">
        <v>45229.644479166665</v>
      </c>
      <c r="AG89" s="89">
        <v>45229</v>
      </c>
      <c r="AH89" s="84" t="s">
        <v>636</v>
      </c>
      <c r="AI89" s="81" t="b">
        <v>0</v>
      </c>
      <c r="AJ89" s="81"/>
      <c r="AK89" s="81"/>
      <c r="AL89" s="81"/>
      <c r="AM89" s="81"/>
      <c r="AN89" s="81"/>
      <c r="AO89" s="81"/>
      <c r="AP89" s="81"/>
      <c r="AQ89" s="81"/>
      <c r="AR89" s="81"/>
      <c r="AS89" s="81"/>
      <c r="AT89" s="81"/>
      <c r="AU89" s="81"/>
      <c r="AV89" s="86" t="str">
        <f>HYPERLINK("https://pbs.twimg.com/profile_images/1559584982439444482/vOVkFGh3_normal.png")</f>
        <v>https://pbs.twimg.com/profile_images/1559584982439444482/vOVkFGh3_normal.png</v>
      </c>
      <c r="AW89" s="84" t="s">
        <v>790</v>
      </c>
      <c r="AX89" s="84" t="s">
        <v>790</v>
      </c>
      <c r="AY89" s="81"/>
      <c r="AZ89" s="84" t="s">
        <v>879</v>
      </c>
      <c r="BA89" s="84" t="s">
        <v>791</v>
      </c>
      <c r="BB89" s="84" t="s">
        <v>789</v>
      </c>
      <c r="BC89" s="84" t="s">
        <v>789</v>
      </c>
      <c r="BD89" s="81">
        <v>8442592</v>
      </c>
      <c r="BE89" s="81"/>
      <c r="BF89" s="81"/>
      <c r="BG89" s="81"/>
      <c r="BH89" s="81"/>
      <c r="BI89" s="81"/>
      <c r="BJ89">
        <v>1</v>
      </c>
      <c r="BK89" s="80" t="str">
        <f>REPLACE(INDEX(GroupVertices[Group], MATCH("~"&amp;Edges[[#This Row],[Vertex 1]],GroupVertices[Vertex],0)),1,1,"")</f>
        <v>1</v>
      </c>
      <c r="BL89" s="80" t="str">
        <f>REPLACE(INDEX(GroupVertices[Group], MATCH("~"&amp;Edges[[#This Row],[Vertex 2]],GroupVertices[Vertex],0)),1,1,"")</f>
        <v>1</v>
      </c>
      <c r="BM89" s="49">
        <v>0</v>
      </c>
      <c r="BN89" s="50">
        <v>0</v>
      </c>
      <c r="BO89" s="49">
        <v>0</v>
      </c>
      <c r="BP89" s="50">
        <v>0</v>
      </c>
      <c r="BQ89" s="49">
        <v>0</v>
      </c>
      <c r="BR89" s="50">
        <v>0</v>
      </c>
      <c r="BS89" s="49">
        <v>13</v>
      </c>
      <c r="BT89" s="50">
        <v>59.090909090909093</v>
      </c>
      <c r="BU89" s="49">
        <v>22</v>
      </c>
    </row>
    <row r="90" spans="1:73" x14ac:dyDescent="0.25">
      <c r="A90" s="65" t="s">
        <v>269</v>
      </c>
      <c r="B90" s="65" t="s">
        <v>269</v>
      </c>
      <c r="C90" s="66" t="s">
        <v>10073</v>
      </c>
      <c r="D90" s="67">
        <v>3</v>
      </c>
      <c r="E90" s="68" t="s">
        <v>132</v>
      </c>
      <c r="F90" s="69">
        <v>35</v>
      </c>
      <c r="G90" s="66"/>
      <c r="H90" s="70"/>
      <c r="I90" s="71"/>
      <c r="J90" s="71"/>
      <c r="K90" s="35" t="s">
        <v>65</v>
      </c>
      <c r="L90" s="79">
        <v>90</v>
      </c>
      <c r="M90" s="79"/>
      <c r="N90" s="73"/>
      <c r="O90" s="81" t="s">
        <v>196</v>
      </c>
      <c r="P90" s="83">
        <v>45222.416666666664</v>
      </c>
      <c r="Q90" s="81" t="s">
        <v>412</v>
      </c>
      <c r="R90" s="81">
        <v>0</v>
      </c>
      <c r="S90" s="81">
        <v>0</v>
      </c>
      <c r="T90" s="81">
        <v>0</v>
      </c>
      <c r="U90" s="81">
        <v>1</v>
      </c>
      <c r="V90" s="81">
        <v>585</v>
      </c>
      <c r="W90" s="84" t="s">
        <v>483</v>
      </c>
      <c r="X90" s="86" t="str">
        <f>HYPERLINK("https://journals.sagepub.com/doi/abs/10.1177/0973258617743625")</f>
        <v>https://journals.sagepub.com/doi/abs/10.1177/0973258617743625</v>
      </c>
      <c r="Y90" s="81" t="s">
        <v>506</v>
      </c>
      <c r="Z90" s="81"/>
      <c r="AA90" s="81" t="s">
        <v>565</v>
      </c>
      <c r="AB90" s="81" t="s">
        <v>575</v>
      </c>
      <c r="AC90" s="84" t="s">
        <v>582</v>
      </c>
      <c r="AD90" s="81" t="s">
        <v>588</v>
      </c>
      <c r="AE90" s="86" t="str">
        <f>HYPERLINK("https://twitter.com/joccjournal/status/1716394030886428900")</f>
        <v>https://twitter.com/joccjournal/status/1716394030886428900</v>
      </c>
      <c r="AF90" s="83">
        <v>45222.416666666664</v>
      </c>
      <c r="AG90" s="89">
        <v>45222</v>
      </c>
      <c r="AH90" s="84" t="s">
        <v>637</v>
      </c>
      <c r="AI90" s="81" t="b">
        <v>0</v>
      </c>
      <c r="AJ90" s="81"/>
      <c r="AK90" s="81"/>
      <c r="AL90" s="81"/>
      <c r="AM90" s="81"/>
      <c r="AN90" s="81"/>
      <c r="AO90" s="81"/>
      <c r="AP90" s="81"/>
      <c r="AQ90" s="81" t="s">
        <v>734</v>
      </c>
      <c r="AR90" s="81"/>
      <c r="AS90" s="81"/>
      <c r="AT90" s="81"/>
      <c r="AU90" s="81"/>
      <c r="AV90" s="86" t="str">
        <f>HYPERLINK("https://pbs.twimg.com/media/F8JmwXcaMAA_W3l.jpg")</f>
        <v>https://pbs.twimg.com/media/F8JmwXcaMAA_W3l.jpg</v>
      </c>
      <c r="AW90" s="84" t="s">
        <v>791</v>
      </c>
      <c r="AX90" s="84" t="s">
        <v>791</v>
      </c>
      <c r="AY90" s="81"/>
      <c r="AZ90" s="84" t="s">
        <v>879</v>
      </c>
      <c r="BA90" s="84" t="s">
        <v>879</v>
      </c>
      <c r="BB90" s="84" t="s">
        <v>879</v>
      </c>
      <c r="BC90" s="84" t="s">
        <v>791</v>
      </c>
      <c r="BD90" s="84" t="s">
        <v>888</v>
      </c>
      <c r="BE90" s="81"/>
      <c r="BF90" s="81"/>
      <c r="BG90" s="81"/>
      <c r="BH90" s="81"/>
      <c r="BI90" s="81"/>
      <c r="BJ90">
        <v>1</v>
      </c>
      <c r="BK90" s="80" t="str">
        <f>REPLACE(INDEX(GroupVertices[Group], MATCH("~"&amp;Edges[[#This Row],[Vertex 1]],GroupVertices[Vertex],0)),1,1,"")</f>
        <v>1</v>
      </c>
      <c r="BL90" s="80" t="str">
        <f>REPLACE(INDEX(GroupVertices[Group], MATCH("~"&amp;Edges[[#This Row],[Vertex 2]],GroupVertices[Vertex],0)),1,1,"")</f>
        <v>1</v>
      </c>
      <c r="BM90" s="49">
        <v>1</v>
      </c>
      <c r="BN90" s="50">
        <v>2.8571428571428572</v>
      </c>
      <c r="BO90" s="49">
        <v>0</v>
      </c>
      <c r="BP90" s="50">
        <v>0</v>
      </c>
      <c r="BQ90" s="49">
        <v>0</v>
      </c>
      <c r="BR90" s="50">
        <v>0</v>
      </c>
      <c r="BS90" s="49">
        <v>22</v>
      </c>
      <c r="BT90" s="50">
        <v>62.857142857142854</v>
      </c>
      <c r="BU90" s="49">
        <v>35</v>
      </c>
    </row>
    <row r="91" spans="1:73" x14ac:dyDescent="0.25">
      <c r="A91" s="65" t="s">
        <v>269</v>
      </c>
      <c r="B91" s="65" t="s">
        <v>268</v>
      </c>
      <c r="C91" s="66" t="s">
        <v>10073</v>
      </c>
      <c r="D91" s="67">
        <v>3</v>
      </c>
      <c r="E91" s="68" t="s">
        <v>132</v>
      </c>
      <c r="F91" s="69">
        <v>35</v>
      </c>
      <c r="G91" s="66"/>
      <c r="H91" s="70"/>
      <c r="I91" s="71"/>
      <c r="J91" s="71"/>
      <c r="K91" s="35" t="s">
        <v>66</v>
      </c>
      <c r="L91" s="79">
        <v>91</v>
      </c>
      <c r="M91" s="79"/>
      <c r="N91" s="73"/>
      <c r="O91" s="81" t="s">
        <v>370</v>
      </c>
      <c r="P91" s="83">
        <v>45229.280138888891</v>
      </c>
      <c r="Q91" s="81" t="s">
        <v>410</v>
      </c>
      <c r="R91" s="81">
        <v>1</v>
      </c>
      <c r="S91" s="81">
        <v>0</v>
      </c>
      <c r="T91" s="81">
        <v>0</v>
      </c>
      <c r="U91" s="81">
        <v>0</v>
      </c>
      <c r="V91" s="81">
        <v>552</v>
      </c>
      <c r="W91" s="81"/>
      <c r="X91" s="86" t="str">
        <f>HYPERLINK("https://journals.sagepub.com/doi/abs/10.1177/0973258617743625")</f>
        <v>https://journals.sagepub.com/doi/abs/10.1177/0973258617743625</v>
      </c>
      <c r="Y91" s="81" t="s">
        <v>506</v>
      </c>
      <c r="Z91" s="81" t="s">
        <v>537</v>
      </c>
      <c r="AA91" s="81"/>
      <c r="AB91" s="81"/>
      <c r="AC91" s="84" t="s">
        <v>582</v>
      </c>
      <c r="AD91" s="81" t="s">
        <v>588</v>
      </c>
      <c r="AE91" s="86" t="str">
        <f>HYPERLINK("https://twitter.com/joccjournal/status/1718881270619627729")</f>
        <v>https://twitter.com/joccjournal/status/1718881270619627729</v>
      </c>
      <c r="AF91" s="83">
        <v>45229.280138888891</v>
      </c>
      <c r="AG91" s="89">
        <v>45229</v>
      </c>
      <c r="AH91" s="84" t="s">
        <v>635</v>
      </c>
      <c r="AI91" s="81" t="b">
        <v>0</v>
      </c>
      <c r="AJ91" s="81"/>
      <c r="AK91" s="81"/>
      <c r="AL91" s="81"/>
      <c r="AM91" s="81"/>
      <c r="AN91" s="81"/>
      <c r="AO91" s="81"/>
      <c r="AP91" s="81"/>
      <c r="AQ91" s="81"/>
      <c r="AR91" s="81"/>
      <c r="AS91" s="81"/>
      <c r="AT91" s="81"/>
      <c r="AU91" s="81"/>
      <c r="AV91" s="86" t="str">
        <f>HYPERLINK("https://pbs.twimg.com/profile_images/1306278808039780352/Wk3HPqPR_normal.jpg")</f>
        <v>https://pbs.twimg.com/profile_images/1306278808039780352/Wk3HPqPR_normal.jpg</v>
      </c>
      <c r="AW91" s="84" t="s">
        <v>789</v>
      </c>
      <c r="AX91" s="84" t="s">
        <v>789</v>
      </c>
      <c r="AY91" s="81"/>
      <c r="AZ91" s="84" t="s">
        <v>879</v>
      </c>
      <c r="BA91" s="84" t="s">
        <v>791</v>
      </c>
      <c r="BB91" s="84" t="s">
        <v>879</v>
      </c>
      <c r="BC91" s="84" t="s">
        <v>791</v>
      </c>
      <c r="BD91" s="84" t="s">
        <v>888</v>
      </c>
      <c r="BE91" s="81"/>
      <c r="BF91" s="81"/>
      <c r="BG91" s="81"/>
      <c r="BH91" s="81"/>
      <c r="BI91" s="81"/>
      <c r="BJ91">
        <v>1</v>
      </c>
      <c r="BK91" s="80" t="str">
        <f>REPLACE(INDEX(GroupVertices[Group], MATCH("~"&amp;Edges[[#This Row],[Vertex 1]],GroupVertices[Vertex],0)),1,1,"")</f>
        <v>1</v>
      </c>
      <c r="BL91" s="80" t="str">
        <f>REPLACE(INDEX(GroupVertices[Group], MATCH("~"&amp;Edges[[#This Row],[Vertex 2]],GroupVertices[Vertex],0)),1,1,"")</f>
        <v>1</v>
      </c>
      <c r="BM91" s="49"/>
      <c r="BN91" s="50"/>
      <c r="BO91" s="49"/>
      <c r="BP91" s="50"/>
      <c r="BQ91" s="49"/>
      <c r="BR91" s="50"/>
      <c r="BS91" s="49"/>
      <c r="BT91" s="50"/>
      <c r="BU91" s="49"/>
    </row>
    <row r="92" spans="1:73" x14ac:dyDescent="0.25">
      <c r="A92" s="65" t="s">
        <v>269</v>
      </c>
      <c r="B92" s="65" t="s">
        <v>269</v>
      </c>
      <c r="C92" s="66" t="s">
        <v>10073</v>
      </c>
      <c r="D92" s="67">
        <v>3</v>
      </c>
      <c r="E92" s="68" t="s">
        <v>132</v>
      </c>
      <c r="F92" s="69">
        <v>35</v>
      </c>
      <c r="G92" s="66"/>
      <c r="H92" s="70"/>
      <c r="I92" s="71"/>
      <c r="J92" s="71"/>
      <c r="K92" s="35" t="s">
        <v>65</v>
      </c>
      <c r="L92" s="79">
        <v>92</v>
      </c>
      <c r="M92" s="79"/>
      <c r="N92" s="73"/>
      <c r="O92" s="81" t="s">
        <v>371</v>
      </c>
      <c r="P92" s="83">
        <v>45229.280138888891</v>
      </c>
      <c r="Q92" s="81" t="s">
        <v>410</v>
      </c>
      <c r="R92" s="81">
        <v>1</v>
      </c>
      <c r="S92" s="81">
        <v>0</v>
      </c>
      <c r="T92" s="81">
        <v>0</v>
      </c>
      <c r="U92" s="81">
        <v>0</v>
      </c>
      <c r="V92" s="81">
        <v>552</v>
      </c>
      <c r="W92" s="81"/>
      <c r="X92" s="86" t="str">
        <f>HYPERLINK("https://journals.sagepub.com/doi/abs/10.1177/0973258617743625")</f>
        <v>https://journals.sagepub.com/doi/abs/10.1177/0973258617743625</v>
      </c>
      <c r="Y92" s="81" t="s">
        <v>506</v>
      </c>
      <c r="Z92" s="81" t="s">
        <v>537</v>
      </c>
      <c r="AA92" s="81"/>
      <c r="AB92" s="81"/>
      <c r="AC92" s="84" t="s">
        <v>582</v>
      </c>
      <c r="AD92" s="81" t="s">
        <v>588</v>
      </c>
      <c r="AE92" s="86" t="str">
        <f>HYPERLINK("https://twitter.com/joccjournal/status/1718881270619627729")</f>
        <v>https://twitter.com/joccjournal/status/1718881270619627729</v>
      </c>
      <c r="AF92" s="83">
        <v>45229.280138888891</v>
      </c>
      <c r="AG92" s="89">
        <v>45229</v>
      </c>
      <c r="AH92" s="84" t="s">
        <v>635</v>
      </c>
      <c r="AI92" s="81" t="b">
        <v>0</v>
      </c>
      <c r="AJ92" s="81"/>
      <c r="AK92" s="81"/>
      <c r="AL92" s="81"/>
      <c r="AM92" s="81"/>
      <c r="AN92" s="81"/>
      <c r="AO92" s="81"/>
      <c r="AP92" s="81"/>
      <c r="AQ92" s="81"/>
      <c r="AR92" s="81"/>
      <c r="AS92" s="81"/>
      <c r="AT92" s="81"/>
      <c r="AU92" s="81"/>
      <c r="AV92" s="86" t="str">
        <f>HYPERLINK("https://pbs.twimg.com/profile_images/1306278808039780352/Wk3HPqPR_normal.jpg")</f>
        <v>https://pbs.twimg.com/profile_images/1306278808039780352/Wk3HPqPR_normal.jpg</v>
      </c>
      <c r="AW92" s="84" t="s">
        <v>789</v>
      </c>
      <c r="AX92" s="84" t="s">
        <v>789</v>
      </c>
      <c r="AY92" s="81"/>
      <c r="AZ92" s="84" t="s">
        <v>879</v>
      </c>
      <c r="BA92" s="84" t="s">
        <v>791</v>
      </c>
      <c r="BB92" s="84" t="s">
        <v>879</v>
      </c>
      <c r="BC92" s="84" t="s">
        <v>791</v>
      </c>
      <c r="BD92" s="84" t="s">
        <v>888</v>
      </c>
      <c r="BE92" s="81"/>
      <c r="BF92" s="81"/>
      <c r="BG92" s="81"/>
      <c r="BH92" s="81"/>
      <c r="BI92" s="81"/>
      <c r="BJ92">
        <v>1</v>
      </c>
      <c r="BK92" s="80" t="str">
        <f>REPLACE(INDEX(GroupVertices[Group], MATCH("~"&amp;Edges[[#This Row],[Vertex 1]],GroupVertices[Vertex],0)),1,1,"")</f>
        <v>1</v>
      </c>
      <c r="BL92" s="80" t="str">
        <f>REPLACE(INDEX(GroupVertices[Group], MATCH("~"&amp;Edges[[#This Row],[Vertex 2]],GroupVertices[Vertex],0)),1,1,"")</f>
        <v>1</v>
      </c>
      <c r="BM92" s="49"/>
      <c r="BN92" s="50"/>
      <c r="BO92" s="49"/>
      <c r="BP92" s="50"/>
      <c r="BQ92" s="49"/>
      <c r="BR92" s="50"/>
      <c r="BS92" s="49"/>
      <c r="BT92" s="50"/>
      <c r="BU92" s="49"/>
    </row>
    <row r="93" spans="1:73" x14ac:dyDescent="0.25">
      <c r="A93" s="65" t="s">
        <v>270</v>
      </c>
      <c r="B93" s="65" t="s">
        <v>289</v>
      </c>
      <c r="C93" s="66" t="s">
        <v>10073</v>
      </c>
      <c r="D93" s="67">
        <v>3</v>
      </c>
      <c r="E93" s="68" t="s">
        <v>132</v>
      </c>
      <c r="F93" s="69">
        <v>35</v>
      </c>
      <c r="G93" s="66"/>
      <c r="H93" s="70"/>
      <c r="I93" s="71"/>
      <c r="J93" s="71"/>
      <c r="K93" s="35" t="s">
        <v>65</v>
      </c>
      <c r="L93" s="79">
        <v>93</v>
      </c>
      <c r="M93" s="79"/>
      <c r="N93" s="73"/>
      <c r="O93" s="81" t="s">
        <v>365</v>
      </c>
      <c r="P93" s="83">
        <v>45230.845219907409</v>
      </c>
      <c r="Q93" s="81" t="s">
        <v>372</v>
      </c>
      <c r="R93" s="81">
        <v>5</v>
      </c>
      <c r="S93" s="81">
        <v>0</v>
      </c>
      <c r="T93" s="81">
        <v>0</v>
      </c>
      <c r="U93" s="81">
        <v>0</v>
      </c>
      <c r="V93" s="81"/>
      <c r="W93" s="81"/>
      <c r="X93" s="81"/>
      <c r="Y93" s="81"/>
      <c r="Z93" s="81" t="s">
        <v>289</v>
      </c>
      <c r="AA93" s="81"/>
      <c r="AB93" s="81"/>
      <c r="AC93" s="84" t="s">
        <v>582</v>
      </c>
      <c r="AD93" s="81" t="s">
        <v>588</v>
      </c>
      <c r="AE93" s="86" t="str">
        <f>HYPERLINK("https://twitter.com/brcreech/status/1719448434405474801")</f>
        <v>https://twitter.com/brcreech/status/1719448434405474801</v>
      </c>
      <c r="AF93" s="83">
        <v>45230.845219907409</v>
      </c>
      <c r="AG93" s="89">
        <v>45230</v>
      </c>
      <c r="AH93" s="84" t="s">
        <v>638</v>
      </c>
      <c r="AI93" s="81" t="b">
        <v>0</v>
      </c>
      <c r="AJ93" s="81"/>
      <c r="AK93" s="81"/>
      <c r="AL93" s="81"/>
      <c r="AM93" s="81"/>
      <c r="AN93" s="81"/>
      <c r="AO93" s="81"/>
      <c r="AP93" s="81"/>
      <c r="AQ93" s="81"/>
      <c r="AR93" s="81"/>
      <c r="AS93" s="81"/>
      <c r="AT93" s="81"/>
      <c r="AU93" s="81"/>
      <c r="AV93" s="86" t="str">
        <f>HYPERLINK("https://pbs.twimg.com/profile_images/1696925506875146242/pEF-JeE5_normal.jpg")</f>
        <v>https://pbs.twimg.com/profile_images/1696925506875146242/pEF-JeE5_normal.jpg</v>
      </c>
      <c r="AW93" s="84" t="s">
        <v>792</v>
      </c>
      <c r="AX93" s="84" t="s">
        <v>792</v>
      </c>
      <c r="AY93" s="81"/>
      <c r="AZ93" s="84" t="s">
        <v>879</v>
      </c>
      <c r="BA93" s="84" t="s">
        <v>879</v>
      </c>
      <c r="BB93" s="84" t="s">
        <v>839</v>
      </c>
      <c r="BC93" s="84" t="s">
        <v>839</v>
      </c>
      <c r="BD93" s="81">
        <v>21871717</v>
      </c>
      <c r="BE93" s="81"/>
      <c r="BF93" s="81"/>
      <c r="BG93" s="81"/>
      <c r="BH93" s="81"/>
      <c r="BI93" s="81"/>
      <c r="BJ93">
        <v>1</v>
      </c>
      <c r="BK93" s="80" t="str">
        <f>REPLACE(INDEX(GroupVertices[Group], MATCH("~"&amp;Edges[[#This Row],[Vertex 1]],GroupVertices[Vertex],0)),1,1,"")</f>
        <v>10</v>
      </c>
      <c r="BL93" s="80" t="str">
        <f>REPLACE(INDEX(GroupVertices[Group], MATCH("~"&amp;Edges[[#This Row],[Vertex 2]],GroupVertices[Vertex],0)),1,1,"")</f>
        <v>10</v>
      </c>
      <c r="BM93" s="49">
        <v>0</v>
      </c>
      <c r="BN93" s="50">
        <v>0</v>
      </c>
      <c r="BO93" s="49">
        <v>0</v>
      </c>
      <c r="BP93" s="50">
        <v>0</v>
      </c>
      <c r="BQ93" s="49">
        <v>0</v>
      </c>
      <c r="BR93" s="50">
        <v>0</v>
      </c>
      <c r="BS93" s="49">
        <v>13</v>
      </c>
      <c r="BT93" s="50">
        <v>54.166666666666664</v>
      </c>
      <c r="BU93" s="49">
        <v>24</v>
      </c>
    </row>
    <row r="94" spans="1:73" x14ac:dyDescent="0.25">
      <c r="A94" s="65" t="s">
        <v>271</v>
      </c>
      <c r="B94" s="65" t="s">
        <v>275</v>
      </c>
      <c r="C94" s="66" t="s">
        <v>10073</v>
      </c>
      <c r="D94" s="67">
        <v>3</v>
      </c>
      <c r="E94" s="68" t="s">
        <v>132</v>
      </c>
      <c r="F94" s="69">
        <v>35</v>
      </c>
      <c r="G94" s="66"/>
      <c r="H94" s="70"/>
      <c r="I94" s="71"/>
      <c r="J94" s="71"/>
      <c r="K94" s="35" t="s">
        <v>65</v>
      </c>
      <c r="L94" s="79">
        <v>94</v>
      </c>
      <c r="M94" s="79"/>
      <c r="N94" s="73"/>
      <c r="O94" s="81" t="s">
        <v>366</v>
      </c>
      <c r="P94" s="83">
        <v>45229.563506944447</v>
      </c>
      <c r="Q94" s="81" t="s">
        <v>413</v>
      </c>
      <c r="R94" s="81">
        <v>5</v>
      </c>
      <c r="S94" s="81">
        <v>0</v>
      </c>
      <c r="T94" s="81">
        <v>0</v>
      </c>
      <c r="U94" s="81">
        <v>0</v>
      </c>
      <c r="V94" s="81"/>
      <c r="W94" s="84" t="s">
        <v>484</v>
      </c>
      <c r="X94" s="86" t="str">
        <f>HYPERLINK("https://journals.sagepub.com/doi/abs/10.1177/10776990221108722")</f>
        <v>https://journals.sagepub.com/doi/abs/10.1177/10776990221108722</v>
      </c>
      <c r="Y94" s="81" t="s">
        <v>506</v>
      </c>
      <c r="Z94" s="81" t="s">
        <v>518</v>
      </c>
      <c r="AA94" s="81"/>
      <c r="AB94" s="81"/>
      <c r="AC94" s="84" t="s">
        <v>580</v>
      </c>
      <c r="AD94" s="81" t="s">
        <v>588</v>
      </c>
      <c r="AE94" s="86" t="str">
        <f>HYPERLINK("https://twitter.com/miamoodyramirez/status/1718983958925324776")</f>
        <v>https://twitter.com/miamoodyramirez/status/1718983958925324776</v>
      </c>
      <c r="AF94" s="83">
        <v>45229.563506944447</v>
      </c>
      <c r="AG94" s="89">
        <v>45229</v>
      </c>
      <c r="AH94" s="84" t="s">
        <v>639</v>
      </c>
      <c r="AI94" s="81" t="b">
        <v>0</v>
      </c>
      <c r="AJ94" s="81"/>
      <c r="AK94" s="81"/>
      <c r="AL94" s="81"/>
      <c r="AM94" s="81"/>
      <c r="AN94" s="81"/>
      <c r="AO94" s="81"/>
      <c r="AP94" s="81"/>
      <c r="AQ94" s="81"/>
      <c r="AR94" s="81"/>
      <c r="AS94" s="81"/>
      <c r="AT94" s="81"/>
      <c r="AU94" s="81"/>
      <c r="AV94" s="86" t="str">
        <f>HYPERLINK("https://pbs.twimg.com/profile_images/1715489205248212992/bWPSimqD_normal.jpg")</f>
        <v>https://pbs.twimg.com/profile_images/1715489205248212992/bWPSimqD_normal.jpg</v>
      </c>
      <c r="AW94" s="84" t="s">
        <v>793</v>
      </c>
      <c r="AX94" s="84" t="s">
        <v>793</v>
      </c>
      <c r="AY94" s="81"/>
      <c r="AZ94" s="84" t="s">
        <v>879</v>
      </c>
      <c r="BA94" s="84" t="s">
        <v>879</v>
      </c>
      <c r="BB94" s="84" t="s">
        <v>802</v>
      </c>
      <c r="BC94" s="84" t="s">
        <v>802</v>
      </c>
      <c r="BD94" s="81">
        <v>72942893</v>
      </c>
      <c r="BE94" s="81"/>
      <c r="BF94" s="81"/>
      <c r="BG94" s="81"/>
      <c r="BH94" s="81"/>
      <c r="BI94" s="81"/>
      <c r="BJ94">
        <v>1</v>
      </c>
      <c r="BK94" s="80" t="str">
        <f>REPLACE(INDEX(GroupVertices[Group], MATCH("~"&amp;Edges[[#This Row],[Vertex 1]],GroupVertices[Vertex],0)),1,1,"")</f>
        <v>3</v>
      </c>
      <c r="BL94" s="80" t="str">
        <f>REPLACE(INDEX(GroupVertices[Group], MATCH("~"&amp;Edges[[#This Row],[Vertex 2]],GroupVertices[Vertex],0)),1,1,"")</f>
        <v>3</v>
      </c>
      <c r="BM94" s="49"/>
      <c r="BN94" s="50"/>
      <c r="BO94" s="49"/>
      <c r="BP94" s="50"/>
      <c r="BQ94" s="49"/>
      <c r="BR94" s="50"/>
      <c r="BS94" s="49"/>
      <c r="BT94" s="50"/>
      <c r="BU94" s="49"/>
    </row>
    <row r="95" spans="1:73" x14ac:dyDescent="0.25">
      <c r="A95" s="65" t="s">
        <v>271</v>
      </c>
      <c r="B95" s="65" t="s">
        <v>249</v>
      </c>
      <c r="C95" s="66" t="s">
        <v>10073</v>
      </c>
      <c r="D95" s="67">
        <v>3</v>
      </c>
      <c r="E95" s="68" t="s">
        <v>132</v>
      </c>
      <c r="F95" s="69">
        <v>35</v>
      </c>
      <c r="G95" s="66"/>
      <c r="H95" s="70"/>
      <c r="I95" s="71"/>
      <c r="J95" s="71"/>
      <c r="K95" s="35" t="s">
        <v>65</v>
      </c>
      <c r="L95" s="79">
        <v>95</v>
      </c>
      <c r="M95" s="79"/>
      <c r="N95" s="73"/>
      <c r="O95" s="81" t="s">
        <v>366</v>
      </c>
      <c r="P95" s="83">
        <v>45229.563506944447</v>
      </c>
      <c r="Q95" s="81" t="s">
        <v>413</v>
      </c>
      <c r="R95" s="81">
        <v>5</v>
      </c>
      <c r="S95" s="81">
        <v>0</v>
      </c>
      <c r="T95" s="81">
        <v>0</v>
      </c>
      <c r="U95" s="81">
        <v>0</v>
      </c>
      <c r="V95" s="81"/>
      <c r="W95" s="84" t="s">
        <v>484</v>
      </c>
      <c r="X95" s="86" t="str">
        <f>HYPERLINK("https://journals.sagepub.com/doi/abs/10.1177/10776990221108722")</f>
        <v>https://journals.sagepub.com/doi/abs/10.1177/10776990221108722</v>
      </c>
      <c r="Y95" s="81" t="s">
        <v>506</v>
      </c>
      <c r="Z95" s="81" t="s">
        <v>518</v>
      </c>
      <c r="AA95" s="81"/>
      <c r="AB95" s="81"/>
      <c r="AC95" s="84" t="s">
        <v>580</v>
      </c>
      <c r="AD95" s="81" t="s">
        <v>588</v>
      </c>
      <c r="AE95" s="86" t="str">
        <f>HYPERLINK("https://twitter.com/miamoodyramirez/status/1718983958925324776")</f>
        <v>https://twitter.com/miamoodyramirez/status/1718983958925324776</v>
      </c>
      <c r="AF95" s="83">
        <v>45229.563506944447</v>
      </c>
      <c r="AG95" s="89">
        <v>45229</v>
      </c>
      <c r="AH95" s="84" t="s">
        <v>639</v>
      </c>
      <c r="AI95" s="81" t="b">
        <v>0</v>
      </c>
      <c r="AJ95" s="81"/>
      <c r="AK95" s="81"/>
      <c r="AL95" s="81"/>
      <c r="AM95" s="81"/>
      <c r="AN95" s="81"/>
      <c r="AO95" s="81"/>
      <c r="AP95" s="81"/>
      <c r="AQ95" s="81"/>
      <c r="AR95" s="81"/>
      <c r="AS95" s="81"/>
      <c r="AT95" s="81"/>
      <c r="AU95" s="81"/>
      <c r="AV95" s="86" t="str">
        <f>HYPERLINK("https://pbs.twimg.com/profile_images/1715489205248212992/bWPSimqD_normal.jpg")</f>
        <v>https://pbs.twimg.com/profile_images/1715489205248212992/bWPSimqD_normal.jpg</v>
      </c>
      <c r="AW95" s="84" t="s">
        <v>793</v>
      </c>
      <c r="AX95" s="84" t="s">
        <v>793</v>
      </c>
      <c r="AY95" s="81"/>
      <c r="AZ95" s="84" t="s">
        <v>879</v>
      </c>
      <c r="BA95" s="84" t="s">
        <v>879</v>
      </c>
      <c r="BB95" s="84" t="s">
        <v>802</v>
      </c>
      <c r="BC95" s="84" t="s">
        <v>802</v>
      </c>
      <c r="BD95" s="81">
        <v>72942893</v>
      </c>
      <c r="BE95" s="81"/>
      <c r="BF95" s="81"/>
      <c r="BG95" s="81"/>
      <c r="BH95" s="81"/>
      <c r="BI95" s="81"/>
      <c r="BJ95">
        <v>1</v>
      </c>
      <c r="BK95" s="80" t="str">
        <f>REPLACE(INDEX(GroupVertices[Group], MATCH("~"&amp;Edges[[#This Row],[Vertex 1]],GroupVertices[Vertex],0)),1,1,"")</f>
        <v>3</v>
      </c>
      <c r="BL95" s="80" t="str">
        <f>REPLACE(INDEX(GroupVertices[Group], MATCH("~"&amp;Edges[[#This Row],[Vertex 2]],GroupVertices[Vertex],0)),1,1,"")</f>
        <v>3</v>
      </c>
      <c r="BM95" s="49"/>
      <c r="BN95" s="50"/>
      <c r="BO95" s="49"/>
      <c r="BP95" s="50"/>
      <c r="BQ95" s="49"/>
      <c r="BR95" s="50"/>
      <c r="BS95" s="49"/>
      <c r="BT95" s="50"/>
      <c r="BU95" s="49"/>
    </row>
    <row r="96" spans="1:73" x14ac:dyDescent="0.25">
      <c r="A96" s="65" t="s">
        <v>271</v>
      </c>
      <c r="B96" s="65" t="s">
        <v>249</v>
      </c>
      <c r="C96" s="66" t="s">
        <v>10073</v>
      </c>
      <c r="D96" s="67">
        <v>3</v>
      </c>
      <c r="E96" s="68" t="s">
        <v>132</v>
      </c>
      <c r="F96" s="69">
        <v>35</v>
      </c>
      <c r="G96" s="66"/>
      <c r="H96" s="70"/>
      <c r="I96" s="71"/>
      <c r="J96" s="71"/>
      <c r="K96" s="35" t="s">
        <v>65</v>
      </c>
      <c r="L96" s="79">
        <v>96</v>
      </c>
      <c r="M96" s="79"/>
      <c r="N96" s="73"/>
      <c r="O96" s="81" t="s">
        <v>365</v>
      </c>
      <c r="P96" s="83">
        <v>45229.563506944447</v>
      </c>
      <c r="Q96" s="81" t="s">
        <v>413</v>
      </c>
      <c r="R96" s="81">
        <v>5</v>
      </c>
      <c r="S96" s="81">
        <v>0</v>
      </c>
      <c r="T96" s="81">
        <v>0</v>
      </c>
      <c r="U96" s="81">
        <v>0</v>
      </c>
      <c r="V96" s="81"/>
      <c r="W96" s="84" t="s">
        <v>484</v>
      </c>
      <c r="X96" s="86" t="str">
        <f>HYPERLINK("https://journals.sagepub.com/doi/abs/10.1177/10776990221108722")</f>
        <v>https://journals.sagepub.com/doi/abs/10.1177/10776990221108722</v>
      </c>
      <c r="Y96" s="81" t="s">
        <v>506</v>
      </c>
      <c r="Z96" s="81" t="s">
        <v>518</v>
      </c>
      <c r="AA96" s="81"/>
      <c r="AB96" s="81"/>
      <c r="AC96" s="84" t="s">
        <v>580</v>
      </c>
      <c r="AD96" s="81" t="s">
        <v>588</v>
      </c>
      <c r="AE96" s="86" t="str">
        <f>HYPERLINK("https://twitter.com/miamoodyramirez/status/1718983958925324776")</f>
        <v>https://twitter.com/miamoodyramirez/status/1718983958925324776</v>
      </c>
      <c r="AF96" s="83">
        <v>45229.563506944447</v>
      </c>
      <c r="AG96" s="89">
        <v>45229</v>
      </c>
      <c r="AH96" s="84" t="s">
        <v>639</v>
      </c>
      <c r="AI96" s="81" t="b">
        <v>0</v>
      </c>
      <c r="AJ96" s="81"/>
      <c r="AK96" s="81"/>
      <c r="AL96" s="81"/>
      <c r="AM96" s="81"/>
      <c r="AN96" s="81"/>
      <c r="AO96" s="81"/>
      <c r="AP96" s="81"/>
      <c r="AQ96" s="81"/>
      <c r="AR96" s="81"/>
      <c r="AS96" s="81"/>
      <c r="AT96" s="81"/>
      <c r="AU96" s="81"/>
      <c r="AV96" s="86" t="str">
        <f>HYPERLINK("https://pbs.twimg.com/profile_images/1715489205248212992/bWPSimqD_normal.jpg")</f>
        <v>https://pbs.twimg.com/profile_images/1715489205248212992/bWPSimqD_normal.jpg</v>
      </c>
      <c r="AW96" s="84" t="s">
        <v>793</v>
      </c>
      <c r="AX96" s="84" t="s">
        <v>793</v>
      </c>
      <c r="AY96" s="81"/>
      <c r="AZ96" s="84" t="s">
        <v>879</v>
      </c>
      <c r="BA96" s="84" t="s">
        <v>879</v>
      </c>
      <c r="BB96" s="84" t="s">
        <v>802</v>
      </c>
      <c r="BC96" s="84" t="s">
        <v>802</v>
      </c>
      <c r="BD96" s="81">
        <v>72942893</v>
      </c>
      <c r="BE96" s="81"/>
      <c r="BF96" s="81"/>
      <c r="BG96" s="81"/>
      <c r="BH96" s="81"/>
      <c r="BI96" s="81"/>
      <c r="BJ96">
        <v>1</v>
      </c>
      <c r="BK96" s="80" t="str">
        <f>REPLACE(INDEX(GroupVertices[Group], MATCH("~"&amp;Edges[[#This Row],[Vertex 1]],GroupVertices[Vertex],0)),1,1,"")</f>
        <v>3</v>
      </c>
      <c r="BL96" s="80" t="str">
        <f>REPLACE(INDEX(GroupVertices[Group], MATCH("~"&amp;Edges[[#This Row],[Vertex 2]],GroupVertices[Vertex],0)),1,1,"")</f>
        <v>3</v>
      </c>
      <c r="BM96" s="49">
        <v>0</v>
      </c>
      <c r="BN96" s="50">
        <v>0</v>
      </c>
      <c r="BO96" s="49">
        <v>1</v>
      </c>
      <c r="BP96" s="50">
        <v>7.1428571428571432</v>
      </c>
      <c r="BQ96" s="49">
        <v>0</v>
      </c>
      <c r="BR96" s="50">
        <v>0</v>
      </c>
      <c r="BS96" s="49">
        <v>9</v>
      </c>
      <c r="BT96" s="50">
        <v>64.285714285714292</v>
      </c>
      <c r="BU96" s="49">
        <v>14</v>
      </c>
    </row>
    <row r="97" spans="1:73" x14ac:dyDescent="0.25">
      <c r="A97" s="65" t="s">
        <v>271</v>
      </c>
      <c r="B97" s="65" t="s">
        <v>268</v>
      </c>
      <c r="C97" s="66" t="s">
        <v>10073</v>
      </c>
      <c r="D97" s="67">
        <v>3</v>
      </c>
      <c r="E97" s="68" t="s">
        <v>132</v>
      </c>
      <c r="F97" s="69">
        <v>35</v>
      </c>
      <c r="G97" s="66"/>
      <c r="H97" s="70"/>
      <c r="I97" s="71"/>
      <c r="J97" s="71"/>
      <c r="K97" s="35" t="s">
        <v>65</v>
      </c>
      <c r="L97" s="79">
        <v>97</v>
      </c>
      <c r="M97" s="79"/>
      <c r="N97" s="73"/>
      <c r="O97" s="81" t="s">
        <v>365</v>
      </c>
      <c r="P97" s="83">
        <v>45231.505150462966</v>
      </c>
      <c r="Q97" s="81" t="s">
        <v>414</v>
      </c>
      <c r="R97" s="81">
        <v>1</v>
      </c>
      <c r="S97" s="81">
        <v>0</v>
      </c>
      <c r="T97" s="81">
        <v>0</v>
      </c>
      <c r="U97" s="81">
        <v>0</v>
      </c>
      <c r="V97" s="81"/>
      <c r="W97" s="81"/>
      <c r="X97" s="81"/>
      <c r="Y97" s="81"/>
      <c r="Z97" s="81" t="s">
        <v>268</v>
      </c>
      <c r="AA97" s="81"/>
      <c r="AB97" s="81"/>
      <c r="AC97" s="84" t="s">
        <v>580</v>
      </c>
      <c r="AD97" s="81" t="s">
        <v>588</v>
      </c>
      <c r="AE97" s="86" t="str">
        <f>HYPERLINK("https://twitter.com/miamoodyramirez/status/1719687588036890846")</f>
        <v>https://twitter.com/miamoodyramirez/status/1719687588036890846</v>
      </c>
      <c r="AF97" s="83">
        <v>45231.505150462966</v>
      </c>
      <c r="AG97" s="89">
        <v>45231</v>
      </c>
      <c r="AH97" s="84" t="s">
        <v>640</v>
      </c>
      <c r="AI97" s="81"/>
      <c r="AJ97" s="81"/>
      <c r="AK97" s="81"/>
      <c r="AL97" s="81"/>
      <c r="AM97" s="81"/>
      <c r="AN97" s="81"/>
      <c r="AO97" s="81"/>
      <c r="AP97" s="81"/>
      <c r="AQ97" s="81"/>
      <c r="AR97" s="81"/>
      <c r="AS97" s="81"/>
      <c r="AT97" s="81"/>
      <c r="AU97" s="81"/>
      <c r="AV97" s="86" t="str">
        <f>HYPERLINK("https://pbs.twimg.com/profile_images/1715489205248212992/bWPSimqD_normal.jpg")</f>
        <v>https://pbs.twimg.com/profile_images/1715489205248212992/bWPSimqD_normal.jpg</v>
      </c>
      <c r="AW97" s="84" t="s">
        <v>794</v>
      </c>
      <c r="AX97" s="84" t="s">
        <v>794</v>
      </c>
      <c r="AY97" s="81"/>
      <c r="AZ97" s="84" t="s">
        <v>879</v>
      </c>
      <c r="BA97" s="84" t="s">
        <v>879</v>
      </c>
      <c r="BB97" s="84" t="s">
        <v>863</v>
      </c>
      <c r="BC97" s="84" t="s">
        <v>863</v>
      </c>
      <c r="BD97" s="81">
        <v>72942893</v>
      </c>
      <c r="BE97" s="81"/>
      <c r="BF97" s="81"/>
      <c r="BG97" s="81"/>
      <c r="BH97" s="81"/>
      <c r="BI97" s="81"/>
      <c r="BJ97">
        <v>1</v>
      </c>
      <c r="BK97" s="80" t="str">
        <f>REPLACE(INDEX(GroupVertices[Group], MATCH("~"&amp;Edges[[#This Row],[Vertex 1]],GroupVertices[Vertex],0)),1,1,"")</f>
        <v>3</v>
      </c>
      <c r="BL97" s="80" t="str">
        <f>REPLACE(INDEX(GroupVertices[Group], MATCH("~"&amp;Edges[[#This Row],[Vertex 2]],GroupVertices[Vertex],0)),1,1,"")</f>
        <v>1</v>
      </c>
      <c r="BM97" s="49">
        <v>0</v>
      </c>
      <c r="BN97" s="50">
        <v>0</v>
      </c>
      <c r="BO97" s="49">
        <v>0</v>
      </c>
      <c r="BP97" s="50">
        <v>0</v>
      </c>
      <c r="BQ97" s="49">
        <v>0</v>
      </c>
      <c r="BR97" s="50">
        <v>0</v>
      </c>
      <c r="BS97" s="49">
        <v>15</v>
      </c>
      <c r="BT97" s="50">
        <v>78.94736842105263</v>
      </c>
      <c r="BU97" s="49">
        <v>19</v>
      </c>
    </row>
    <row r="98" spans="1:73" x14ac:dyDescent="0.25">
      <c r="A98" s="65" t="s">
        <v>272</v>
      </c>
      <c r="B98" s="65" t="s">
        <v>275</v>
      </c>
      <c r="C98" s="66" t="s">
        <v>10073</v>
      </c>
      <c r="D98" s="67">
        <v>3</v>
      </c>
      <c r="E98" s="68" t="s">
        <v>132</v>
      </c>
      <c r="F98" s="69">
        <v>35</v>
      </c>
      <c r="G98" s="66"/>
      <c r="H98" s="70"/>
      <c r="I98" s="71"/>
      <c r="J98" s="71"/>
      <c r="K98" s="35" t="s">
        <v>65</v>
      </c>
      <c r="L98" s="79">
        <v>98</v>
      </c>
      <c r="M98" s="79"/>
      <c r="N98" s="73"/>
      <c r="O98" s="81" t="s">
        <v>366</v>
      </c>
      <c r="P98" s="83">
        <v>45229.741446759261</v>
      </c>
      <c r="Q98" s="81" t="s">
        <v>413</v>
      </c>
      <c r="R98" s="81">
        <v>5</v>
      </c>
      <c r="S98" s="81">
        <v>0</v>
      </c>
      <c r="T98" s="81">
        <v>0</v>
      </c>
      <c r="U98" s="81">
        <v>0</v>
      </c>
      <c r="V98" s="81"/>
      <c r="W98" s="84" t="s">
        <v>484</v>
      </c>
      <c r="X98" s="86" t="str">
        <f>HYPERLINK("https://journals.sagepub.com/doi/abs/10.1177/10776990221108722")</f>
        <v>https://journals.sagepub.com/doi/abs/10.1177/10776990221108722</v>
      </c>
      <c r="Y98" s="81" t="s">
        <v>506</v>
      </c>
      <c r="Z98" s="81" t="s">
        <v>518</v>
      </c>
      <c r="AA98" s="81"/>
      <c r="AB98" s="81"/>
      <c r="AC98" s="84" t="s">
        <v>580</v>
      </c>
      <c r="AD98" s="81" t="s">
        <v>588</v>
      </c>
      <c r="AE98" s="86" t="str">
        <f>HYPERLINK("https://twitter.com/tjohnson1960/status/1719048441324560404")</f>
        <v>https://twitter.com/tjohnson1960/status/1719048441324560404</v>
      </c>
      <c r="AF98" s="83">
        <v>45229.741446759261</v>
      </c>
      <c r="AG98" s="89">
        <v>45229</v>
      </c>
      <c r="AH98" s="84" t="s">
        <v>641</v>
      </c>
      <c r="AI98" s="81" t="b">
        <v>0</v>
      </c>
      <c r="AJ98" s="81"/>
      <c r="AK98" s="81"/>
      <c r="AL98" s="81"/>
      <c r="AM98" s="81"/>
      <c r="AN98" s="81"/>
      <c r="AO98" s="81"/>
      <c r="AP98" s="81"/>
      <c r="AQ98" s="81"/>
      <c r="AR98" s="81"/>
      <c r="AS98" s="81"/>
      <c r="AT98" s="81"/>
      <c r="AU98" s="81"/>
      <c r="AV98" s="86" t="str">
        <f>HYPERLINK("https://pbs.twimg.com/profile_images/968887826912657408/7MXRHf7p_normal.jpg")</f>
        <v>https://pbs.twimg.com/profile_images/968887826912657408/7MXRHf7p_normal.jpg</v>
      </c>
      <c r="AW98" s="84" t="s">
        <v>795</v>
      </c>
      <c r="AX98" s="84" t="s">
        <v>795</v>
      </c>
      <c r="AY98" s="81"/>
      <c r="AZ98" s="84" t="s">
        <v>879</v>
      </c>
      <c r="BA98" s="84" t="s">
        <v>879</v>
      </c>
      <c r="BB98" s="84" t="s">
        <v>802</v>
      </c>
      <c r="BC98" s="84" t="s">
        <v>802</v>
      </c>
      <c r="BD98" s="81">
        <v>15246868</v>
      </c>
      <c r="BE98" s="81"/>
      <c r="BF98" s="81"/>
      <c r="BG98" s="81"/>
      <c r="BH98" s="81"/>
      <c r="BI98" s="81"/>
      <c r="BJ98">
        <v>1</v>
      </c>
      <c r="BK98" s="80" t="str">
        <f>REPLACE(INDEX(GroupVertices[Group], MATCH("~"&amp;Edges[[#This Row],[Vertex 1]],GroupVertices[Vertex],0)),1,1,"")</f>
        <v>3</v>
      </c>
      <c r="BL98" s="80" t="str">
        <f>REPLACE(INDEX(GroupVertices[Group], MATCH("~"&amp;Edges[[#This Row],[Vertex 2]],GroupVertices[Vertex],0)),1,1,"")</f>
        <v>3</v>
      </c>
      <c r="BM98" s="49"/>
      <c r="BN98" s="50"/>
      <c r="BO98" s="49"/>
      <c r="BP98" s="50"/>
      <c r="BQ98" s="49"/>
      <c r="BR98" s="50"/>
      <c r="BS98" s="49"/>
      <c r="BT98" s="50"/>
      <c r="BU98" s="49"/>
    </row>
    <row r="99" spans="1:73" x14ac:dyDescent="0.25">
      <c r="A99" s="65" t="s">
        <v>272</v>
      </c>
      <c r="B99" s="65" t="s">
        <v>249</v>
      </c>
      <c r="C99" s="66" t="s">
        <v>10073</v>
      </c>
      <c r="D99" s="67">
        <v>3</v>
      </c>
      <c r="E99" s="68" t="s">
        <v>132</v>
      </c>
      <c r="F99" s="69">
        <v>35</v>
      </c>
      <c r="G99" s="66"/>
      <c r="H99" s="70"/>
      <c r="I99" s="71"/>
      <c r="J99" s="71"/>
      <c r="K99" s="35" t="s">
        <v>65</v>
      </c>
      <c r="L99" s="79">
        <v>99</v>
      </c>
      <c r="M99" s="79"/>
      <c r="N99" s="73"/>
      <c r="O99" s="81" t="s">
        <v>366</v>
      </c>
      <c r="P99" s="83">
        <v>45229.741446759261</v>
      </c>
      <c r="Q99" s="81" t="s">
        <v>413</v>
      </c>
      <c r="R99" s="81">
        <v>5</v>
      </c>
      <c r="S99" s="81">
        <v>0</v>
      </c>
      <c r="T99" s="81">
        <v>0</v>
      </c>
      <c r="U99" s="81">
        <v>0</v>
      </c>
      <c r="V99" s="81"/>
      <c r="W99" s="84" t="s">
        <v>484</v>
      </c>
      <c r="X99" s="86" t="str">
        <f>HYPERLINK("https://journals.sagepub.com/doi/abs/10.1177/10776990221108722")</f>
        <v>https://journals.sagepub.com/doi/abs/10.1177/10776990221108722</v>
      </c>
      <c r="Y99" s="81" t="s">
        <v>506</v>
      </c>
      <c r="Z99" s="81" t="s">
        <v>518</v>
      </c>
      <c r="AA99" s="81"/>
      <c r="AB99" s="81"/>
      <c r="AC99" s="84" t="s">
        <v>580</v>
      </c>
      <c r="AD99" s="81" t="s">
        <v>588</v>
      </c>
      <c r="AE99" s="86" t="str">
        <f>HYPERLINK("https://twitter.com/tjohnson1960/status/1719048441324560404")</f>
        <v>https://twitter.com/tjohnson1960/status/1719048441324560404</v>
      </c>
      <c r="AF99" s="83">
        <v>45229.741446759261</v>
      </c>
      <c r="AG99" s="89">
        <v>45229</v>
      </c>
      <c r="AH99" s="84" t="s">
        <v>641</v>
      </c>
      <c r="AI99" s="81" t="b">
        <v>0</v>
      </c>
      <c r="AJ99" s="81"/>
      <c r="AK99" s="81"/>
      <c r="AL99" s="81"/>
      <c r="AM99" s="81"/>
      <c r="AN99" s="81"/>
      <c r="AO99" s="81"/>
      <c r="AP99" s="81"/>
      <c r="AQ99" s="81"/>
      <c r="AR99" s="81"/>
      <c r="AS99" s="81"/>
      <c r="AT99" s="81"/>
      <c r="AU99" s="81"/>
      <c r="AV99" s="86" t="str">
        <f>HYPERLINK("https://pbs.twimg.com/profile_images/968887826912657408/7MXRHf7p_normal.jpg")</f>
        <v>https://pbs.twimg.com/profile_images/968887826912657408/7MXRHf7p_normal.jpg</v>
      </c>
      <c r="AW99" s="84" t="s">
        <v>795</v>
      </c>
      <c r="AX99" s="84" t="s">
        <v>795</v>
      </c>
      <c r="AY99" s="81"/>
      <c r="AZ99" s="84" t="s">
        <v>879</v>
      </c>
      <c r="BA99" s="84" t="s">
        <v>879</v>
      </c>
      <c r="BB99" s="84" t="s">
        <v>802</v>
      </c>
      <c r="BC99" s="84" t="s">
        <v>802</v>
      </c>
      <c r="BD99" s="81">
        <v>15246868</v>
      </c>
      <c r="BE99" s="81"/>
      <c r="BF99" s="81"/>
      <c r="BG99" s="81"/>
      <c r="BH99" s="81"/>
      <c r="BI99" s="81"/>
      <c r="BJ99">
        <v>1</v>
      </c>
      <c r="BK99" s="80" t="str">
        <f>REPLACE(INDEX(GroupVertices[Group], MATCH("~"&amp;Edges[[#This Row],[Vertex 1]],GroupVertices[Vertex],0)),1,1,"")</f>
        <v>3</v>
      </c>
      <c r="BL99" s="80" t="str">
        <f>REPLACE(INDEX(GroupVertices[Group], MATCH("~"&amp;Edges[[#This Row],[Vertex 2]],GroupVertices[Vertex],0)),1,1,"")</f>
        <v>3</v>
      </c>
      <c r="BM99" s="49"/>
      <c r="BN99" s="50"/>
      <c r="BO99" s="49"/>
      <c r="BP99" s="50"/>
      <c r="BQ99" s="49"/>
      <c r="BR99" s="50"/>
      <c r="BS99" s="49"/>
      <c r="BT99" s="50"/>
      <c r="BU99" s="49"/>
    </row>
    <row r="100" spans="1:73" x14ac:dyDescent="0.25">
      <c r="A100" s="65" t="s">
        <v>272</v>
      </c>
      <c r="B100" s="65" t="s">
        <v>249</v>
      </c>
      <c r="C100" s="66" t="s">
        <v>10073</v>
      </c>
      <c r="D100" s="67">
        <v>3</v>
      </c>
      <c r="E100" s="68" t="s">
        <v>132</v>
      </c>
      <c r="F100" s="69">
        <v>35</v>
      </c>
      <c r="G100" s="66"/>
      <c r="H100" s="70"/>
      <c r="I100" s="71"/>
      <c r="J100" s="71"/>
      <c r="K100" s="35" t="s">
        <v>65</v>
      </c>
      <c r="L100" s="79">
        <v>100</v>
      </c>
      <c r="M100" s="79"/>
      <c r="N100" s="73"/>
      <c r="O100" s="81" t="s">
        <v>365</v>
      </c>
      <c r="P100" s="83">
        <v>45229.741446759261</v>
      </c>
      <c r="Q100" s="81" t="s">
        <v>413</v>
      </c>
      <c r="R100" s="81">
        <v>5</v>
      </c>
      <c r="S100" s="81">
        <v>0</v>
      </c>
      <c r="T100" s="81">
        <v>0</v>
      </c>
      <c r="U100" s="81">
        <v>0</v>
      </c>
      <c r="V100" s="81"/>
      <c r="W100" s="84" t="s">
        <v>484</v>
      </c>
      <c r="X100" s="86" t="str">
        <f>HYPERLINK("https://journals.sagepub.com/doi/abs/10.1177/10776990221108722")</f>
        <v>https://journals.sagepub.com/doi/abs/10.1177/10776990221108722</v>
      </c>
      <c r="Y100" s="81" t="s">
        <v>506</v>
      </c>
      <c r="Z100" s="81" t="s">
        <v>518</v>
      </c>
      <c r="AA100" s="81"/>
      <c r="AB100" s="81"/>
      <c r="AC100" s="84" t="s">
        <v>580</v>
      </c>
      <c r="AD100" s="81" t="s">
        <v>588</v>
      </c>
      <c r="AE100" s="86" t="str">
        <f>HYPERLINK("https://twitter.com/tjohnson1960/status/1719048441324560404")</f>
        <v>https://twitter.com/tjohnson1960/status/1719048441324560404</v>
      </c>
      <c r="AF100" s="83">
        <v>45229.741446759261</v>
      </c>
      <c r="AG100" s="89">
        <v>45229</v>
      </c>
      <c r="AH100" s="84" t="s">
        <v>641</v>
      </c>
      <c r="AI100" s="81" t="b">
        <v>0</v>
      </c>
      <c r="AJ100" s="81"/>
      <c r="AK100" s="81"/>
      <c r="AL100" s="81"/>
      <c r="AM100" s="81"/>
      <c r="AN100" s="81"/>
      <c r="AO100" s="81"/>
      <c r="AP100" s="81"/>
      <c r="AQ100" s="81"/>
      <c r="AR100" s="81"/>
      <c r="AS100" s="81"/>
      <c r="AT100" s="81"/>
      <c r="AU100" s="81"/>
      <c r="AV100" s="86" t="str">
        <f>HYPERLINK("https://pbs.twimg.com/profile_images/968887826912657408/7MXRHf7p_normal.jpg")</f>
        <v>https://pbs.twimg.com/profile_images/968887826912657408/7MXRHf7p_normal.jpg</v>
      </c>
      <c r="AW100" s="84" t="s">
        <v>795</v>
      </c>
      <c r="AX100" s="84" t="s">
        <v>795</v>
      </c>
      <c r="AY100" s="81"/>
      <c r="AZ100" s="84" t="s">
        <v>879</v>
      </c>
      <c r="BA100" s="84" t="s">
        <v>879</v>
      </c>
      <c r="BB100" s="84" t="s">
        <v>802</v>
      </c>
      <c r="BC100" s="84" t="s">
        <v>802</v>
      </c>
      <c r="BD100" s="81">
        <v>15246868</v>
      </c>
      <c r="BE100" s="81"/>
      <c r="BF100" s="81"/>
      <c r="BG100" s="81"/>
      <c r="BH100" s="81"/>
      <c r="BI100" s="81"/>
      <c r="BJ100">
        <v>1</v>
      </c>
      <c r="BK100" s="80" t="str">
        <f>REPLACE(INDEX(GroupVertices[Group], MATCH("~"&amp;Edges[[#This Row],[Vertex 1]],GroupVertices[Vertex],0)),1,1,"")</f>
        <v>3</v>
      </c>
      <c r="BL100" s="80" t="str">
        <f>REPLACE(INDEX(GroupVertices[Group], MATCH("~"&amp;Edges[[#This Row],[Vertex 2]],GroupVertices[Vertex],0)),1,1,"")</f>
        <v>3</v>
      </c>
      <c r="BM100" s="49">
        <v>0</v>
      </c>
      <c r="BN100" s="50">
        <v>0</v>
      </c>
      <c r="BO100" s="49">
        <v>1</v>
      </c>
      <c r="BP100" s="50">
        <v>7.1428571428571432</v>
      </c>
      <c r="BQ100" s="49">
        <v>0</v>
      </c>
      <c r="BR100" s="50">
        <v>0</v>
      </c>
      <c r="BS100" s="49">
        <v>9</v>
      </c>
      <c r="BT100" s="50">
        <v>64.285714285714292</v>
      </c>
      <c r="BU100" s="49">
        <v>14</v>
      </c>
    </row>
    <row r="101" spans="1:73" x14ac:dyDescent="0.25">
      <c r="A101" s="65" t="s">
        <v>273</v>
      </c>
      <c r="B101" s="65" t="s">
        <v>268</v>
      </c>
      <c r="C101" s="66" t="s">
        <v>10073</v>
      </c>
      <c r="D101" s="67">
        <v>3</v>
      </c>
      <c r="E101" s="68" t="s">
        <v>132</v>
      </c>
      <c r="F101" s="69">
        <v>35</v>
      </c>
      <c r="G101" s="66"/>
      <c r="H101" s="70"/>
      <c r="I101" s="71"/>
      <c r="J101" s="71"/>
      <c r="K101" s="35" t="s">
        <v>65</v>
      </c>
      <c r="L101" s="79">
        <v>101</v>
      </c>
      <c r="M101" s="79"/>
      <c r="N101" s="73"/>
      <c r="O101" s="81" t="s">
        <v>369</v>
      </c>
      <c r="P101" s="83">
        <v>45230.817071759258</v>
      </c>
      <c r="Q101" s="81" t="s">
        <v>415</v>
      </c>
      <c r="R101" s="81">
        <v>0</v>
      </c>
      <c r="S101" s="81">
        <v>0</v>
      </c>
      <c r="T101" s="81">
        <v>0</v>
      </c>
      <c r="U101" s="81">
        <v>0</v>
      </c>
      <c r="V101" s="81">
        <v>13</v>
      </c>
      <c r="W101" s="81"/>
      <c r="X101" s="81"/>
      <c r="Y101" s="81"/>
      <c r="Z101" s="81" t="s">
        <v>268</v>
      </c>
      <c r="AA101" s="81"/>
      <c r="AB101" s="81"/>
      <c r="AC101" s="84" t="s">
        <v>580</v>
      </c>
      <c r="AD101" s="81" t="s">
        <v>588</v>
      </c>
      <c r="AE101" s="86" t="str">
        <f>HYPERLINK("https://twitter.com/ldeshan/status/1719438236919972213")</f>
        <v>https://twitter.com/ldeshan/status/1719438236919972213</v>
      </c>
      <c r="AF101" s="83">
        <v>45230.817071759258</v>
      </c>
      <c r="AG101" s="89">
        <v>45230</v>
      </c>
      <c r="AH101" s="84" t="s">
        <v>642</v>
      </c>
      <c r="AI101" s="81"/>
      <c r="AJ101" s="81"/>
      <c r="AK101" s="81"/>
      <c r="AL101" s="81"/>
      <c r="AM101" s="81"/>
      <c r="AN101" s="81"/>
      <c r="AO101" s="81"/>
      <c r="AP101" s="81"/>
      <c r="AQ101" s="81"/>
      <c r="AR101" s="81"/>
      <c r="AS101" s="81"/>
      <c r="AT101" s="81"/>
      <c r="AU101" s="81"/>
      <c r="AV101" s="86" t="str">
        <f>HYPERLINK("https://pbs.twimg.com/profile_images/1372971351145918465/tQ9YixpU_normal.jpg")</f>
        <v>https://pbs.twimg.com/profile_images/1372971351145918465/tQ9YixpU_normal.jpg</v>
      </c>
      <c r="AW101" s="84" t="s">
        <v>796</v>
      </c>
      <c r="AX101" s="84" t="s">
        <v>863</v>
      </c>
      <c r="AY101" s="84" t="s">
        <v>877</v>
      </c>
      <c r="AZ101" s="84" t="s">
        <v>863</v>
      </c>
      <c r="BA101" s="84" t="s">
        <v>879</v>
      </c>
      <c r="BB101" s="84" t="s">
        <v>879</v>
      </c>
      <c r="BC101" s="84" t="s">
        <v>863</v>
      </c>
      <c r="BD101" s="81">
        <v>167501580</v>
      </c>
      <c r="BE101" s="81"/>
      <c r="BF101" s="81"/>
      <c r="BG101" s="81"/>
      <c r="BH101" s="81"/>
      <c r="BI101" s="81"/>
      <c r="BJ101">
        <v>1</v>
      </c>
      <c r="BK101" s="80" t="str">
        <f>REPLACE(INDEX(GroupVertices[Group], MATCH("~"&amp;Edges[[#This Row],[Vertex 1]],GroupVertices[Vertex],0)),1,1,"")</f>
        <v>1</v>
      </c>
      <c r="BL101" s="80" t="str">
        <f>REPLACE(INDEX(GroupVertices[Group], MATCH("~"&amp;Edges[[#This Row],[Vertex 2]],GroupVertices[Vertex],0)),1,1,"")</f>
        <v>1</v>
      </c>
      <c r="BM101" s="49">
        <v>1</v>
      </c>
      <c r="BN101" s="50">
        <v>4</v>
      </c>
      <c r="BO101" s="49">
        <v>0</v>
      </c>
      <c r="BP101" s="50">
        <v>0</v>
      </c>
      <c r="BQ101" s="49">
        <v>0</v>
      </c>
      <c r="BR101" s="50">
        <v>0</v>
      </c>
      <c r="BS101" s="49">
        <v>14</v>
      </c>
      <c r="BT101" s="50">
        <v>56</v>
      </c>
      <c r="BU101" s="49">
        <v>25</v>
      </c>
    </row>
    <row r="102" spans="1:73" x14ac:dyDescent="0.25">
      <c r="A102" s="65" t="s">
        <v>274</v>
      </c>
      <c r="B102" s="65" t="s">
        <v>326</v>
      </c>
      <c r="C102" s="66" t="s">
        <v>10073</v>
      </c>
      <c r="D102" s="67">
        <v>3</v>
      </c>
      <c r="E102" s="68" t="s">
        <v>132</v>
      </c>
      <c r="F102" s="69">
        <v>35</v>
      </c>
      <c r="G102" s="66"/>
      <c r="H102" s="70"/>
      <c r="I102" s="71"/>
      <c r="J102" s="71"/>
      <c r="K102" s="35" t="s">
        <v>65</v>
      </c>
      <c r="L102" s="79">
        <v>102</v>
      </c>
      <c r="M102" s="79"/>
      <c r="N102" s="73"/>
      <c r="O102" s="81" t="s">
        <v>367</v>
      </c>
      <c r="P102" s="83">
        <v>45231.556967592594</v>
      </c>
      <c r="Q102" s="81" t="s">
        <v>416</v>
      </c>
      <c r="R102" s="81">
        <v>0</v>
      </c>
      <c r="S102" s="81">
        <v>3</v>
      </c>
      <c r="T102" s="81">
        <v>0</v>
      </c>
      <c r="U102" s="81">
        <v>0</v>
      </c>
      <c r="V102" s="81">
        <v>130</v>
      </c>
      <c r="W102" s="81"/>
      <c r="X102" s="86" t="str">
        <f>HYPERLINK("https://buff.ly/40jBiyi")</f>
        <v>https://buff.ly/40jBiyi</v>
      </c>
      <c r="Y102" s="81" t="s">
        <v>507</v>
      </c>
      <c r="Z102" s="81" t="s">
        <v>326</v>
      </c>
      <c r="AA102" s="81" t="s">
        <v>566</v>
      </c>
      <c r="AB102" s="81" t="s">
        <v>575</v>
      </c>
      <c r="AC102" s="84" t="s">
        <v>581</v>
      </c>
      <c r="AD102" s="81" t="s">
        <v>588</v>
      </c>
      <c r="AE102" s="86" t="str">
        <f>HYPERLINK("https://twitter.com/csw_aejmc/status/1719706362714747328")</f>
        <v>https://twitter.com/csw_aejmc/status/1719706362714747328</v>
      </c>
      <c r="AF102" s="83">
        <v>45231.556967592594</v>
      </c>
      <c r="AG102" s="89">
        <v>45231</v>
      </c>
      <c r="AH102" s="84" t="s">
        <v>643</v>
      </c>
      <c r="AI102" s="81" t="b">
        <v>0</v>
      </c>
      <c r="AJ102" s="81"/>
      <c r="AK102" s="81"/>
      <c r="AL102" s="81"/>
      <c r="AM102" s="81"/>
      <c r="AN102" s="81"/>
      <c r="AO102" s="81"/>
      <c r="AP102" s="81"/>
      <c r="AQ102" s="81" t="s">
        <v>735</v>
      </c>
      <c r="AR102" s="81"/>
      <c r="AS102" s="81"/>
      <c r="AT102" s="81"/>
      <c r="AU102" s="81"/>
      <c r="AV102" s="86" t="str">
        <f>HYPERLINK("https://pbs.twimg.com/media/F92f0g6WQAAZrQ8.jpg")</f>
        <v>https://pbs.twimg.com/media/F92f0g6WQAAZrQ8.jpg</v>
      </c>
      <c r="AW102" s="84" t="s">
        <v>797</v>
      </c>
      <c r="AX102" s="84" t="s">
        <v>797</v>
      </c>
      <c r="AY102" s="81"/>
      <c r="AZ102" s="84" t="s">
        <v>879</v>
      </c>
      <c r="BA102" s="84" t="s">
        <v>879</v>
      </c>
      <c r="BB102" s="84" t="s">
        <v>879</v>
      </c>
      <c r="BC102" s="84" t="s">
        <v>797</v>
      </c>
      <c r="BD102" s="81">
        <v>353963097</v>
      </c>
      <c r="BE102" s="81"/>
      <c r="BF102" s="81"/>
      <c r="BG102" s="81"/>
      <c r="BH102" s="81"/>
      <c r="BI102" s="81"/>
      <c r="BJ102">
        <v>1</v>
      </c>
      <c r="BK102" s="80" t="str">
        <f>REPLACE(INDEX(GroupVertices[Group], MATCH("~"&amp;Edges[[#This Row],[Vertex 1]],GroupVertices[Vertex],0)),1,1,"")</f>
        <v>1</v>
      </c>
      <c r="BL102" s="80" t="str">
        <f>REPLACE(INDEX(GroupVertices[Group], MATCH("~"&amp;Edges[[#This Row],[Vertex 2]],GroupVertices[Vertex],0)),1,1,"")</f>
        <v>1</v>
      </c>
      <c r="BM102" s="49">
        <v>1</v>
      </c>
      <c r="BN102" s="50">
        <v>8.3333333333333339</v>
      </c>
      <c r="BO102" s="49">
        <v>0</v>
      </c>
      <c r="BP102" s="50">
        <v>0</v>
      </c>
      <c r="BQ102" s="49">
        <v>0</v>
      </c>
      <c r="BR102" s="50">
        <v>0</v>
      </c>
      <c r="BS102" s="49">
        <v>8</v>
      </c>
      <c r="BT102" s="50">
        <v>66.666666666666671</v>
      </c>
      <c r="BU102" s="49">
        <v>12</v>
      </c>
    </row>
    <row r="103" spans="1:73" x14ac:dyDescent="0.25">
      <c r="A103" s="65" t="s">
        <v>268</v>
      </c>
      <c r="B103" s="65" t="s">
        <v>274</v>
      </c>
      <c r="C103" s="66" t="s">
        <v>10073</v>
      </c>
      <c r="D103" s="67">
        <v>3</v>
      </c>
      <c r="E103" s="68" t="s">
        <v>132</v>
      </c>
      <c r="F103" s="69">
        <v>35</v>
      </c>
      <c r="G103" s="66"/>
      <c r="H103" s="70"/>
      <c r="I103" s="71"/>
      <c r="J103" s="71"/>
      <c r="K103" s="35" t="s">
        <v>65</v>
      </c>
      <c r="L103" s="79">
        <v>103</v>
      </c>
      <c r="M103" s="79"/>
      <c r="N103" s="73"/>
      <c r="O103" s="81" t="s">
        <v>365</v>
      </c>
      <c r="P103" s="83">
        <v>45233.732893518521</v>
      </c>
      <c r="Q103" s="81" t="s">
        <v>417</v>
      </c>
      <c r="R103" s="81">
        <v>1</v>
      </c>
      <c r="S103" s="81">
        <v>0</v>
      </c>
      <c r="T103" s="81">
        <v>0</v>
      </c>
      <c r="U103" s="81">
        <v>0</v>
      </c>
      <c r="V103" s="81"/>
      <c r="W103" s="81"/>
      <c r="X103" s="81"/>
      <c r="Y103" s="81"/>
      <c r="Z103" s="81" t="s">
        <v>274</v>
      </c>
      <c r="AA103" s="81"/>
      <c r="AB103" s="81"/>
      <c r="AC103" s="84" t="s">
        <v>582</v>
      </c>
      <c r="AD103" s="81" t="s">
        <v>588</v>
      </c>
      <c r="AE103" s="86" t="str">
        <f>HYPERLINK("https://twitter.com/aejmc/status/1720494891594031435")</f>
        <v>https://twitter.com/aejmc/status/1720494891594031435</v>
      </c>
      <c r="AF103" s="83">
        <v>45233.732893518521</v>
      </c>
      <c r="AG103" s="89">
        <v>45233</v>
      </c>
      <c r="AH103" s="84" t="s">
        <v>644</v>
      </c>
      <c r="AI103" s="81"/>
      <c r="AJ103" s="81"/>
      <c r="AK103" s="81"/>
      <c r="AL103" s="81"/>
      <c r="AM103" s="81"/>
      <c r="AN103" s="81"/>
      <c r="AO103" s="81"/>
      <c r="AP103" s="81"/>
      <c r="AQ103" s="81"/>
      <c r="AR103" s="81"/>
      <c r="AS103" s="81"/>
      <c r="AT103" s="81"/>
      <c r="AU103" s="81"/>
      <c r="AV103" s="86" t="str">
        <f>HYPERLINK("https://pbs.twimg.com/profile_images/1559584982439444482/vOVkFGh3_normal.png")</f>
        <v>https://pbs.twimg.com/profile_images/1559584982439444482/vOVkFGh3_normal.png</v>
      </c>
      <c r="AW103" s="84" t="s">
        <v>798</v>
      </c>
      <c r="AX103" s="84" t="s">
        <v>798</v>
      </c>
      <c r="AY103" s="81"/>
      <c r="AZ103" s="84" t="s">
        <v>879</v>
      </c>
      <c r="BA103" s="84" t="s">
        <v>879</v>
      </c>
      <c r="BB103" s="84" t="s">
        <v>799</v>
      </c>
      <c r="BC103" s="84" t="s">
        <v>799</v>
      </c>
      <c r="BD103" s="81">
        <v>8442592</v>
      </c>
      <c r="BE103" s="81"/>
      <c r="BF103" s="81"/>
      <c r="BG103" s="81"/>
      <c r="BH103" s="81"/>
      <c r="BI103" s="81"/>
      <c r="BJ103">
        <v>1</v>
      </c>
      <c r="BK103" s="80" t="str">
        <f>REPLACE(INDEX(GroupVertices[Group], MATCH("~"&amp;Edges[[#This Row],[Vertex 1]],GroupVertices[Vertex],0)),1,1,"")</f>
        <v>1</v>
      </c>
      <c r="BL103" s="80" t="str">
        <f>REPLACE(INDEX(GroupVertices[Group], MATCH("~"&amp;Edges[[#This Row],[Vertex 2]],GroupVertices[Vertex],0)),1,1,"")</f>
        <v>1</v>
      </c>
      <c r="BM103" s="49">
        <v>1</v>
      </c>
      <c r="BN103" s="50">
        <v>4</v>
      </c>
      <c r="BO103" s="49">
        <v>0</v>
      </c>
      <c r="BP103" s="50">
        <v>0</v>
      </c>
      <c r="BQ103" s="49">
        <v>0</v>
      </c>
      <c r="BR103" s="50">
        <v>0</v>
      </c>
      <c r="BS103" s="49">
        <v>11</v>
      </c>
      <c r="BT103" s="50">
        <v>44</v>
      </c>
      <c r="BU103" s="49">
        <v>25</v>
      </c>
    </row>
    <row r="104" spans="1:73" x14ac:dyDescent="0.25">
      <c r="A104" s="65" t="s">
        <v>274</v>
      </c>
      <c r="B104" s="65" t="s">
        <v>274</v>
      </c>
      <c r="C104" s="66" t="s">
        <v>10073</v>
      </c>
      <c r="D104" s="67">
        <v>3</v>
      </c>
      <c r="E104" s="68" t="s">
        <v>132</v>
      </c>
      <c r="F104" s="69">
        <v>35</v>
      </c>
      <c r="G104" s="66"/>
      <c r="H104" s="70"/>
      <c r="I104" s="71"/>
      <c r="J104" s="71"/>
      <c r="K104" s="35" t="s">
        <v>65</v>
      </c>
      <c r="L104" s="79">
        <v>104</v>
      </c>
      <c r="M104" s="79"/>
      <c r="N104" s="73"/>
      <c r="O104" s="81" t="s">
        <v>196</v>
      </c>
      <c r="P104" s="83">
        <v>45232.02584490741</v>
      </c>
      <c r="Q104" s="81" t="s">
        <v>418</v>
      </c>
      <c r="R104" s="81">
        <v>1</v>
      </c>
      <c r="S104" s="81">
        <v>2</v>
      </c>
      <c r="T104" s="81">
        <v>0</v>
      </c>
      <c r="U104" s="81">
        <v>0</v>
      </c>
      <c r="V104" s="81">
        <v>515</v>
      </c>
      <c r="W104" s="81"/>
      <c r="X104" s="86" t="str">
        <f>HYPERLINK("https://bit.ly/CSW24AwardsCall")</f>
        <v>https://bit.ly/CSW24AwardsCall</v>
      </c>
      <c r="Y104" s="81" t="s">
        <v>505</v>
      </c>
      <c r="Z104" s="81"/>
      <c r="AA104" s="81" t="s">
        <v>567</v>
      </c>
      <c r="AB104" s="81" t="s">
        <v>575</v>
      </c>
      <c r="AC104" s="84" t="s">
        <v>582</v>
      </c>
      <c r="AD104" s="81" t="s">
        <v>588</v>
      </c>
      <c r="AE104" s="86" t="str">
        <f>HYPERLINK("https://twitter.com/csw_aejmc/status/1719876278986162455")</f>
        <v>https://twitter.com/csw_aejmc/status/1719876278986162455</v>
      </c>
      <c r="AF104" s="83">
        <v>45232.02584490741</v>
      </c>
      <c r="AG104" s="89">
        <v>45232</v>
      </c>
      <c r="AH104" s="84" t="s">
        <v>645</v>
      </c>
      <c r="AI104" s="81" t="b">
        <v>0</v>
      </c>
      <c r="AJ104" s="81"/>
      <c r="AK104" s="81"/>
      <c r="AL104" s="81"/>
      <c r="AM104" s="81"/>
      <c r="AN104" s="81"/>
      <c r="AO104" s="81"/>
      <c r="AP104" s="81"/>
      <c r="AQ104" s="81" t="s">
        <v>736</v>
      </c>
      <c r="AR104" s="81"/>
      <c r="AS104" s="81"/>
      <c r="AT104" s="81"/>
      <c r="AU104" s="81"/>
      <c r="AV104" s="86" t="str">
        <f>HYPERLINK("https://pbs.twimg.com/media/F945jwSWQAAavkM.jpg")</f>
        <v>https://pbs.twimg.com/media/F945jwSWQAAavkM.jpg</v>
      </c>
      <c r="AW104" s="84" t="s">
        <v>799</v>
      </c>
      <c r="AX104" s="84" t="s">
        <v>799</v>
      </c>
      <c r="AY104" s="81"/>
      <c r="AZ104" s="84" t="s">
        <v>879</v>
      </c>
      <c r="BA104" s="84" t="s">
        <v>879</v>
      </c>
      <c r="BB104" s="84" t="s">
        <v>879</v>
      </c>
      <c r="BC104" s="84" t="s">
        <v>799</v>
      </c>
      <c r="BD104" s="81">
        <v>353963097</v>
      </c>
      <c r="BE104" s="81"/>
      <c r="BF104" s="81"/>
      <c r="BG104" s="81"/>
      <c r="BH104" s="81"/>
      <c r="BI104" s="81"/>
      <c r="BJ104">
        <v>1</v>
      </c>
      <c r="BK104" s="80" t="str">
        <f>REPLACE(INDEX(GroupVertices[Group], MATCH("~"&amp;Edges[[#This Row],[Vertex 1]],GroupVertices[Vertex],0)),1,1,"")</f>
        <v>1</v>
      </c>
      <c r="BL104" s="80" t="str">
        <f>REPLACE(INDEX(GroupVertices[Group], MATCH("~"&amp;Edges[[#This Row],[Vertex 2]],GroupVertices[Vertex],0)),1,1,"")</f>
        <v>1</v>
      </c>
      <c r="BM104" s="49">
        <v>2</v>
      </c>
      <c r="BN104" s="50">
        <v>4.8780487804878048</v>
      </c>
      <c r="BO104" s="49">
        <v>0</v>
      </c>
      <c r="BP104" s="50">
        <v>0</v>
      </c>
      <c r="BQ104" s="49">
        <v>0</v>
      </c>
      <c r="BR104" s="50">
        <v>0</v>
      </c>
      <c r="BS104" s="49">
        <v>22</v>
      </c>
      <c r="BT104" s="50">
        <v>53.658536585365852</v>
      </c>
      <c r="BU104" s="49">
        <v>41</v>
      </c>
    </row>
    <row r="105" spans="1:73" x14ac:dyDescent="0.25">
      <c r="A105" s="65" t="s">
        <v>249</v>
      </c>
      <c r="B105" s="65" t="s">
        <v>275</v>
      </c>
      <c r="C105" s="66" t="s">
        <v>10075</v>
      </c>
      <c r="D105" s="67">
        <v>10</v>
      </c>
      <c r="E105" s="68" t="s">
        <v>132</v>
      </c>
      <c r="F105" s="69">
        <v>12</v>
      </c>
      <c r="G105" s="66"/>
      <c r="H105" s="70"/>
      <c r="I105" s="71"/>
      <c r="J105" s="71"/>
      <c r="K105" s="35" t="s">
        <v>66</v>
      </c>
      <c r="L105" s="79">
        <v>105</v>
      </c>
      <c r="M105" s="79"/>
      <c r="N105" s="73"/>
      <c r="O105" s="81" t="s">
        <v>367</v>
      </c>
      <c r="P105" s="83">
        <v>45233.717175925929</v>
      </c>
      <c r="Q105" s="81" t="s">
        <v>407</v>
      </c>
      <c r="R105" s="81">
        <v>1</v>
      </c>
      <c r="S105" s="81">
        <v>32</v>
      </c>
      <c r="T105" s="81">
        <v>4</v>
      </c>
      <c r="U105" s="81">
        <v>4</v>
      </c>
      <c r="V105" s="81">
        <v>3086</v>
      </c>
      <c r="W105" s="81"/>
      <c r="X105" s="81"/>
      <c r="Y105" s="81"/>
      <c r="Z105" s="81" t="s">
        <v>536</v>
      </c>
      <c r="AA105" s="81" t="s">
        <v>564</v>
      </c>
      <c r="AB105" s="81" t="s">
        <v>575</v>
      </c>
      <c r="AC105" s="84" t="s">
        <v>582</v>
      </c>
      <c r="AD105" s="81" t="s">
        <v>588</v>
      </c>
      <c r="AE105" s="86" t="str">
        <f>HYPERLINK("https://twitter.com/jmcquarterly/status/1720489199554486686")</f>
        <v>https://twitter.com/jmcquarterly/status/1720489199554486686</v>
      </c>
      <c r="AF105" s="83">
        <v>45233.717175925929</v>
      </c>
      <c r="AG105" s="89">
        <v>45233</v>
      </c>
      <c r="AH105" s="84" t="s">
        <v>632</v>
      </c>
      <c r="AI105" s="81" t="b">
        <v>0</v>
      </c>
      <c r="AJ105" s="81"/>
      <c r="AK105" s="81"/>
      <c r="AL105" s="81"/>
      <c r="AM105" s="81"/>
      <c r="AN105" s="81"/>
      <c r="AO105" s="81"/>
      <c r="AP105" s="81"/>
      <c r="AQ105" s="81" t="s">
        <v>733</v>
      </c>
      <c r="AR105" s="81"/>
      <c r="AS105" s="81"/>
      <c r="AT105" s="81"/>
      <c r="AU105" s="81"/>
      <c r="AV105" s="86" t="str">
        <f>HYPERLINK("https://pbs.twimg.com/media/F-BnCAIXwAA6-2j.jpg")</f>
        <v>https://pbs.twimg.com/media/F-BnCAIXwAA6-2j.jpg</v>
      </c>
      <c r="AW105" s="84" t="s">
        <v>786</v>
      </c>
      <c r="AX105" s="84" t="s">
        <v>786</v>
      </c>
      <c r="AY105" s="81"/>
      <c r="AZ105" s="84" t="s">
        <v>879</v>
      </c>
      <c r="BA105" s="84" t="s">
        <v>879</v>
      </c>
      <c r="BB105" s="84" t="s">
        <v>879</v>
      </c>
      <c r="BC105" s="84" t="s">
        <v>786</v>
      </c>
      <c r="BD105" s="84" t="s">
        <v>876</v>
      </c>
      <c r="BE105" s="81"/>
      <c r="BF105" s="81"/>
      <c r="BG105" s="81"/>
      <c r="BH105" s="81"/>
      <c r="BI105" s="81"/>
      <c r="BJ105">
        <v>5</v>
      </c>
      <c r="BK105" s="80" t="str">
        <f>REPLACE(INDEX(GroupVertices[Group], MATCH("~"&amp;Edges[[#This Row],[Vertex 1]],GroupVertices[Vertex],0)),1,1,"")</f>
        <v>3</v>
      </c>
      <c r="BL105" s="80" t="str">
        <f>REPLACE(INDEX(GroupVertices[Group], MATCH("~"&amp;Edges[[#This Row],[Vertex 2]],GroupVertices[Vertex],0)),1,1,"")</f>
        <v>3</v>
      </c>
      <c r="BM105" s="49"/>
      <c r="BN105" s="50"/>
      <c r="BO105" s="49"/>
      <c r="BP105" s="50"/>
      <c r="BQ105" s="49"/>
      <c r="BR105" s="50"/>
      <c r="BS105" s="49"/>
      <c r="BT105" s="50"/>
      <c r="BU105" s="49"/>
    </row>
    <row r="106" spans="1:73" x14ac:dyDescent="0.25">
      <c r="A106" s="65" t="s">
        <v>249</v>
      </c>
      <c r="B106" s="65" t="s">
        <v>275</v>
      </c>
      <c r="C106" s="66" t="s">
        <v>10075</v>
      </c>
      <c r="D106" s="67">
        <v>10</v>
      </c>
      <c r="E106" s="68" t="s">
        <v>132</v>
      </c>
      <c r="F106" s="69">
        <v>12</v>
      </c>
      <c r="G106" s="66"/>
      <c r="H106" s="70"/>
      <c r="I106" s="71"/>
      <c r="J106" s="71"/>
      <c r="K106" s="35" t="s">
        <v>66</v>
      </c>
      <c r="L106" s="79">
        <v>106</v>
      </c>
      <c r="M106" s="79"/>
      <c r="N106" s="73"/>
      <c r="O106" s="81" t="s">
        <v>367</v>
      </c>
      <c r="P106" s="83">
        <v>45229.60434027778</v>
      </c>
      <c r="Q106" s="81" t="s">
        <v>419</v>
      </c>
      <c r="R106" s="81">
        <v>2</v>
      </c>
      <c r="S106" s="81">
        <v>11</v>
      </c>
      <c r="T106" s="81">
        <v>0</v>
      </c>
      <c r="U106" s="81">
        <v>1</v>
      </c>
      <c r="V106" s="81">
        <v>1515</v>
      </c>
      <c r="W106" s="84" t="s">
        <v>485</v>
      </c>
      <c r="X106" s="86" t="str">
        <f>HYPERLINK("https://journals.sagepub.com/doi/abs/10.1177/10776990211049451")</f>
        <v>https://journals.sagepub.com/doi/abs/10.1177/10776990211049451</v>
      </c>
      <c r="Y106" s="81" t="s">
        <v>506</v>
      </c>
      <c r="Z106" s="81" t="s">
        <v>538</v>
      </c>
      <c r="AA106" s="81"/>
      <c r="AB106" s="81"/>
      <c r="AC106" s="84" t="s">
        <v>579</v>
      </c>
      <c r="AD106" s="81" t="s">
        <v>588</v>
      </c>
      <c r="AE106" s="86" t="str">
        <f>HYPERLINK("https://twitter.com/jmcquarterly/status/1718998754668200345")</f>
        <v>https://twitter.com/jmcquarterly/status/1718998754668200345</v>
      </c>
      <c r="AF106" s="83">
        <v>45229.60434027778</v>
      </c>
      <c r="AG106" s="89">
        <v>45229</v>
      </c>
      <c r="AH106" s="84" t="s">
        <v>646</v>
      </c>
      <c r="AI106" s="81" t="b">
        <v>0</v>
      </c>
      <c r="AJ106" s="81"/>
      <c r="AK106" s="81"/>
      <c r="AL106" s="81"/>
      <c r="AM106" s="81"/>
      <c r="AN106" s="81"/>
      <c r="AO106" s="81"/>
      <c r="AP106" s="81"/>
      <c r="AQ106" s="81"/>
      <c r="AR106" s="81"/>
      <c r="AS106" s="81"/>
      <c r="AT106" s="81"/>
      <c r="AU106" s="81"/>
      <c r="AV106" s="86" t="str">
        <f>HYPERLINK("https://pbs.twimg.com/profile_images/1297970849820147712/3xME2yZ6_normal.jpg")</f>
        <v>https://pbs.twimg.com/profile_images/1297970849820147712/3xME2yZ6_normal.jpg</v>
      </c>
      <c r="AW106" s="84" t="s">
        <v>800</v>
      </c>
      <c r="AX106" s="84" t="s">
        <v>800</v>
      </c>
      <c r="AY106" s="81"/>
      <c r="AZ106" s="84" t="s">
        <v>879</v>
      </c>
      <c r="BA106" s="84" t="s">
        <v>879</v>
      </c>
      <c r="BB106" s="84" t="s">
        <v>879</v>
      </c>
      <c r="BC106" s="84" t="s">
        <v>800</v>
      </c>
      <c r="BD106" s="84" t="s">
        <v>876</v>
      </c>
      <c r="BE106" s="81"/>
      <c r="BF106" s="81"/>
      <c r="BG106" s="81"/>
      <c r="BH106" s="81"/>
      <c r="BI106" s="81"/>
      <c r="BJ106">
        <v>5</v>
      </c>
      <c r="BK106" s="80" t="str">
        <f>REPLACE(INDEX(GroupVertices[Group], MATCH("~"&amp;Edges[[#This Row],[Vertex 1]],GroupVertices[Vertex],0)),1,1,"")</f>
        <v>3</v>
      </c>
      <c r="BL106" s="80" t="str">
        <f>REPLACE(INDEX(GroupVertices[Group], MATCH("~"&amp;Edges[[#This Row],[Vertex 2]],GroupVertices[Vertex],0)),1,1,"")</f>
        <v>3</v>
      </c>
      <c r="BM106" s="49"/>
      <c r="BN106" s="50"/>
      <c r="BO106" s="49"/>
      <c r="BP106" s="50"/>
      <c r="BQ106" s="49"/>
      <c r="BR106" s="50"/>
      <c r="BS106" s="49"/>
      <c r="BT106" s="50"/>
      <c r="BU106" s="49"/>
    </row>
    <row r="107" spans="1:73" x14ac:dyDescent="0.25">
      <c r="A107" s="65" t="s">
        <v>249</v>
      </c>
      <c r="B107" s="65" t="s">
        <v>275</v>
      </c>
      <c r="C107" s="66" t="s">
        <v>10075</v>
      </c>
      <c r="D107" s="67">
        <v>10</v>
      </c>
      <c r="E107" s="68" t="s">
        <v>132</v>
      </c>
      <c r="F107" s="69">
        <v>12</v>
      </c>
      <c r="G107" s="66"/>
      <c r="H107" s="70"/>
      <c r="I107" s="71"/>
      <c r="J107" s="71"/>
      <c r="K107" s="35" t="s">
        <v>66</v>
      </c>
      <c r="L107" s="79">
        <v>107</v>
      </c>
      <c r="M107" s="79"/>
      <c r="N107" s="73"/>
      <c r="O107" s="81" t="s">
        <v>367</v>
      </c>
      <c r="P107" s="83">
        <v>45233.33766203704</v>
      </c>
      <c r="Q107" s="81" t="s">
        <v>382</v>
      </c>
      <c r="R107" s="81">
        <v>4</v>
      </c>
      <c r="S107" s="81">
        <v>15</v>
      </c>
      <c r="T107" s="81">
        <v>0</v>
      </c>
      <c r="U107" s="81">
        <v>1</v>
      </c>
      <c r="V107" s="81">
        <v>2001</v>
      </c>
      <c r="W107" s="84" t="s">
        <v>473</v>
      </c>
      <c r="X107" s="81"/>
      <c r="Y107" s="81"/>
      <c r="Z107" s="81" t="s">
        <v>526</v>
      </c>
      <c r="AA107" s="81"/>
      <c r="AB107" s="81"/>
      <c r="AC107" s="84" t="s">
        <v>579</v>
      </c>
      <c r="AD107" s="81" t="s">
        <v>588</v>
      </c>
      <c r="AE107" s="86" t="str">
        <f>HYPERLINK("https://twitter.com/jmcquarterly/status/1720351664719151216")</f>
        <v>https://twitter.com/jmcquarterly/status/1720351664719151216</v>
      </c>
      <c r="AF107" s="83">
        <v>45233.33766203704</v>
      </c>
      <c r="AG107" s="89">
        <v>45233</v>
      </c>
      <c r="AH107" s="84" t="s">
        <v>600</v>
      </c>
      <c r="AI107" s="81"/>
      <c r="AJ107" s="81"/>
      <c r="AK107" s="81"/>
      <c r="AL107" s="81"/>
      <c r="AM107" s="81"/>
      <c r="AN107" s="81"/>
      <c r="AO107" s="81"/>
      <c r="AP107" s="81"/>
      <c r="AQ107" s="81"/>
      <c r="AR107" s="81"/>
      <c r="AS107" s="81"/>
      <c r="AT107" s="81"/>
      <c r="AU107" s="81"/>
      <c r="AV107" s="86" t="str">
        <f>HYPERLINK("https://pbs.twimg.com/profile_images/1297970849820147712/3xME2yZ6_normal.jpg")</f>
        <v>https://pbs.twimg.com/profile_images/1297970849820147712/3xME2yZ6_normal.jpg</v>
      </c>
      <c r="AW107" s="84" t="s">
        <v>754</v>
      </c>
      <c r="AX107" s="84" t="s">
        <v>754</v>
      </c>
      <c r="AY107" s="81"/>
      <c r="AZ107" s="84" t="s">
        <v>879</v>
      </c>
      <c r="BA107" s="84" t="s">
        <v>879</v>
      </c>
      <c r="BB107" s="84" t="s">
        <v>879</v>
      </c>
      <c r="BC107" s="84" t="s">
        <v>754</v>
      </c>
      <c r="BD107" s="84" t="s">
        <v>876</v>
      </c>
      <c r="BE107" s="81"/>
      <c r="BF107" s="81"/>
      <c r="BG107" s="81"/>
      <c r="BH107" s="81"/>
      <c r="BI107" s="81"/>
      <c r="BJ107">
        <v>5</v>
      </c>
      <c r="BK107" s="80" t="str">
        <f>REPLACE(INDEX(GroupVertices[Group], MATCH("~"&amp;Edges[[#This Row],[Vertex 1]],GroupVertices[Vertex],0)),1,1,"")</f>
        <v>3</v>
      </c>
      <c r="BL107" s="80" t="str">
        <f>REPLACE(INDEX(GroupVertices[Group], MATCH("~"&amp;Edges[[#This Row],[Vertex 2]],GroupVertices[Vertex],0)),1,1,"")</f>
        <v>3</v>
      </c>
      <c r="BM107" s="49"/>
      <c r="BN107" s="50"/>
      <c r="BO107" s="49"/>
      <c r="BP107" s="50"/>
      <c r="BQ107" s="49"/>
      <c r="BR107" s="50"/>
      <c r="BS107" s="49"/>
      <c r="BT107" s="50"/>
      <c r="BU107" s="49"/>
    </row>
    <row r="108" spans="1:73" x14ac:dyDescent="0.25">
      <c r="A108" s="65" t="s">
        <v>249</v>
      </c>
      <c r="B108" s="65" t="s">
        <v>275</v>
      </c>
      <c r="C108" s="66" t="s">
        <v>10075</v>
      </c>
      <c r="D108" s="67">
        <v>10</v>
      </c>
      <c r="E108" s="68" t="s">
        <v>132</v>
      </c>
      <c r="F108" s="69">
        <v>12</v>
      </c>
      <c r="G108" s="66"/>
      <c r="H108" s="70"/>
      <c r="I108" s="71"/>
      <c r="J108" s="71"/>
      <c r="K108" s="35" t="s">
        <v>66</v>
      </c>
      <c r="L108" s="79">
        <v>108</v>
      </c>
      <c r="M108" s="79"/>
      <c r="N108" s="73"/>
      <c r="O108" s="81" t="s">
        <v>367</v>
      </c>
      <c r="P108" s="83">
        <v>45232.354166666664</v>
      </c>
      <c r="Q108" s="81" t="s">
        <v>420</v>
      </c>
      <c r="R108" s="81">
        <v>4</v>
      </c>
      <c r="S108" s="81">
        <v>9</v>
      </c>
      <c r="T108" s="81">
        <v>0</v>
      </c>
      <c r="U108" s="81">
        <v>1</v>
      </c>
      <c r="V108" s="81">
        <v>1253</v>
      </c>
      <c r="W108" s="84" t="s">
        <v>486</v>
      </c>
      <c r="X108" s="86" t="str">
        <f>HYPERLINK("https://journals.sagepub.com/doi/full/10.1177/10776990231202692")</f>
        <v>https://journals.sagepub.com/doi/full/10.1177/10776990231202692</v>
      </c>
      <c r="Y108" s="81" t="s">
        <v>506</v>
      </c>
      <c r="Z108" s="81" t="s">
        <v>539</v>
      </c>
      <c r="AA108" s="81"/>
      <c r="AB108" s="81"/>
      <c r="AC108" s="84" t="s">
        <v>579</v>
      </c>
      <c r="AD108" s="81" t="s">
        <v>588</v>
      </c>
      <c r="AE108" s="86" t="str">
        <f>HYPERLINK("https://twitter.com/jmcquarterly/status/1719995258149228840")</f>
        <v>https://twitter.com/jmcquarterly/status/1719995258149228840</v>
      </c>
      <c r="AF108" s="83">
        <v>45232.354166666664</v>
      </c>
      <c r="AG108" s="89">
        <v>45232</v>
      </c>
      <c r="AH108" s="84" t="s">
        <v>647</v>
      </c>
      <c r="AI108" s="81" t="b">
        <v>0</v>
      </c>
      <c r="AJ108" s="81"/>
      <c r="AK108" s="81"/>
      <c r="AL108" s="81"/>
      <c r="AM108" s="81"/>
      <c r="AN108" s="81"/>
      <c r="AO108" s="81"/>
      <c r="AP108" s="81"/>
      <c r="AQ108" s="81"/>
      <c r="AR108" s="81"/>
      <c r="AS108" s="81"/>
      <c r="AT108" s="81"/>
      <c r="AU108" s="81"/>
      <c r="AV108" s="86" t="str">
        <f>HYPERLINK("https://pbs.twimg.com/profile_images/1297970849820147712/3xME2yZ6_normal.jpg")</f>
        <v>https://pbs.twimg.com/profile_images/1297970849820147712/3xME2yZ6_normal.jpg</v>
      </c>
      <c r="AW108" s="84" t="s">
        <v>801</v>
      </c>
      <c r="AX108" s="84" t="s">
        <v>801</v>
      </c>
      <c r="AY108" s="81"/>
      <c r="AZ108" s="84" t="s">
        <v>879</v>
      </c>
      <c r="BA108" s="84" t="s">
        <v>879</v>
      </c>
      <c r="BB108" s="84" t="s">
        <v>879</v>
      </c>
      <c r="BC108" s="84" t="s">
        <v>801</v>
      </c>
      <c r="BD108" s="84" t="s">
        <v>876</v>
      </c>
      <c r="BE108" s="81"/>
      <c r="BF108" s="81"/>
      <c r="BG108" s="81"/>
      <c r="BH108" s="81"/>
      <c r="BI108" s="81"/>
      <c r="BJ108">
        <v>5</v>
      </c>
      <c r="BK108" s="80" t="str">
        <f>REPLACE(INDEX(GroupVertices[Group], MATCH("~"&amp;Edges[[#This Row],[Vertex 1]],GroupVertices[Vertex],0)),1,1,"")</f>
        <v>3</v>
      </c>
      <c r="BL108" s="80" t="str">
        <f>REPLACE(INDEX(GroupVertices[Group], MATCH("~"&amp;Edges[[#This Row],[Vertex 2]],GroupVertices[Vertex],0)),1,1,"")</f>
        <v>3</v>
      </c>
      <c r="BM108" s="49"/>
      <c r="BN108" s="50"/>
      <c r="BO108" s="49"/>
      <c r="BP108" s="50"/>
      <c r="BQ108" s="49"/>
      <c r="BR108" s="50"/>
      <c r="BS108" s="49"/>
      <c r="BT108" s="50"/>
      <c r="BU108" s="49"/>
    </row>
    <row r="109" spans="1:73" x14ac:dyDescent="0.25">
      <c r="A109" s="65" t="s">
        <v>249</v>
      </c>
      <c r="B109" s="65" t="s">
        <v>275</v>
      </c>
      <c r="C109" s="66" t="s">
        <v>10075</v>
      </c>
      <c r="D109" s="67">
        <v>10</v>
      </c>
      <c r="E109" s="68" t="s">
        <v>132</v>
      </c>
      <c r="F109" s="69">
        <v>12</v>
      </c>
      <c r="G109" s="66"/>
      <c r="H109" s="70"/>
      <c r="I109" s="71"/>
      <c r="J109" s="71"/>
      <c r="K109" s="35" t="s">
        <v>66</v>
      </c>
      <c r="L109" s="79">
        <v>109</v>
      </c>
      <c r="M109" s="79"/>
      <c r="N109" s="73"/>
      <c r="O109" s="81" t="s">
        <v>367</v>
      </c>
      <c r="P109" s="83">
        <v>45229.330416666664</v>
      </c>
      <c r="Q109" s="81" t="s">
        <v>421</v>
      </c>
      <c r="R109" s="81">
        <v>5</v>
      </c>
      <c r="S109" s="81">
        <v>12</v>
      </c>
      <c r="T109" s="81">
        <v>0</v>
      </c>
      <c r="U109" s="81">
        <v>1</v>
      </c>
      <c r="V109" s="81">
        <v>1797</v>
      </c>
      <c r="W109" s="84" t="s">
        <v>487</v>
      </c>
      <c r="X109" s="86" t="str">
        <f>HYPERLINK("https://journals.sagepub.com/doi/abs/10.1177/10776990221108722")</f>
        <v>https://journals.sagepub.com/doi/abs/10.1177/10776990221108722</v>
      </c>
      <c r="Y109" s="81" t="s">
        <v>506</v>
      </c>
      <c r="Z109" s="81" t="s">
        <v>539</v>
      </c>
      <c r="AA109" s="81"/>
      <c r="AB109" s="81"/>
      <c r="AC109" s="84" t="s">
        <v>579</v>
      </c>
      <c r="AD109" s="81" t="s">
        <v>588</v>
      </c>
      <c r="AE109" s="86" t="str">
        <f>HYPERLINK("https://twitter.com/jmcquarterly/status/1718899489916727435")</f>
        <v>https://twitter.com/jmcquarterly/status/1718899489916727435</v>
      </c>
      <c r="AF109" s="83">
        <v>45229.330416666664</v>
      </c>
      <c r="AG109" s="89">
        <v>45229</v>
      </c>
      <c r="AH109" s="84" t="s">
        <v>648</v>
      </c>
      <c r="AI109" s="81" t="b">
        <v>0</v>
      </c>
      <c r="AJ109" s="81"/>
      <c r="AK109" s="81"/>
      <c r="AL109" s="81"/>
      <c r="AM109" s="81"/>
      <c r="AN109" s="81"/>
      <c r="AO109" s="81"/>
      <c r="AP109" s="81"/>
      <c r="AQ109" s="81"/>
      <c r="AR109" s="81"/>
      <c r="AS109" s="81"/>
      <c r="AT109" s="81"/>
      <c r="AU109" s="81"/>
      <c r="AV109" s="86" t="str">
        <f>HYPERLINK("https://pbs.twimg.com/profile_images/1297970849820147712/3xME2yZ6_normal.jpg")</f>
        <v>https://pbs.twimg.com/profile_images/1297970849820147712/3xME2yZ6_normal.jpg</v>
      </c>
      <c r="AW109" s="84" t="s">
        <v>802</v>
      </c>
      <c r="AX109" s="84" t="s">
        <v>802</v>
      </c>
      <c r="AY109" s="81"/>
      <c r="AZ109" s="84" t="s">
        <v>879</v>
      </c>
      <c r="BA109" s="84" t="s">
        <v>879</v>
      </c>
      <c r="BB109" s="84" t="s">
        <v>879</v>
      </c>
      <c r="BC109" s="84" t="s">
        <v>802</v>
      </c>
      <c r="BD109" s="84" t="s">
        <v>876</v>
      </c>
      <c r="BE109" s="81"/>
      <c r="BF109" s="81"/>
      <c r="BG109" s="81"/>
      <c r="BH109" s="81"/>
      <c r="BI109" s="81"/>
      <c r="BJ109">
        <v>5</v>
      </c>
      <c r="BK109" s="80" t="str">
        <f>REPLACE(INDEX(GroupVertices[Group], MATCH("~"&amp;Edges[[#This Row],[Vertex 1]],GroupVertices[Vertex],0)),1,1,"")</f>
        <v>3</v>
      </c>
      <c r="BL109" s="80" t="str">
        <f>REPLACE(INDEX(GroupVertices[Group], MATCH("~"&amp;Edges[[#This Row],[Vertex 2]],GroupVertices[Vertex],0)),1,1,"")</f>
        <v>3</v>
      </c>
      <c r="BM109" s="49"/>
      <c r="BN109" s="50"/>
      <c r="BO109" s="49"/>
      <c r="BP109" s="50"/>
      <c r="BQ109" s="49"/>
      <c r="BR109" s="50"/>
      <c r="BS109" s="49"/>
      <c r="BT109" s="50"/>
      <c r="BU109" s="49"/>
    </row>
    <row r="110" spans="1:73" x14ac:dyDescent="0.25">
      <c r="A110" s="65" t="s">
        <v>275</v>
      </c>
      <c r="B110" s="65" t="s">
        <v>275</v>
      </c>
      <c r="C110" s="66" t="s">
        <v>10075</v>
      </c>
      <c r="D110" s="67">
        <v>10</v>
      </c>
      <c r="E110" s="68" t="s">
        <v>132</v>
      </c>
      <c r="F110" s="69">
        <v>12</v>
      </c>
      <c r="G110" s="66"/>
      <c r="H110" s="70"/>
      <c r="I110" s="71"/>
      <c r="J110" s="71"/>
      <c r="K110" s="35" t="s">
        <v>65</v>
      </c>
      <c r="L110" s="79">
        <v>110</v>
      </c>
      <c r="M110" s="79"/>
      <c r="N110" s="73"/>
      <c r="O110" s="81" t="s">
        <v>366</v>
      </c>
      <c r="P110" s="83">
        <v>45232.596331018518</v>
      </c>
      <c r="Q110" s="81" t="s">
        <v>413</v>
      </c>
      <c r="R110" s="81">
        <v>5</v>
      </c>
      <c r="S110" s="81">
        <v>0</v>
      </c>
      <c r="T110" s="81">
        <v>0</v>
      </c>
      <c r="U110" s="81">
        <v>0</v>
      </c>
      <c r="V110" s="81"/>
      <c r="W110" s="84" t="s">
        <v>484</v>
      </c>
      <c r="X110" s="86" t="str">
        <f>HYPERLINK("https://journals.sagepub.com/doi/abs/10.1177/10776990221108722")</f>
        <v>https://journals.sagepub.com/doi/abs/10.1177/10776990221108722</v>
      </c>
      <c r="Y110" s="81" t="s">
        <v>506</v>
      </c>
      <c r="Z110" s="81" t="s">
        <v>518</v>
      </c>
      <c r="AA110" s="81"/>
      <c r="AB110" s="81"/>
      <c r="AC110" s="84" t="s">
        <v>582</v>
      </c>
      <c r="AD110" s="81" t="s">
        <v>588</v>
      </c>
      <c r="AE110" s="86" t="str">
        <f>HYPERLINK("https://twitter.com/prof_dimitrova/status/1720083015194562625")</f>
        <v>https://twitter.com/prof_dimitrova/status/1720083015194562625</v>
      </c>
      <c r="AF110" s="83">
        <v>45232.596331018518</v>
      </c>
      <c r="AG110" s="89">
        <v>45232</v>
      </c>
      <c r="AH110" s="84" t="s">
        <v>649</v>
      </c>
      <c r="AI110" s="81" t="b">
        <v>0</v>
      </c>
      <c r="AJ110" s="81"/>
      <c r="AK110" s="81"/>
      <c r="AL110" s="81"/>
      <c r="AM110" s="81"/>
      <c r="AN110" s="81"/>
      <c r="AO110" s="81"/>
      <c r="AP110" s="81"/>
      <c r="AQ110" s="81"/>
      <c r="AR110" s="81"/>
      <c r="AS110" s="81"/>
      <c r="AT110" s="81"/>
      <c r="AU110" s="81"/>
      <c r="AV110" s="86" t="str">
        <f>HYPERLINK("https://pbs.twimg.com/profile_images/1453492073492008960/JvNqqE66_normal.jpg")</f>
        <v>https://pbs.twimg.com/profile_images/1453492073492008960/JvNqqE66_normal.jpg</v>
      </c>
      <c r="AW110" s="84" t="s">
        <v>803</v>
      </c>
      <c r="AX110" s="84" t="s">
        <v>803</v>
      </c>
      <c r="AY110" s="81"/>
      <c r="AZ110" s="84" t="s">
        <v>879</v>
      </c>
      <c r="BA110" s="84" t="s">
        <v>879</v>
      </c>
      <c r="BB110" s="84" t="s">
        <v>802</v>
      </c>
      <c r="BC110" s="84" t="s">
        <v>802</v>
      </c>
      <c r="BD110" s="81">
        <v>208629545</v>
      </c>
      <c r="BE110" s="81"/>
      <c r="BF110" s="81"/>
      <c r="BG110" s="81"/>
      <c r="BH110" s="81"/>
      <c r="BI110" s="81"/>
      <c r="BJ110">
        <v>3</v>
      </c>
      <c r="BK110" s="80" t="str">
        <f>REPLACE(INDEX(GroupVertices[Group], MATCH("~"&amp;Edges[[#This Row],[Vertex 1]],GroupVertices[Vertex],0)),1,1,"")</f>
        <v>3</v>
      </c>
      <c r="BL110" s="80" t="str">
        <f>REPLACE(INDEX(GroupVertices[Group], MATCH("~"&amp;Edges[[#This Row],[Vertex 2]],GroupVertices[Vertex],0)),1,1,"")</f>
        <v>3</v>
      </c>
      <c r="BM110" s="49"/>
      <c r="BN110" s="50"/>
      <c r="BO110" s="49"/>
      <c r="BP110" s="50"/>
      <c r="BQ110" s="49"/>
      <c r="BR110" s="50"/>
      <c r="BS110" s="49"/>
      <c r="BT110" s="50"/>
      <c r="BU110" s="49"/>
    </row>
    <row r="111" spans="1:73" x14ac:dyDescent="0.25">
      <c r="A111" s="65" t="s">
        <v>275</v>
      </c>
      <c r="B111" s="65" t="s">
        <v>249</v>
      </c>
      <c r="C111" s="66" t="s">
        <v>10075</v>
      </c>
      <c r="D111" s="67">
        <v>10</v>
      </c>
      <c r="E111" s="68" t="s">
        <v>132</v>
      </c>
      <c r="F111" s="69">
        <v>12</v>
      </c>
      <c r="G111" s="66"/>
      <c r="H111" s="70"/>
      <c r="I111" s="71"/>
      <c r="J111" s="71"/>
      <c r="K111" s="35" t="s">
        <v>66</v>
      </c>
      <c r="L111" s="79">
        <v>111</v>
      </c>
      <c r="M111" s="79"/>
      <c r="N111" s="73"/>
      <c r="O111" s="81" t="s">
        <v>366</v>
      </c>
      <c r="P111" s="83">
        <v>45232.596331018518</v>
      </c>
      <c r="Q111" s="81" t="s">
        <v>413</v>
      </c>
      <c r="R111" s="81">
        <v>5</v>
      </c>
      <c r="S111" s="81">
        <v>0</v>
      </c>
      <c r="T111" s="81">
        <v>0</v>
      </c>
      <c r="U111" s="81">
        <v>0</v>
      </c>
      <c r="V111" s="81"/>
      <c r="W111" s="84" t="s">
        <v>484</v>
      </c>
      <c r="X111" s="86" t="str">
        <f>HYPERLINK("https://journals.sagepub.com/doi/abs/10.1177/10776990221108722")</f>
        <v>https://journals.sagepub.com/doi/abs/10.1177/10776990221108722</v>
      </c>
      <c r="Y111" s="81" t="s">
        <v>506</v>
      </c>
      <c r="Z111" s="81" t="s">
        <v>518</v>
      </c>
      <c r="AA111" s="81"/>
      <c r="AB111" s="81"/>
      <c r="AC111" s="84" t="s">
        <v>582</v>
      </c>
      <c r="AD111" s="81" t="s">
        <v>588</v>
      </c>
      <c r="AE111" s="86" t="str">
        <f>HYPERLINK("https://twitter.com/prof_dimitrova/status/1720083015194562625")</f>
        <v>https://twitter.com/prof_dimitrova/status/1720083015194562625</v>
      </c>
      <c r="AF111" s="83">
        <v>45232.596331018518</v>
      </c>
      <c r="AG111" s="89">
        <v>45232</v>
      </c>
      <c r="AH111" s="84" t="s">
        <v>649</v>
      </c>
      <c r="AI111" s="81" t="b">
        <v>0</v>
      </c>
      <c r="AJ111" s="81"/>
      <c r="AK111" s="81"/>
      <c r="AL111" s="81"/>
      <c r="AM111" s="81"/>
      <c r="AN111" s="81"/>
      <c r="AO111" s="81"/>
      <c r="AP111" s="81"/>
      <c r="AQ111" s="81"/>
      <c r="AR111" s="81"/>
      <c r="AS111" s="81"/>
      <c r="AT111" s="81"/>
      <c r="AU111" s="81"/>
      <c r="AV111" s="86" t="str">
        <f>HYPERLINK("https://pbs.twimg.com/profile_images/1453492073492008960/JvNqqE66_normal.jpg")</f>
        <v>https://pbs.twimg.com/profile_images/1453492073492008960/JvNqqE66_normal.jpg</v>
      </c>
      <c r="AW111" s="84" t="s">
        <v>803</v>
      </c>
      <c r="AX111" s="84" t="s">
        <v>803</v>
      </c>
      <c r="AY111" s="81"/>
      <c r="AZ111" s="84" t="s">
        <v>879</v>
      </c>
      <c r="BA111" s="84" t="s">
        <v>879</v>
      </c>
      <c r="BB111" s="84" t="s">
        <v>802</v>
      </c>
      <c r="BC111" s="84" t="s">
        <v>802</v>
      </c>
      <c r="BD111" s="81">
        <v>208629545</v>
      </c>
      <c r="BE111" s="81"/>
      <c r="BF111" s="81"/>
      <c r="BG111" s="81"/>
      <c r="BH111" s="81"/>
      <c r="BI111" s="81"/>
      <c r="BJ111">
        <v>3</v>
      </c>
      <c r="BK111" s="80" t="str">
        <f>REPLACE(INDEX(GroupVertices[Group], MATCH("~"&amp;Edges[[#This Row],[Vertex 1]],GroupVertices[Vertex],0)),1,1,"")</f>
        <v>3</v>
      </c>
      <c r="BL111" s="80" t="str">
        <f>REPLACE(INDEX(GroupVertices[Group], MATCH("~"&amp;Edges[[#This Row],[Vertex 2]],GroupVertices[Vertex],0)),1,1,"")</f>
        <v>3</v>
      </c>
      <c r="BM111" s="49"/>
      <c r="BN111" s="50"/>
      <c r="BO111" s="49"/>
      <c r="BP111" s="50"/>
      <c r="BQ111" s="49"/>
      <c r="BR111" s="50"/>
      <c r="BS111" s="49"/>
      <c r="BT111" s="50"/>
      <c r="BU111" s="49"/>
    </row>
    <row r="112" spans="1:73" x14ac:dyDescent="0.25">
      <c r="A112" s="65" t="s">
        <v>275</v>
      </c>
      <c r="B112" s="65" t="s">
        <v>249</v>
      </c>
      <c r="C112" s="66" t="s">
        <v>10075</v>
      </c>
      <c r="D112" s="67">
        <v>10</v>
      </c>
      <c r="E112" s="68" t="s">
        <v>132</v>
      </c>
      <c r="F112" s="69">
        <v>12</v>
      </c>
      <c r="G112" s="66"/>
      <c r="H112" s="70"/>
      <c r="I112" s="71"/>
      <c r="J112" s="71"/>
      <c r="K112" s="35" t="s">
        <v>66</v>
      </c>
      <c r="L112" s="79">
        <v>112</v>
      </c>
      <c r="M112" s="79"/>
      <c r="N112" s="73"/>
      <c r="O112" s="81" t="s">
        <v>365</v>
      </c>
      <c r="P112" s="83">
        <v>45232.596331018518</v>
      </c>
      <c r="Q112" s="81" t="s">
        <v>413</v>
      </c>
      <c r="R112" s="81">
        <v>5</v>
      </c>
      <c r="S112" s="81">
        <v>0</v>
      </c>
      <c r="T112" s="81">
        <v>0</v>
      </c>
      <c r="U112" s="81">
        <v>0</v>
      </c>
      <c r="V112" s="81"/>
      <c r="W112" s="84" t="s">
        <v>484</v>
      </c>
      <c r="X112" s="86" t="str">
        <f>HYPERLINK("https://journals.sagepub.com/doi/abs/10.1177/10776990221108722")</f>
        <v>https://journals.sagepub.com/doi/abs/10.1177/10776990221108722</v>
      </c>
      <c r="Y112" s="81" t="s">
        <v>506</v>
      </c>
      <c r="Z112" s="81" t="s">
        <v>518</v>
      </c>
      <c r="AA112" s="81"/>
      <c r="AB112" s="81"/>
      <c r="AC112" s="84" t="s">
        <v>582</v>
      </c>
      <c r="AD112" s="81" t="s">
        <v>588</v>
      </c>
      <c r="AE112" s="86" t="str">
        <f>HYPERLINK("https://twitter.com/prof_dimitrova/status/1720083015194562625")</f>
        <v>https://twitter.com/prof_dimitrova/status/1720083015194562625</v>
      </c>
      <c r="AF112" s="83">
        <v>45232.596331018518</v>
      </c>
      <c r="AG112" s="89">
        <v>45232</v>
      </c>
      <c r="AH112" s="84" t="s">
        <v>649</v>
      </c>
      <c r="AI112" s="81" t="b">
        <v>0</v>
      </c>
      <c r="AJ112" s="81"/>
      <c r="AK112" s="81"/>
      <c r="AL112" s="81"/>
      <c r="AM112" s="81"/>
      <c r="AN112" s="81"/>
      <c r="AO112" s="81"/>
      <c r="AP112" s="81"/>
      <c r="AQ112" s="81"/>
      <c r="AR112" s="81"/>
      <c r="AS112" s="81"/>
      <c r="AT112" s="81"/>
      <c r="AU112" s="81"/>
      <c r="AV112" s="86" t="str">
        <f>HYPERLINK("https://pbs.twimg.com/profile_images/1453492073492008960/JvNqqE66_normal.jpg")</f>
        <v>https://pbs.twimg.com/profile_images/1453492073492008960/JvNqqE66_normal.jpg</v>
      </c>
      <c r="AW112" s="84" t="s">
        <v>803</v>
      </c>
      <c r="AX112" s="84" t="s">
        <v>803</v>
      </c>
      <c r="AY112" s="81"/>
      <c r="AZ112" s="84" t="s">
        <v>879</v>
      </c>
      <c r="BA112" s="84" t="s">
        <v>879</v>
      </c>
      <c r="BB112" s="84" t="s">
        <v>802</v>
      </c>
      <c r="BC112" s="84" t="s">
        <v>802</v>
      </c>
      <c r="BD112" s="81">
        <v>208629545</v>
      </c>
      <c r="BE112" s="81"/>
      <c r="BF112" s="81"/>
      <c r="BG112" s="81"/>
      <c r="BH112" s="81"/>
      <c r="BI112" s="81"/>
      <c r="BJ112">
        <v>3</v>
      </c>
      <c r="BK112" s="80" t="str">
        <f>REPLACE(INDEX(GroupVertices[Group], MATCH("~"&amp;Edges[[#This Row],[Vertex 1]],GroupVertices[Vertex],0)),1,1,"")</f>
        <v>3</v>
      </c>
      <c r="BL112" s="80" t="str">
        <f>REPLACE(INDEX(GroupVertices[Group], MATCH("~"&amp;Edges[[#This Row],[Vertex 2]],GroupVertices[Vertex],0)),1,1,"")</f>
        <v>3</v>
      </c>
      <c r="BM112" s="49">
        <v>0</v>
      </c>
      <c r="BN112" s="50">
        <v>0</v>
      </c>
      <c r="BO112" s="49">
        <v>1</v>
      </c>
      <c r="BP112" s="50">
        <v>7.1428571428571432</v>
      </c>
      <c r="BQ112" s="49">
        <v>0</v>
      </c>
      <c r="BR112" s="50">
        <v>0</v>
      </c>
      <c r="BS112" s="49">
        <v>9</v>
      </c>
      <c r="BT112" s="50">
        <v>64.285714285714292</v>
      </c>
      <c r="BU112" s="49">
        <v>14</v>
      </c>
    </row>
    <row r="113" spans="1:73" x14ac:dyDescent="0.25">
      <c r="A113" s="65" t="s">
        <v>275</v>
      </c>
      <c r="B113" s="65" t="s">
        <v>275</v>
      </c>
      <c r="C113" s="66" t="s">
        <v>10075</v>
      </c>
      <c r="D113" s="67">
        <v>10</v>
      </c>
      <c r="E113" s="68" t="s">
        <v>132</v>
      </c>
      <c r="F113" s="69">
        <v>12</v>
      </c>
      <c r="G113" s="66"/>
      <c r="H113" s="70"/>
      <c r="I113" s="71"/>
      <c r="J113" s="71"/>
      <c r="K113" s="35" t="s">
        <v>65</v>
      </c>
      <c r="L113" s="79">
        <v>113</v>
      </c>
      <c r="M113" s="79"/>
      <c r="N113" s="73"/>
      <c r="O113" s="81" t="s">
        <v>366</v>
      </c>
      <c r="P113" s="83">
        <v>45233.526053240741</v>
      </c>
      <c r="Q113" s="81" t="s">
        <v>373</v>
      </c>
      <c r="R113" s="81">
        <v>4</v>
      </c>
      <c r="S113" s="81">
        <v>0</v>
      </c>
      <c r="T113" s="81">
        <v>0</v>
      </c>
      <c r="U113" s="81">
        <v>0</v>
      </c>
      <c r="V113" s="81"/>
      <c r="W113" s="81"/>
      <c r="X113" s="81"/>
      <c r="Y113" s="81"/>
      <c r="Z113" s="81" t="s">
        <v>518</v>
      </c>
      <c r="AA113" s="81"/>
      <c r="AB113" s="81"/>
      <c r="AC113" s="84" t="s">
        <v>583</v>
      </c>
      <c r="AD113" s="81" t="s">
        <v>588</v>
      </c>
      <c r="AE113" s="86" t="str">
        <f>HYPERLINK("https://twitter.com/prof_dimitrova/status/1720419935531204819")</f>
        <v>https://twitter.com/prof_dimitrova/status/1720419935531204819</v>
      </c>
      <c r="AF113" s="83">
        <v>45233.526053240741</v>
      </c>
      <c r="AG113" s="89">
        <v>45233</v>
      </c>
      <c r="AH113" s="84" t="s">
        <v>650</v>
      </c>
      <c r="AI113" s="81" t="b">
        <v>0</v>
      </c>
      <c r="AJ113" s="81"/>
      <c r="AK113" s="81"/>
      <c r="AL113" s="81"/>
      <c r="AM113" s="81"/>
      <c r="AN113" s="81"/>
      <c r="AO113" s="81"/>
      <c r="AP113" s="81"/>
      <c r="AQ113" s="81"/>
      <c r="AR113" s="81"/>
      <c r="AS113" s="81"/>
      <c r="AT113" s="81"/>
      <c r="AU113" s="81"/>
      <c r="AV113" s="86" t="str">
        <f>HYPERLINK("https://pbs.twimg.com/profile_images/1453492073492008960/JvNqqE66_normal.jpg")</f>
        <v>https://pbs.twimg.com/profile_images/1453492073492008960/JvNqqE66_normal.jpg</v>
      </c>
      <c r="AW113" s="84" t="s">
        <v>804</v>
      </c>
      <c r="AX113" s="84" t="s">
        <v>804</v>
      </c>
      <c r="AY113" s="81"/>
      <c r="AZ113" s="84" t="s">
        <v>879</v>
      </c>
      <c r="BA113" s="84" t="s">
        <v>879</v>
      </c>
      <c r="BB113" s="84" t="s">
        <v>801</v>
      </c>
      <c r="BC113" s="84" t="s">
        <v>801</v>
      </c>
      <c r="BD113" s="81">
        <v>208629545</v>
      </c>
      <c r="BE113" s="81"/>
      <c r="BF113" s="81"/>
      <c r="BG113" s="81"/>
      <c r="BH113" s="81"/>
      <c r="BI113" s="81"/>
      <c r="BJ113">
        <v>3</v>
      </c>
      <c r="BK113" s="80" t="str">
        <f>REPLACE(INDEX(GroupVertices[Group], MATCH("~"&amp;Edges[[#This Row],[Vertex 1]],GroupVertices[Vertex],0)),1,1,"")</f>
        <v>3</v>
      </c>
      <c r="BL113" s="80" t="str">
        <f>REPLACE(INDEX(GroupVertices[Group], MATCH("~"&amp;Edges[[#This Row],[Vertex 2]],GroupVertices[Vertex],0)),1,1,"")</f>
        <v>3</v>
      </c>
      <c r="BM113" s="49"/>
      <c r="BN113" s="50"/>
      <c r="BO113" s="49"/>
      <c r="BP113" s="50"/>
      <c r="BQ113" s="49"/>
      <c r="BR113" s="50"/>
      <c r="BS113" s="49"/>
      <c r="BT113" s="50"/>
      <c r="BU113" s="49"/>
    </row>
    <row r="114" spans="1:73" x14ac:dyDescent="0.25">
      <c r="A114" s="65" t="s">
        <v>275</v>
      </c>
      <c r="B114" s="65" t="s">
        <v>249</v>
      </c>
      <c r="C114" s="66" t="s">
        <v>10075</v>
      </c>
      <c r="D114" s="67">
        <v>10</v>
      </c>
      <c r="E114" s="68" t="s">
        <v>132</v>
      </c>
      <c r="F114" s="69">
        <v>12</v>
      </c>
      <c r="G114" s="66"/>
      <c r="H114" s="70"/>
      <c r="I114" s="71"/>
      <c r="J114" s="71"/>
      <c r="K114" s="35" t="s">
        <v>66</v>
      </c>
      <c r="L114" s="79">
        <v>114</v>
      </c>
      <c r="M114" s="79"/>
      <c r="N114" s="73"/>
      <c r="O114" s="81" t="s">
        <v>366</v>
      </c>
      <c r="P114" s="83">
        <v>45233.526053240741</v>
      </c>
      <c r="Q114" s="81" t="s">
        <v>373</v>
      </c>
      <c r="R114" s="81">
        <v>4</v>
      </c>
      <c r="S114" s="81">
        <v>0</v>
      </c>
      <c r="T114" s="81">
        <v>0</v>
      </c>
      <c r="U114" s="81">
        <v>0</v>
      </c>
      <c r="V114" s="81"/>
      <c r="W114" s="81"/>
      <c r="X114" s="81"/>
      <c r="Y114" s="81"/>
      <c r="Z114" s="81" t="s">
        <v>518</v>
      </c>
      <c r="AA114" s="81"/>
      <c r="AB114" s="81"/>
      <c r="AC114" s="84" t="s">
        <v>583</v>
      </c>
      <c r="AD114" s="81" t="s">
        <v>588</v>
      </c>
      <c r="AE114" s="86" t="str">
        <f>HYPERLINK("https://twitter.com/prof_dimitrova/status/1720419935531204819")</f>
        <v>https://twitter.com/prof_dimitrova/status/1720419935531204819</v>
      </c>
      <c r="AF114" s="83">
        <v>45233.526053240741</v>
      </c>
      <c r="AG114" s="89">
        <v>45233</v>
      </c>
      <c r="AH114" s="84" t="s">
        <v>650</v>
      </c>
      <c r="AI114" s="81" t="b">
        <v>0</v>
      </c>
      <c r="AJ114" s="81"/>
      <c r="AK114" s="81"/>
      <c r="AL114" s="81"/>
      <c r="AM114" s="81"/>
      <c r="AN114" s="81"/>
      <c r="AO114" s="81"/>
      <c r="AP114" s="81"/>
      <c r="AQ114" s="81"/>
      <c r="AR114" s="81"/>
      <c r="AS114" s="81"/>
      <c r="AT114" s="81"/>
      <c r="AU114" s="81"/>
      <c r="AV114" s="86" t="str">
        <f>HYPERLINK("https://pbs.twimg.com/profile_images/1453492073492008960/JvNqqE66_normal.jpg")</f>
        <v>https://pbs.twimg.com/profile_images/1453492073492008960/JvNqqE66_normal.jpg</v>
      </c>
      <c r="AW114" s="84" t="s">
        <v>804</v>
      </c>
      <c r="AX114" s="84" t="s">
        <v>804</v>
      </c>
      <c r="AY114" s="81"/>
      <c r="AZ114" s="84" t="s">
        <v>879</v>
      </c>
      <c r="BA114" s="84" t="s">
        <v>879</v>
      </c>
      <c r="BB114" s="84" t="s">
        <v>801</v>
      </c>
      <c r="BC114" s="84" t="s">
        <v>801</v>
      </c>
      <c r="BD114" s="81">
        <v>208629545</v>
      </c>
      <c r="BE114" s="81"/>
      <c r="BF114" s="81"/>
      <c r="BG114" s="81"/>
      <c r="BH114" s="81"/>
      <c r="BI114" s="81"/>
      <c r="BJ114">
        <v>3</v>
      </c>
      <c r="BK114" s="80" t="str">
        <f>REPLACE(INDEX(GroupVertices[Group], MATCH("~"&amp;Edges[[#This Row],[Vertex 1]],GroupVertices[Vertex],0)),1,1,"")</f>
        <v>3</v>
      </c>
      <c r="BL114" s="80" t="str">
        <f>REPLACE(INDEX(GroupVertices[Group], MATCH("~"&amp;Edges[[#This Row],[Vertex 2]],GroupVertices[Vertex],0)),1,1,"")</f>
        <v>3</v>
      </c>
      <c r="BM114" s="49"/>
      <c r="BN114" s="50"/>
      <c r="BO114" s="49"/>
      <c r="BP114" s="50"/>
      <c r="BQ114" s="49"/>
      <c r="BR114" s="50"/>
      <c r="BS114" s="49"/>
      <c r="BT114" s="50"/>
      <c r="BU114" s="49"/>
    </row>
    <row r="115" spans="1:73" x14ac:dyDescent="0.25">
      <c r="A115" s="65" t="s">
        <v>275</v>
      </c>
      <c r="B115" s="65" t="s">
        <v>249</v>
      </c>
      <c r="C115" s="66" t="s">
        <v>10075</v>
      </c>
      <c r="D115" s="67">
        <v>10</v>
      </c>
      <c r="E115" s="68" t="s">
        <v>132</v>
      </c>
      <c r="F115" s="69">
        <v>12</v>
      </c>
      <c r="G115" s="66"/>
      <c r="H115" s="70"/>
      <c r="I115" s="71"/>
      <c r="J115" s="71"/>
      <c r="K115" s="35" t="s">
        <v>66</v>
      </c>
      <c r="L115" s="79">
        <v>115</v>
      </c>
      <c r="M115" s="79"/>
      <c r="N115" s="73"/>
      <c r="O115" s="81" t="s">
        <v>365</v>
      </c>
      <c r="P115" s="83">
        <v>45233.526053240741</v>
      </c>
      <c r="Q115" s="81" t="s">
        <v>373</v>
      </c>
      <c r="R115" s="81">
        <v>4</v>
      </c>
      <c r="S115" s="81">
        <v>0</v>
      </c>
      <c r="T115" s="81">
        <v>0</v>
      </c>
      <c r="U115" s="81">
        <v>0</v>
      </c>
      <c r="V115" s="81"/>
      <c r="W115" s="81"/>
      <c r="X115" s="81"/>
      <c r="Y115" s="81"/>
      <c r="Z115" s="81" t="s">
        <v>518</v>
      </c>
      <c r="AA115" s="81"/>
      <c r="AB115" s="81"/>
      <c r="AC115" s="84" t="s">
        <v>583</v>
      </c>
      <c r="AD115" s="81" t="s">
        <v>588</v>
      </c>
      <c r="AE115" s="86" t="str">
        <f>HYPERLINK("https://twitter.com/prof_dimitrova/status/1720419935531204819")</f>
        <v>https://twitter.com/prof_dimitrova/status/1720419935531204819</v>
      </c>
      <c r="AF115" s="83">
        <v>45233.526053240741</v>
      </c>
      <c r="AG115" s="89">
        <v>45233</v>
      </c>
      <c r="AH115" s="84" t="s">
        <v>650</v>
      </c>
      <c r="AI115" s="81" t="b">
        <v>0</v>
      </c>
      <c r="AJ115" s="81"/>
      <c r="AK115" s="81"/>
      <c r="AL115" s="81"/>
      <c r="AM115" s="81"/>
      <c r="AN115" s="81"/>
      <c r="AO115" s="81"/>
      <c r="AP115" s="81"/>
      <c r="AQ115" s="81"/>
      <c r="AR115" s="81"/>
      <c r="AS115" s="81"/>
      <c r="AT115" s="81"/>
      <c r="AU115" s="81"/>
      <c r="AV115" s="86" t="str">
        <f>HYPERLINK("https://pbs.twimg.com/profile_images/1453492073492008960/JvNqqE66_normal.jpg")</f>
        <v>https://pbs.twimg.com/profile_images/1453492073492008960/JvNqqE66_normal.jpg</v>
      </c>
      <c r="AW115" s="84" t="s">
        <v>804</v>
      </c>
      <c r="AX115" s="84" t="s">
        <v>804</v>
      </c>
      <c r="AY115" s="81"/>
      <c r="AZ115" s="84" t="s">
        <v>879</v>
      </c>
      <c r="BA115" s="84" t="s">
        <v>879</v>
      </c>
      <c r="BB115" s="84" t="s">
        <v>801</v>
      </c>
      <c r="BC115" s="84" t="s">
        <v>801</v>
      </c>
      <c r="BD115" s="81">
        <v>208629545</v>
      </c>
      <c r="BE115" s="81"/>
      <c r="BF115" s="81"/>
      <c r="BG115" s="81"/>
      <c r="BH115" s="81"/>
      <c r="BI115" s="81"/>
      <c r="BJ115">
        <v>3</v>
      </c>
      <c r="BK115" s="80" t="str">
        <f>REPLACE(INDEX(GroupVertices[Group], MATCH("~"&amp;Edges[[#This Row],[Vertex 1]],GroupVertices[Vertex],0)),1,1,"")</f>
        <v>3</v>
      </c>
      <c r="BL115" s="80" t="str">
        <f>REPLACE(INDEX(GroupVertices[Group], MATCH("~"&amp;Edges[[#This Row],[Vertex 2]],GroupVertices[Vertex],0)),1,1,"")</f>
        <v>3</v>
      </c>
      <c r="BM115" s="49">
        <v>2</v>
      </c>
      <c r="BN115" s="50">
        <v>9.5238095238095237</v>
      </c>
      <c r="BO115" s="49">
        <v>0</v>
      </c>
      <c r="BP115" s="50">
        <v>0</v>
      </c>
      <c r="BQ115" s="49">
        <v>0</v>
      </c>
      <c r="BR115" s="50">
        <v>0</v>
      </c>
      <c r="BS115" s="49">
        <v>11</v>
      </c>
      <c r="BT115" s="50">
        <v>52.38095238095238</v>
      </c>
      <c r="BU115" s="49">
        <v>21</v>
      </c>
    </row>
    <row r="116" spans="1:73" x14ac:dyDescent="0.25">
      <c r="A116" s="65" t="s">
        <v>275</v>
      </c>
      <c r="B116" s="65" t="s">
        <v>275</v>
      </c>
      <c r="C116" s="66" t="s">
        <v>10075</v>
      </c>
      <c r="D116" s="67">
        <v>10</v>
      </c>
      <c r="E116" s="68" t="s">
        <v>132</v>
      </c>
      <c r="F116" s="69">
        <v>12</v>
      </c>
      <c r="G116" s="66"/>
      <c r="H116" s="70"/>
      <c r="I116" s="71"/>
      <c r="J116" s="71"/>
      <c r="K116" s="35" t="s">
        <v>65</v>
      </c>
      <c r="L116" s="79">
        <v>116</v>
      </c>
      <c r="M116" s="79"/>
      <c r="N116" s="73"/>
      <c r="O116" s="81" t="s">
        <v>366</v>
      </c>
      <c r="P116" s="83">
        <v>45230.851134259261</v>
      </c>
      <c r="Q116" s="81" t="s">
        <v>422</v>
      </c>
      <c r="R116" s="81">
        <v>2</v>
      </c>
      <c r="S116" s="81">
        <v>0</v>
      </c>
      <c r="T116" s="81">
        <v>0</v>
      </c>
      <c r="U116" s="81">
        <v>0</v>
      </c>
      <c r="V116" s="81"/>
      <c r="W116" s="84" t="s">
        <v>485</v>
      </c>
      <c r="X116" s="86" t="str">
        <f>HYPERLINK("https://journals.sagepub.com/doi/abs/10.1177/10776990211049451")</f>
        <v>https://journals.sagepub.com/doi/abs/10.1177/10776990211049451</v>
      </c>
      <c r="Y116" s="81" t="s">
        <v>506</v>
      </c>
      <c r="Z116" s="81" t="s">
        <v>518</v>
      </c>
      <c r="AA116" s="81"/>
      <c r="AB116" s="81"/>
      <c r="AC116" s="84" t="s">
        <v>582</v>
      </c>
      <c r="AD116" s="81" t="s">
        <v>588</v>
      </c>
      <c r="AE116" s="86" t="str">
        <f>HYPERLINK("https://twitter.com/prof_dimitrova/status/1719450577459912929")</f>
        <v>https://twitter.com/prof_dimitrova/status/1719450577459912929</v>
      </c>
      <c r="AF116" s="83">
        <v>45230.851134259261</v>
      </c>
      <c r="AG116" s="89">
        <v>45230</v>
      </c>
      <c r="AH116" s="84" t="s">
        <v>651</v>
      </c>
      <c r="AI116" s="81" t="b">
        <v>0</v>
      </c>
      <c r="AJ116" s="81"/>
      <c r="AK116" s="81"/>
      <c r="AL116" s="81"/>
      <c r="AM116" s="81"/>
      <c r="AN116" s="81"/>
      <c r="AO116" s="81"/>
      <c r="AP116" s="81"/>
      <c r="AQ116" s="81"/>
      <c r="AR116" s="81"/>
      <c r="AS116" s="81"/>
      <c r="AT116" s="81"/>
      <c r="AU116" s="81"/>
      <c r="AV116" s="86" t="str">
        <f>HYPERLINK("https://pbs.twimg.com/profile_images/1453492073492008960/JvNqqE66_normal.jpg")</f>
        <v>https://pbs.twimg.com/profile_images/1453492073492008960/JvNqqE66_normal.jpg</v>
      </c>
      <c r="AW116" s="84" t="s">
        <v>805</v>
      </c>
      <c r="AX116" s="84" t="s">
        <v>805</v>
      </c>
      <c r="AY116" s="81"/>
      <c r="AZ116" s="84" t="s">
        <v>879</v>
      </c>
      <c r="BA116" s="84" t="s">
        <v>879</v>
      </c>
      <c r="BB116" s="84" t="s">
        <v>800</v>
      </c>
      <c r="BC116" s="84" t="s">
        <v>800</v>
      </c>
      <c r="BD116" s="81">
        <v>208629545</v>
      </c>
      <c r="BE116" s="81"/>
      <c r="BF116" s="81"/>
      <c r="BG116" s="81"/>
      <c r="BH116" s="81"/>
      <c r="BI116" s="81"/>
      <c r="BJ116">
        <v>3</v>
      </c>
      <c r="BK116" s="80" t="str">
        <f>REPLACE(INDEX(GroupVertices[Group], MATCH("~"&amp;Edges[[#This Row],[Vertex 1]],GroupVertices[Vertex],0)),1,1,"")</f>
        <v>3</v>
      </c>
      <c r="BL116" s="80" t="str">
        <f>REPLACE(INDEX(GroupVertices[Group], MATCH("~"&amp;Edges[[#This Row],[Vertex 2]],GroupVertices[Vertex],0)),1,1,"")</f>
        <v>3</v>
      </c>
      <c r="BM116" s="49"/>
      <c r="BN116" s="50"/>
      <c r="BO116" s="49"/>
      <c r="BP116" s="50"/>
      <c r="BQ116" s="49"/>
      <c r="BR116" s="50"/>
      <c r="BS116" s="49"/>
      <c r="BT116" s="50"/>
      <c r="BU116" s="49"/>
    </row>
    <row r="117" spans="1:73" x14ac:dyDescent="0.25">
      <c r="A117" s="65" t="s">
        <v>275</v>
      </c>
      <c r="B117" s="65" t="s">
        <v>249</v>
      </c>
      <c r="C117" s="66" t="s">
        <v>10075</v>
      </c>
      <c r="D117" s="67">
        <v>10</v>
      </c>
      <c r="E117" s="68" t="s">
        <v>132</v>
      </c>
      <c r="F117" s="69">
        <v>12</v>
      </c>
      <c r="G117" s="66"/>
      <c r="H117" s="70"/>
      <c r="I117" s="71"/>
      <c r="J117" s="71"/>
      <c r="K117" s="35" t="s">
        <v>66</v>
      </c>
      <c r="L117" s="79">
        <v>117</v>
      </c>
      <c r="M117" s="79"/>
      <c r="N117" s="73"/>
      <c r="O117" s="81" t="s">
        <v>366</v>
      </c>
      <c r="P117" s="83">
        <v>45230.851134259261</v>
      </c>
      <c r="Q117" s="81" t="s">
        <v>422</v>
      </c>
      <c r="R117" s="81">
        <v>2</v>
      </c>
      <c r="S117" s="81">
        <v>0</v>
      </c>
      <c r="T117" s="81">
        <v>0</v>
      </c>
      <c r="U117" s="81">
        <v>0</v>
      </c>
      <c r="V117" s="81"/>
      <c r="W117" s="84" t="s">
        <v>485</v>
      </c>
      <c r="X117" s="86" t="str">
        <f>HYPERLINK("https://journals.sagepub.com/doi/abs/10.1177/10776990211049451")</f>
        <v>https://journals.sagepub.com/doi/abs/10.1177/10776990211049451</v>
      </c>
      <c r="Y117" s="81" t="s">
        <v>506</v>
      </c>
      <c r="Z117" s="81" t="s">
        <v>518</v>
      </c>
      <c r="AA117" s="81"/>
      <c r="AB117" s="81"/>
      <c r="AC117" s="84" t="s">
        <v>582</v>
      </c>
      <c r="AD117" s="81" t="s">
        <v>588</v>
      </c>
      <c r="AE117" s="86" t="str">
        <f>HYPERLINK("https://twitter.com/prof_dimitrova/status/1719450577459912929")</f>
        <v>https://twitter.com/prof_dimitrova/status/1719450577459912929</v>
      </c>
      <c r="AF117" s="83">
        <v>45230.851134259261</v>
      </c>
      <c r="AG117" s="89">
        <v>45230</v>
      </c>
      <c r="AH117" s="84" t="s">
        <v>651</v>
      </c>
      <c r="AI117" s="81" t="b">
        <v>0</v>
      </c>
      <c r="AJ117" s="81"/>
      <c r="AK117" s="81"/>
      <c r="AL117" s="81"/>
      <c r="AM117" s="81"/>
      <c r="AN117" s="81"/>
      <c r="AO117" s="81"/>
      <c r="AP117" s="81"/>
      <c r="AQ117" s="81"/>
      <c r="AR117" s="81"/>
      <c r="AS117" s="81"/>
      <c r="AT117" s="81"/>
      <c r="AU117" s="81"/>
      <c r="AV117" s="86" t="str">
        <f>HYPERLINK("https://pbs.twimg.com/profile_images/1453492073492008960/JvNqqE66_normal.jpg")</f>
        <v>https://pbs.twimg.com/profile_images/1453492073492008960/JvNqqE66_normal.jpg</v>
      </c>
      <c r="AW117" s="84" t="s">
        <v>805</v>
      </c>
      <c r="AX117" s="84" t="s">
        <v>805</v>
      </c>
      <c r="AY117" s="81"/>
      <c r="AZ117" s="84" t="s">
        <v>879</v>
      </c>
      <c r="BA117" s="84" t="s">
        <v>879</v>
      </c>
      <c r="BB117" s="84" t="s">
        <v>800</v>
      </c>
      <c r="BC117" s="84" t="s">
        <v>800</v>
      </c>
      <c r="BD117" s="81">
        <v>208629545</v>
      </c>
      <c r="BE117" s="81"/>
      <c r="BF117" s="81"/>
      <c r="BG117" s="81"/>
      <c r="BH117" s="81"/>
      <c r="BI117" s="81"/>
      <c r="BJ117">
        <v>3</v>
      </c>
      <c r="BK117" s="80" t="str">
        <f>REPLACE(INDEX(GroupVertices[Group], MATCH("~"&amp;Edges[[#This Row],[Vertex 1]],GroupVertices[Vertex],0)),1,1,"")</f>
        <v>3</v>
      </c>
      <c r="BL117" s="80" t="str">
        <f>REPLACE(INDEX(GroupVertices[Group], MATCH("~"&amp;Edges[[#This Row],[Vertex 2]],GroupVertices[Vertex],0)),1,1,"")</f>
        <v>3</v>
      </c>
      <c r="BM117" s="49"/>
      <c r="BN117" s="50"/>
      <c r="BO117" s="49"/>
      <c r="BP117" s="50"/>
      <c r="BQ117" s="49"/>
      <c r="BR117" s="50"/>
      <c r="BS117" s="49"/>
      <c r="BT117" s="50"/>
      <c r="BU117" s="49"/>
    </row>
    <row r="118" spans="1:73" x14ac:dyDescent="0.25">
      <c r="A118" s="65" t="s">
        <v>275</v>
      </c>
      <c r="B118" s="65" t="s">
        <v>249</v>
      </c>
      <c r="C118" s="66" t="s">
        <v>10075</v>
      </c>
      <c r="D118" s="67">
        <v>10</v>
      </c>
      <c r="E118" s="68" t="s">
        <v>132</v>
      </c>
      <c r="F118" s="69">
        <v>12</v>
      </c>
      <c r="G118" s="66"/>
      <c r="H118" s="70"/>
      <c r="I118" s="71"/>
      <c r="J118" s="71"/>
      <c r="K118" s="35" t="s">
        <v>66</v>
      </c>
      <c r="L118" s="79">
        <v>118</v>
      </c>
      <c r="M118" s="79"/>
      <c r="N118" s="73"/>
      <c r="O118" s="81" t="s">
        <v>365</v>
      </c>
      <c r="P118" s="83">
        <v>45230.851134259261</v>
      </c>
      <c r="Q118" s="81" t="s">
        <v>422</v>
      </c>
      <c r="R118" s="81">
        <v>2</v>
      </c>
      <c r="S118" s="81">
        <v>0</v>
      </c>
      <c r="T118" s="81">
        <v>0</v>
      </c>
      <c r="U118" s="81">
        <v>0</v>
      </c>
      <c r="V118" s="81"/>
      <c r="W118" s="84" t="s">
        <v>485</v>
      </c>
      <c r="X118" s="86" t="str">
        <f>HYPERLINK("https://journals.sagepub.com/doi/abs/10.1177/10776990211049451")</f>
        <v>https://journals.sagepub.com/doi/abs/10.1177/10776990211049451</v>
      </c>
      <c r="Y118" s="81" t="s">
        <v>506</v>
      </c>
      <c r="Z118" s="81" t="s">
        <v>518</v>
      </c>
      <c r="AA118" s="81"/>
      <c r="AB118" s="81"/>
      <c r="AC118" s="84" t="s">
        <v>582</v>
      </c>
      <c r="AD118" s="81" t="s">
        <v>588</v>
      </c>
      <c r="AE118" s="86" t="str">
        <f>HYPERLINK("https://twitter.com/prof_dimitrova/status/1719450577459912929")</f>
        <v>https://twitter.com/prof_dimitrova/status/1719450577459912929</v>
      </c>
      <c r="AF118" s="83">
        <v>45230.851134259261</v>
      </c>
      <c r="AG118" s="89">
        <v>45230</v>
      </c>
      <c r="AH118" s="84" t="s">
        <v>651</v>
      </c>
      <c r="AI118" s="81" t="b">
        <v>0</v>
      </c>
      <c r="AJ118" s="81"/>
      <c r="AK118" s="81"/>
      <c r="AL118" s="81"/>
      <c r="AM118" s="81"/>
      <c r="AN118" s="81"/>
      <c r="AO118" s="81"/>
      <c r="AP118" s="81"/>
      <c r="AQ118" s="81"/>
      <c r="AR118" s="81"/>
      <c r="AS118" s="81"/>
      <c r="AT118" s="81"/>
      <c r="AU118" s="81"/>
      <c r="AV118" s="86" t="str">
        <f>HYPERLINK("https://pbs.twimg.com/profile_images/1453492073492008960/JvNqqE66_normal.jpg")</f>
        <v>https://pbs.twimg.com/profile_images/1453492073492008960/JvNqqE66_normal.jpg</v>
      </c>
      <c r="AW118" s="84" t="s">
        <v>805</v>
      </c>
      <c r="AX118" s="84" t="s">
        <v>805</v>
      </c>
      <c r="AY118" s="81"/>
      <c r="AZ118" s="84" t="s">
        <v>879</v>
      </c>
      <c r="BA118" s="84" t="s">
        <v>879</v>
      </c>
      <c r="BB118" s="84" t="s">
        <v>800</v>
      </c>
      <c r="BC118" s="84" t="s">
        <v>800</v>
      </c>
      <c r="BD118" s="81">
        <v>208629545</v>
      </c>
      <c r="BE118" s="81"/>
      <c r="BF118" s="81"/>
      <c r="BG118" s="81"/>
      <c r="BH118" s="81"/>
      <c r="BI118" s="81"/>
      <c r="BJ118">
        <v>3</v>
      </c>
      <c r="BK118" s="80" t="str">
        <f>REPLACE(INDEX(GroupVertices[Group], MATCH("~"&amp;Edges[[#This Row],[Vertex 1]],GroupVertices[Vertex],0)),1,1,"")</f>
        <v>3</v>
      </c>
      <c r="BL118" s="80" t="str">
        <f>REPLACE(INDEX(GroupVertices[Group], MATCH("~"&amp;Edges[[#This Row],[Vertex 2]],GroupVertices[Vertex],0)),1,1,"")</f>
        <v>3</v>
      </c>
      <c r="BM118" s="49">
        <v>0</v>
      </c>
      <c r="BN118" s="50">
        <v>0</v>
      </c>
      <c r="BO118" s="49">
        <v>0</v>
      </c>
      <c r="BP118" s="50">
        <v>0</v>
      </c>
      <c r="BQ118" s="49">
        <v>0</v>
      </c>
      <c r="BR118" s="50">
        <v>0</v>
      </c>
      <c r="BS118" s="49">
        <v>9</v>
      </c>
      <c r="BT118" s="50">
        <v>56.25</v>
      </c>
      <c r="BU118" s="49">
        <v>16</v>
      </c>
    </row>
    <row r="119" spans="1:73" x14ac:dyDescent="0.25">
      <c r="A119" s="65" t="s">
        <v>268</v>
      </c>
      <c r="B119" s="65" t="s">
        <v>275</v>
      </c>
      <c r="C119" s="66" t="s">
        <v>10075</v>
      </c>
      <c r="D119" s="67">
        <v>10</v>
      </c>
      <c r="E119" s="68" t="s">
        <v>132</v>
      </c>
      <c r="F119" s="69">
        <v>12</v>
      </c>
      <c r="G119" s="66"/>
      <c r="H119" s="70"/>
      <c r="I119" s="71"/>
      <c r="J119" s="71"/>
      <c r="K119" s="35" t="s">
        <v>65</v>
      </c>
      <c r="L119" s="79">
        <v>119</v>
      </c>
      <c r="M119" s="79"/>
      <c r="N119" s="73"/>
      <c r="O119" s="81" t="s">
        <v>366</v>
      </c>
      <c r="P119" s="83">
        <v>45233.740844907406</v>
      </c>
      <c r="Q119" s="81" t="s">
        <v>423</v>
      </c>
      <c r="R119" s="81">
        <v>1</v>
      </c>
      <c r="S119" s="81">
        <v>0</v>
      </c>
      <c r="T119" s="81">
        <v>0</v>
      </c>
      <c r="U119" s="81">
        <v>0</v>
      </c>
      <c r="V119" s="81"/>
      <c r="W119" s="81"/>
      <c r="X119" s="81"/>
      <c r="Y119" s="81"/>
      <c r="Z119" s="81" t="s">
        <v>518</v>
      </c>
      <c r="AA119" s="81"/>
      <c r="AB119" s="81"/>
      <c r="AC119" s="84" t="s">
        <v>582</v>
      </c>
      <c r="AD119" s="81" t="s">
        <v>588</v>
      </c>
      <c r="AE119" s="86" t="str">
        <f>HYPERLINK("https://twitter.com/aejmc/status/1720497776302117214")</f>
        <v>https://twitter.com/aejmc/status/1720497776302117214</v>
      </c>
      <c r="AF119" s="83">
        <v>45233.740844907406</v>
      </c>
      <c r="AG119" s="89">
        <v>45233</v>
      </c>
      <c r="AH119" s="84" t="s">
        <v>652</v>
      </c>
      <c r="AI119" s="81"/>
      <c r="AJ119" s="81"/>
      <c r="AK119" s="81"/>
      <c r="AL119" s="81"/>
      <c r="AM119" s="81"/>
      <c r="AN119" s="81"/>
      <c r="AO119" s="81"/>
      <c r="AP119" s="81"/>
      <c r="AQ119" s="81"/>
      <c r="AR119" s="81"/>
      <c r="AS119" s="81"/>
      <c r="AT119" s="81"/>
      <c r="AU119" s="81"/>
      <c r="AV119" s="86" t="str">
        <f>HYPERLINK("https://pbs.twimg.com/profile_images/1559584982439444482/vOVkFGh3_normal.png")</f>
        <v>https://pbs.twimg.com/profile_images/1559584982439444482/vOVkFGh3_normal.png</v>
      </c>
      <c r="AW119" s="84" t="s">
        <v>806</v>
      </c>
      <c r="AX119" s="84" t="s">
        <v>806</v>
      </c>
      <c r="AY119" s="81"/>
      <c r="AZ119" s="84" t="s">
        <v>879</v>
      </c>
      <c r="BA119" s="84" t="s">
        <v>879</v>
      </c>
      <c r="BB119" s="84" t="s">
        <v>786</v>
      </c>
      <c r="BC119" s="84" t="s">
        <v>786</v>
      </c>
      <c r="BD119" s="81">
        <v>8442592</v>
      </c>
      <c r="BE119" s="81"/>
      <c r="BF119" s="81"/>
      <c r="BG119" s="81"/>
      <c r="BH119" s="81"/>
      <c r="BI119" s="81"/>
      <c r="BJ119">
        <v>4</v>
      </c>
      <c r="BK119" s="80" t="str">
        <f>REPLACE(INDEX(GroupVertices[Group], MATCH("~"&amp;Edges[[#This Row],[Vertex 1]],GroupVertices[Vertex],0)),1,1,"")</f>
        <v>1</v>
      </c>
      <c r="BL119" s="80" t="str">
        <f>REPLACE(INDEX(GroupVertices[Group], MATCH("~"&amp;Edges[[#This Row],[Vertex 2]],GroupVertices[Vertex],0)),1,1,"")</f>
        <v>3</v>
      </c>
      <c r="BM119" s="49"/>
      <c r="BN119" s="50"/>
      <c r="BO119" s="49"/>
      <c r="BP119" s="50"/>
      <c r="BQ119" s="49"/>
      <c r="BR119" s="50"/>
      <c r="BS119" s="49"/>
      <c r="BT119" s="50"/>
      <c r="BU119" s="49"/>
    </row>
    <row r="120" spans="1:73" x14ac:dyDescent="0.25">
      <c r="A120" s="65" t="s">
        <v>268</v>
      </c>
      <c r="B120" s="65" t="s">
        <v>275</v>
      </c>
      <c r="C120" s="66" t="s">
        <v>10075</v>
      </c>
      <c r="D120" s="67">
        <v>10</v>
      </c>
      <c r="E120" s="68" t="s">
        <v>132</v>
      </c>
      <c r="F120" s="69">
        <v>12</v>
      </c>
      <c r="G120" s="66"/>
      <c r="H120" s="70"/>
      <c r="I120" s="71"/>
      <c r="J120" s="71"/>
      <c r="K120" s="35" t="s">
        <v>65</v>
      </c>
      <c r="L120" s="79">
        <v>120</v>
      </c>
      <c r="M120" s="79"/>
      <c r="N120" s="73"/>
      <c r="O120" s="81" t="s">
        <v>366</v>
      </c>
      <c r="P120" s="83">
        <v>45230.816342592596</v>
      </c>
      <c r="Q120" s="81" t="s">
        <v>422</v>
      </c>
      <c r="R120" s="81">
        <v>2</v>
      </c>
      <c r="S120" s="81">
        <v>0</v>
      </c>
      <c r="T120" s="81">
        <v>0</v>
      </c>
      <c r="U120" s="81">
        <v>0</v>
      </c>
      <c r="V120" s="81"/>
      <c r="W120" s="84" t="s">
        <v>485</v>
      </c>
      <c r="X120" s="86" t="str">
        <f>HYPERLINK("https://journals.sagepub.com/doi/abs/10.1177/10776990211049451")</f>
        <v>https://journals.sagepub.com/doi/abs/10.1177/10776990211049451</v>
      </c>
      <c r="Y120" s="81" t="s">
        <v>506</v>
      </c>
      <c r="Z120" s="81" t="s">
        <v>518</v>
      </c>
      <c r="AA120" s="81"/>
      <c r="AB120" s="81"/>
      <c r="AC120" s="84" t="s">
        <v>582</v>
      </c>
      <c r="AD120" s="81" t="s">
        <v>588</v>
      </c>
      <c r="AE120" s="86" t="str">
        <f>HYPERLINK("https://twitter.com/aejmc/status/1719437971806375979")</f>
        <v>https://twitter.com/aejmc/status/1719437971806375979</v>
      </c>
      <c r="AF120" s="83">
        <v>45230.816342592596</v>
      </c>
      <c r="AG120" s="89">
        <v>45230</v>
      </c>
      <c r="AH120" s="84" t="s">
        <v>653</v>
      </c>
      <c r="AI120" s="81" t="b">
        <v>0</v>
      </c>
      <c r="AJ120" s="81"/>
      <c r="AK120" s="81"/>
      <c r="AL120" s="81"/>
      <c r="AM120" s="81"/>
      <c r="AN120" s="81"/>
      <c r="AO120" s="81"/>
      <c r="AP120" s="81"/>
      <c r="AQ120" s="81"/>
      <c r="AR120" s="81"/>
      <c r="AS120" s="81"/>
      <c r="AT120" s="81"/>
      <c r="AU120" s="81"/>
      <c r="AV120" s="86" t="str">
        <f>HYPERLINK("https://pbs.twimg.com/profile_images/1559584982439444482/vOVkFGh3_normal.png")</f>
        <v>https://pbs.twimg.com/profile_images/1559584982439444482/vOVkFGh3_normal.png</v>
      </c>
      <c r="AW120" s="84" t="s">
        <v>807</v>
      </c>
      <c r="AX120" s="84" t="s">
        <v>807</v>
      </c>
      <c r="AY120" s="81"/>
      <c r="AZ120" s="84" t="s">
        <v>879</v>
      </c>
      <c r="BA120" s="84" t="s">
        <v>879</v>
      </c>
      <c r="BB120" s="84" t="s">
        <v>800</v>
      </c>
      <c r="BC120" s="84" t="s">
        <v>800</v>
      </c>
      <c r="BD120" s="81">
        <v>8442592</v>
      </c>
      <c r="BE120" s="81"/>
      <c r="BF120" s="81"/>
      <c r="BG120" s="81"/>
      <c r="BH120" s="81"/>
      <c r="BI120" s="81"/>
      <c r="BJ120">
        <v>4</v>
      </c>
      <c r="BK120" s="80" t="str">
        <f>REPLACE(INDEX(GroupVertices[Group], MATCH("~"&amp;Edges[[#This Row],[Vertex 1]],GroupVertices[Vertex],0)),1,1,"")</f>
        <v>1</v>
      </c>
      <c r="BL120" s="80" t="str">
        <f>REPLACE(INDEX(GroupVertices[Group], MATCH("~"&amp;Edges[[#This Row],[Vertex 2]],GroupVertices[Vertex],0)),1,1,"")</f>
        <v>3</v>
      </c>
      <c r="BM120" s="49"/>
      <c r="BN120" s="50"/>
      <c r="BO120" s="49"/>
      <c r="BP120" s="50"/>
      <c r="BQ120" s="49"/>
      <c r="BR120" s="50"/>
      <c r="BS120" s="49"/>
      <c r="BT120" s="50"/>
      <c r="BU120" s="49"/>
    </row>
    <row r="121" spans="1:73" x14ac:dyDescent="0.25">
      <c r="A121" s="65" t="s">
        <v>268</v>
      </c>
      <c r="B121" s="65" t="s">
        <v>275</v>
      </c>
      <c r="C121" s="66" t="s">
        <v>10075</v>
      </c>
      <c r="D121" s="67">
        <v>10</v>
      </c>
      <c r="E121" s="68" t="s">
        <v>132</v>
      </c>
      <c r="F121" s="69">
        <v>12</v>
      </c>
      <c r="G121" s="66"/>
      <c r="H121" s="70"/>
      <c r="I121" s="71"/>
      <c r="J121" s="71"/>
      <c r="K121" s="35" t="s">
        <v>65</v>
      </c>
      <c r="L121" s="79">
        <v>121</v>
      </c>
      <c r="M121" s="79"/>
      <c r="N121" s="73"/>
      <c r="O121" s="81" t="s">
        <v>366</v>
      </c>
      <c r="P121" s="83">
        <v>45229.644386574073</v>
      </c>
      <c r="Q121" s="81" t="s">
        <v>413</v>
      </c>
      <c r="R121" s="81">
        <v>5</v>
      </c>
      <c r="S121" s="81">
        <v>0</v>
      </c>
      <c r="T121" s="81">
        <v>0</v>
      </c>
      <c r="U121" s="81">
        <v>0</v>
      </c>
      <c r="V121" s="81"/>
      <c r="W121" s="84" t="s">
        <v>484</v>
      </c>
      <c r="X121" s="86" t="str">
        <f>HYPERLINK("https://journals.sagepub.com/doi/abs/10.1177/10776990221108722")</f>
        <v>https://journals.sagepub.com/doi/abs/10.1177/10776990221108722</v>
      </c>
      <c r="Y121" s="81" t="s">
        <v>506</v>
      </c>
      <c r="Z121" s="81" t="s">
        <v>518</v>
      </c>
      <c r="AA121" s="81"/>
      <c r="AB121" s="81"/>
      <c r="AC121" s="84" t="s">
        <v>582</v>
      </c>
      <c r="AD121" s="81" t="s">
        <v>588</v>
      </c>
      <c r="AE121" s="86" t="str">
        <f>HYPERLINK("https://twitter.com/aejmc/status/1719013266746118316")</f>
        <v>https://twitter.com/aejmc/status/1719013266746118316</v>
      </c>
      <c r="AF121" s="83">
        <v>45229.644386574073</v>
      </c>
      <c r="AG121" s="89">
        <v>45229</v>
      </c>
      <c r="AH121" s="84" t="s">
        <v>654</v>
      </c>
      <c r="AI121" s="81" t="b">
        <v>0</v>
      </c>
      <c r="AJ121" s="81"/>
      <c r="AK121" s="81"/>
      <c r="AL121" s="81"/>
      <c r="AM121" s="81"/>
      <c r="AN121" s="81"/>
      <c r="AO121" s="81"/>
      <c r="AP121" s="81"/>
      <c r="AQ121" s="81"/>
      <c r="AR121" s="81"/>
      <c r="AS121" s="81"/>
      <c r="AT121" s="81"/>
      <c r="AU121" s="81"/>
      <c r="AV121" s="86" t="str">
        <f>HYPERLINK("https://pbs.twimg.com/profile_images/1559584982439444482/vOVkFGh3_normal.png")</f>
        <v>https://pbs.twimg.com/profile_images/1559584982439444482/vOVkFGh3_normal.png</v>
      </c>
      <c r="AW121" s="84" t="s">
        <v>808</v>
      </c>
      <c r="AX121" s="84" t="s">
        <v>808</v>
      </c>
      <c r="AY121" s="81"/>
      <c r="AZ121" s="84" t="s">
        <v>879</v>
      </c>
      <c r="BA121" s="84" t="s">
        <v>879</v>
      </c>
      <c r="BB121" s="84" t="s">
        <v>802</v>
      </c>
      <c r="BC121" s="84" t="s">
        <v>802</v>
      </c>
      <c r="BD121" s="81">
        <v>8442592</v>
      </c>
      <c r="BE121" s="81"/>
      <c r="BF121" s="81"/>
      <c r="BG121" s="81"/>
      <c r="BH121" s="81"/>
      <c r="BI121" s="81"/>
      <c r="BJ121">
        <v>4</v>
      </c>
      <c r="BK121" s="80" t="str">
        <f>REPLACE(INDEX(GroupVertices[Group], MATCH("~"&amp;Edges[[#This Row],[Vertex 1]],GroupVertices[Vertex],0)),1,1,"")</f>
        <v>1</v>
      </c>
      <c r="BL121" s="80" t="str">
        <f>REPLACE(INDEX(GroupVertices[Group], MATCH("~"&amp;Edges[[#This Row],[Vertex 2]],GroupVertices[Vertex],0)),1,1,"")</f>
        <v>3</v>
      </c>
      <c r="BM121" s="49"/>
      <c r="BN121" s="50"/>
      <c r="BO121" s="49"/>
      <c r="BP121" s="50"/>
      <c r="BQ121" s="49"/>
      <c r="BR121" s="50"/>
      <c r="BS121" s="49"/>
      <c r="BT121" s="50"/>
      <c r="BU121" s="49"/>
    </row>
    <row r="122" spans="1:73" x14ac:dyDescent="0.25">
      <c r="A122" s="65" t="s">
        <v>268</v>
      </c>
      <c r="B122" s="65" t="s">
        <v>275</v>
      </c>
      <c r="C122" s="66" t="s">
        <v>10073</v>
      </c>
      <c r="D122" s="67">
        <v>3</v>
      </c>
      <c r="E122" s="68" t="s">
        <v>132</v>
      </c>
      <c r="F122" s="69">
        <v>35</v>
      </c>
      <c r="G122" s="66"/>
      <c r="H122" s="70"/>
      <c r="I122" s="71"/>
      <c r="J122" s="71"/>
      <c r="K122" s="35" t="s">
        <v>65</v>
      </c>
      <c r="L122" s="79">
        <v>122</v>
      </c>
      <c r="M122" s="79"/>
      <c r="N122" s="73"/>
      <c r="O122" s="81" t="s">
        <v>368</v>
      </c>
      <c r="P122" s="83">
        <v>45233.740937499999</v>
      </c>
      <c r="Q122" s="81" t="s">
        <v>408</v>
      </c>
      <c r="R122" s="81">
        <v>0</v>
      </c>
      <c r="S122" s="81">
        <v>2</v>
      </c>
      <c r="T122" s="81">
        <v>0</v>
      </c>
      <c r="U122" s="81">
        <v>0</v>
      </c>
      <c r="V122" s="81">
        <v>80</v>
      </c>
      <c r="W122" s="81"/>
      <c r="X122" s="81"/>
      <c r="Y122" s="81"/>
      <c r="Z122" s="81" t="s">
        <v>536</v>
      </c>
      <c r="AA122" s="81"/>
      <c r="AB122" s="81"/>
      <c r="AC122" s="84" t="s">
        <v>582</v>
      </c>
      <c r="AD122" s="81" t="s">
        <v>589</v>
      </c>
      <c r="AE122" s="86" t="str">
        <f>HYPERLINK("https://twitter.com/aejmc/status/1720497808719942028")</f>
        <v>https://twitter.com/aejmc/status/1720497808719942028</v>
      </c>
      <c r="AF122" s="83">
        <v>45233.740937499999</v>
      </c>
      <c r="AG122" s="89">
        <v>45233</v>
      </c>
      <c r="AH122" s="84" t="s">
        <v>633</v>
      </c>
      <c r="AI122" s="81"/>
      <c r="AJ122" s="81"/>
      <c r="AK122" s="81"/>
      <c r="AL122" s="81"/>
      <c r="AM122" s="81"/>
      <c r="AN122" s="81"/>
      <c r="AO122" s="81"/>
      <c r="AP122" s="81"/>
      <c r="AQ122" s="81"/>
      <c r="AR122" s="81"/>
      <c r="AS122" s="81"/>
      <c r="AT122" s="81"/>
      <c r="AU122" s="81"/>
      <c r="AV122" s="86" t="str">
        <f>HYPERLINK("https://pbs.twimg.com/profile_images/1559584982439444482/vOVkFGh3_normal.png")</f>
        <v>https://pbs.twimg.com/profile_images/1559584982439444482/vOVkFGh3_normal.png</v>
      </c>
      <c r="AW122" s="84" t="s">
        <v>787</v>
      </c>
      <c r="AX122" s="84" t="s">
        <v>786</v>
      </c>
      <c r="AY122" s="84" t="s">
        <v>876</v>
      </c>
      <c r="AZ122" s="84" t="s">
        <v>786</v>
      </c>
      <c r="BA122" s="84" t="s">
        <v>879</v>
      </c>
      <c r="BB122" s="84" t="s">
        <v>879</v>
      </c>
      <c r="BC122" s="84" t="s">
        <v>786</v>
      </c>
      <c r="BD122" s="81">
        <v>8442592</v>
      </c>
      <c r="BE122" s="81"/>
      <c r="BF122" s="81"/>
      <c r="BG122" s="81"/>
      <c r="BH122" s="81"/>
      <c r="BI122" s="81"/>
      <c r="BJ122">
        <v>1</v>
      </c>
      <c r="BK122" s="80" t="str">
        <f>REPLACE(INDEX(GroupVertices[Group], MATCH("~"&amp;Edges[[#This Row],[Vertex 1]],GroupVertices[Vertex],0)),1,1,"")</f>
        <v>1</v>
      </c>
      <c r="BL122" s="80" t="str">
        <f>REPLACE(INDEX(GroupVertices[Group], MATCH("~"&amp;Edges[[#This Row],[Vertex 2]],GroupVertices[Vertex],0)),1,1,"")</f>
        <v>3</v>
      </c>
      <c r="BM122" s="49"/>
      <c r="BN122" s="50"/>
      <c r="BO122" s="49"/>
      <c r="BP122" s="50"/>
      <c r="BQ122" s="49"/>
      <c r="BR122" s="50"/>
      <c r="BS122" s="49"/>
      <c r="BT122" s="50"/>
      <c r="BU122" s="49"/>
    </row>
    <row r="123" spans="1:73" x14ac:dyDescent="0.25">
      <c r="A123" s="65" t="s">
        <v>268</v>
      </c>
      <c r="B123" s="65" t="s">
        <v>275</v>
      </c>
      <c r="C123" s="66" t="s">
        <v>10075</v>
      </c>
      <c r="D123" s="67">
        <v>10</v>
      </c>
      <c r="E123" s="68" t="s">
        <v>132</v>
      </c>
      <c r="F123" s="69">
        <v>12</v>
      </c>
      <c r="G123" s="66"/>
      <c r="H123" s="70"/>
      <c r="I123" s="71"/>
      <c r="J123" s="71"/>
      <c r="K123" s="35" t="s">
        <v>65</v>
      </c>
      <c r="L123" s="79">
        <v>123</v>
      </c>
      <c r="M123" s="79"/>
      <c r="N123" s="73"/>
      <c r="O123" s="81" t="s">
        <v>366</v>
      </c>
      <c r="P123" s="83">
        <v>45233.544074074074</v>
      </c>
      <c r="Q123" s="81" t="s">
        <v>373</v>
      </c>
      <c r="R123" s="81">
        <v>4</v>
      </c>
      <c r="S123" s="81">
        <v>0</v>
      </c>
      <c r="T123" s="81">
        <v>0</v>
      </c>
      <c r="U123" s="81">
        <v>0</v>
      </c>
      <c r="V123" s="81"/>
      <c r="W123" s="81"/>
      <c r="X123" s="81"/>
      <c r="Y123" s="81"/>
      <c r="Z123" s="81" t="s">
        <v>518</v>
      </c>
      <c r="AA123" s="81"/>
      <c r="AB123" s="81"/>
      <c r="AC123" s="84" t="s">
        <v>582</v>
      </c>
      <c r="AD123" s="81" t="s">
        <v>588</v>
      </c>
      <c r="AE123" s="86" t="str">
        <f>HYPERLINK("https://twitter.com/aejmc/status/1720426469137043715")</f>
        <v>https://twitter.com/aejmc/status/1720426469137043715</v>
      </c>
      <c r="AF123" s="83">
        <v>45233.544074074074</v>
      </c>
      <c r="AG123" s="89">
        <v>45233</v>
      </c>
      <c r="AH123" s="84" t="s">
        <v>655</v>
      </c>
      <c r="AI123" s="81" t="b">
        <v>0</v>
      </c>
      <c r="AJ123" s="81"/>
      <c r="AK123" s="81"/>
      <c r="AL123" s="81"/>
      <c r="AM123" s="81"/>
      <c r="AN123" s="81"/>
      <c r="AO123" s="81"/>
      <c r="AP123" s="81"/>
      <c r="AQ123" s="81"/>
      <c r="AR123" s="81"/>
      <c r="AS123" s="81"/>
      <c r="AT123" s="81"/>
      <c r="AU123" s="81"/>
      <c r="AV123" s="86" t="str">
        <f>HYPERLINK("https://pbs.twimg.com/profile_images/1559584982439444482/vOVkFGh3_normal.png")</f>
        <v>https://pbs.twimg.com/profile_images/1559584982439444482/vOVkFGh3_normal.png</v>
      </c>
      <c r="AW123" s="84" t="s">
        <v>809</v>
      </c>
      <c r="AX123" s="84" t="s">
        <v>809</v>
      </c>
      <c r="AY123" s="81"/>
      <c r="AZ123" s="84" t="s">
        <v>879</v>
      </c>
      <c r="BA123" s="84" t="s">
        <v>879</v>
      </c>
      <c r="BB123" s="84" t="s">
        <v>801</v>
      </c>
      <c r="BC123" s="84" t="s">
        <v>801</v>
      </c>
      <c r="BD123" s="81">
        <v>8442592</v>
      </c>
      <c r="BE123" s="81"/>
      <c r="BF123" s="81"/>
      <c r="BG123" s="81"/>
      <c r="BH123" s="81"/>
      <c r="BI123" s="81"/>
      <c r="BJ123">
        <v>4</v>
      </c>
      <c r="BK123" s="80" t="str">
        <f>REPLACE(INDEX(GroupVertices[Group], MATCH("~"&amp;Edges[[#This Row],[Vertex 1]],GroupVertices[Vertex],0)),1,1,"")</f>
        <v>1</v>
      </c>
      <c r="BL123" s="80" t="str">
        <f>REPLACE(INDEX(GroupVertices[Group], MATCH("~"&amp;Edges[[#This Row],[Vertex 2]],GroupVertices[Vertex],0)),1,1,"")</f>
        <v>3</v>
      </c>
      <c r="BM123" s="49"/>
      <c r="BN123" s="50"/>
      <c r="BO123" s="49"/>
      <c r="BP123" s="50"/>
      <c r="BQ123" s="49"/>
      <c r="BR123" s="50"/>
      <c r="BS123" s="49"/>
      <c r="BT123" s="50"/>
      <c r="BU123" s="49"/>
    </row>
    <row r="124" spans="1:73" x14ac:dyDescent="0.25">
      <c r="A124" s="65" t="s">
        <v>276</v>
      </c>
      <c r="B124" s="65" t="s">
        <v>275</v>
      </c>
      <c r="C124" s="66" t="s">
        <v>10073</v>
      </c>
      <c r="D124" s="67">
        <v>3</v>
      </c>
      <c r="E124" s="68" t="s">
        <v>132</v>
      </c>
      <c r="F124" s="69">
        <v>35</v>
      </c>
      <c r="G124" s="66"/>
      <c r="H124" s="70"/>
      <c r="I124" s="71"/>
      <c r="J124" s="71"/>
      <c r="K124" s="35" t="s">
        <v>65</v>
      </c>
      <c r="L124" s="79">
        <v>124</v>
      </c>
      <c r="M124" s="79"/>
      <c r="N124" s="73"/>
      <c r="O124" s="81" t="s">
        <v>366</v>
      </c>
      <c r="P124" s="83">
        <v>45233.049803240741</v>
      </c>
      <c r="Q124" s="81" t="s">
        <v>373</v>
      </c>
      <c r="R124" s="81">
        <v>4</v>
      </c>
      <c r="S124" s="81">
        <v>0</v>
      </c>
      <c r="T124" s="81">
        <v>0</v>
      </c>
      <c r="U124" s="81">
        <v>0</v>
      </c>
      <c r="V124" s="81"/>
      <c r="W124" s="81"/>
      <c r="X124" s="81"/>
      <c r="Y124" s="81"/>
      <c r="Z124" s="81" t="s">
        <v>518</v>
      </c>
      <c r="AA124" s="81"/>
      <c r="AB124" s="81"/>
      <c r="AC124" s="84" t="s">
        <v>579</v>
      </c>
      <c r="AD124" s="81" t="s">
        <v>588</v>
      </c>
      <c r="AE124" s="86" t="str">
        <f>HYPERLINK("https://twitter.com/aejmcctec/status/1720247351288172686")</f>
        <v>https://twitter.com/aejmcctec/status/1720247351288172686</v>
      </c>
      <c r="AF124" s="83">
        <v>45233.049803240741</v>
      </c>
      <c r="AG124" s="89">
        <v>45233</v>
      </c>
      <c r="AH124" s="84" t="s">
        <v>656</v>
      </c>
      <c r="AI124" s="81" t="b">
        <v>0</v>
      </c>
      <c r="AJ124" s="81"/>
      <c r="AK124" s="81"/>
      <c r="AL124" s="81"/>
      <c r="AM124" s="81"/>
      <c r="AN124" s="81"/>
      <c r="AO124" s="81"/>
      <c r="AP124" s="81"/>
      <c r="AQ124" s="81"/>
      <c r="AR124" s="81"/>
      <c r="AS124" s="81"/>
      <c r="AT124" s="81"/>
      <c r="AU124" s="81"/>
      <c r="AV124" s="86" t="str">
        <f>HYPERLINK("https://pbs.twimg.com/profile_images/2495615170/bp4qu2ql67yionsmi55z_normal.jpeg")</f>
        <v>https://pbs.twimg.com/profile_images/2495615170/bp4qu2ql67yionsmi55z_normal.jpeg</v>
      </c>
      <c r="AW124" s="84" t="s">
        <v>810</v>
      </c>
      <c r="AX124" s="84" t="s">
        <v>810</v>
      </c>
      <c r="AY124" s="81"/>
      <c r="AZ124" s="84" t="s">
        <v>879</v>
      </c>
      <c r="BA124" s="84" t="s">
        <v>879</v>
      </c>
      <c r="BB124" s="84" t="s">
        <v>801</v>
      </c>
      <c r="BC124" s="84" t="s">
        <v>801</v>
      </c>
      <c r="BD124" s="81">
        <v>753196890</v>
      </c>
      <c r="BE124" s="81"/>
      <c r="BF124" s="81"/>
      <c r="BG124" s="81"/>
      <c r="BH124" s="81"/>
      <c r="BI124" s="81"/>
      <c r="BJ124">
        <v>1</v>
      </c>
      <c r="BK124" s="80" t="str">
        <f>REPLACE(INDEX(GroupVertices[Group], MATCH("~"&amp;Edges[[#This Row],[Vertex 1]],GroupVertices[Vertex],0)),1,1,"")</f>
        <v>3</v>
      </c>
      <c r="BL124" s="80" t="str">
        <f>REPLACE(INDEX(GroupVertices[Group], MATCH("~"&amp;Edges[[#This Row],[Vertex 2]],GroupVertices[Vertex],0)),1,1,"")</f>
        <v>3</v>
      </c>
      <c r="BM124" s="49"/>
      <c r="BN124" s="50"/>
      <c r="BO124" s="49"/>
      <c r="BP124" s="50"/>
      <c r="BQ124" s="49"/>
      <c r="BR124" s="50"/>
      <c r="BS124" s="49"/>
      <c r="BT124" s="50"/>
      <c r="BU124" s="49"/>
    </row>
    <row r="125" spans="1:73" x14ac:dyDescent="0.25">
      <c r="A125" s="65" t="s">
        <v>249</v>
      </c>
      <c r="B125" s="65" t="s">
        <v>276</v>
      </c>
      <c r="C125" s="66" t="s">
        <v>10073</v>
      </c>
      <c r="D125" s="67">
        <v>3</v>
      </c>
      <c r="E125" s="68" t="s">
        <v>132</v>
      </c>
      <c r="F125" s="69">
        <v>35</v>
      </c>
      <c r="G125" s="66"/>
      <c r="H125" s="70"/>
      <c r="I125" s="71"/>
      <c r="J125" s="71"/>
      <c r="K125" s="35" t="s">
        <v>66</v>
      </c>
      <c r="L125" s="79">
        <v>125</v>
      </c>
      <c r="M125" s="79"/>
      <c r="N125" s="73"/>
      <c r="O125" s="81" t="s">
        <v>367</v>
      </c>
      <c r="P125" s="83">
        <v>45233.33766203704</v>
      </c>
      <c r="Q125" s="81" t="s">
        <v>382</v>
      </c>
      <c r="R125" s="81">
        <v>4</v>
      </c>
      <c r="S125" s="81">
        <v>15</v>
      </c>
      <c r="T125" s="81">
        <v>0</v>
      </c>
      <c r="U125" s="81">
        <v>1</v>
      </c>
      <c r="V125" s="81">
        <v>2001</v>
      </c>
      <c r="W125" s="84" t="s">
        <v>473</v>
      </c>
      <c r="X125" s="81"/>
      <c r="Y125" s="81"/>
      <c r="Z125" s="81" t="s">
        <v>526</v>
      </c>
      <c r="AA125" s="81"/>
      <c r="AB125" s="81"/>
      <c r="AC125" s="84" t="s">
        <v>579</v>
      </c>
      <c r="AD125" s="81" t="s">
        <v>588</v>
      </c>
      <c r="AE125" s="86" t="str">
        <f>HYPERLINK("https://twitter.com/jmcquarterly/status/1720351664719151216")</f>
        <v>https://twitter.com/jmcquarterly/status/1720351664719151216</v>
      </c>
      <c r="AF125" s="83">
        <v>45233.33766203704</v>
      </c>
      <c r="AG125" s="89">
        <v>45233</v>
      </c>
      <c r="AH125" s="84" t="s">
        <v>600</v>
      </c>
      <c r="AI125" s="81"/>
      <c r="AJ125" s="81"/>
      <c r="AK125" s="81"/>
      <c r="AL125" s="81"/>
      <c r="AM125" s="81"/>
      <c r="AN125" s="81"/>
      <c r="AO125" s="81"/>
      <c r="AP125" s="81"/>
      <c r="AQ125" s="81"/>
      <c r="AR125" s="81"/>
      <c r="AS125" s="81"/>
      <c r="AT125" s="81"/>
      <c r="AU125" s="81"/>
      <c r="AV125" s="86" t="str">
        <f>HYPERLINK("https://pbs.twimg.com/profile_images/1297970849820147712/3xME2yZ6_normal.jpg")</f>
        <v>https://pbs.twimg.com/profile_images/1297970849820147712/3xME2yZ6_normal.jpg</v>
      </c>
      <c r="AW125" s="84" t="s">
        <v>754</v>
      </c>
      <c r="AX125" s="84" t="s">
        <v>754</v>
      </c>
      <c r="AY125" s="81"/>
      <c r="AZ125" s="84" t="s">
        <v>879</v>
      </c>
      <c r="BA125" s="84" t="s">
        <v>879</v>
      </c>
      <c r="BB125" s="84" t="s">
        <v>879</v>
      </c>
      <c r="BC125" s="84" t="s">
        <v>754</v>
      </c>
      <c r="BD125" s="84" t="s">
        <v>876</v>
      </c>
      <c r="BE125" s="81"/>
      <c r="BF125" s="81"/>
      <c r="BG125" s="81"/>
      <c r="BH125" s="81"/>
      <c r="BI125" s="81"/>
      <c r="BJ125">
        <v>1</v>
      </c>
      <c r="BK125" s="80" t="str">
        <f>REPLACE(INDEX(GroupVertices[Group], MATCH("~"&amp;Edges[[#This Row],[Vertex 1]],GroupVertices[Vertex],0)),1,1,"")</f>
        <v>3</v>
      </c>
      <c r="BL125" s="80" t="str">
        <f>REPLACE(INDEX(GroupVertices[Group], MATCH("~"&amp;Edges[[#This Row],[Vertex 2]],GroupVertices[Vertex],0)),1,1,"")</f>
        <v>3</v>
      </c>
      <c r="BM125" s="49"/>
      <c r="BN125" s="50"/>
      <c r="BO125" s="49"/>
      <c r="BP125" s="50"/>
      <c r="BQ125" s="49"/>
      <c r="BR125" s="50"/>
      <c r="BS125" s="49"/>
      <c r="BT125" s="50"/>
      <c r="BU125" s="49"/>
    </row>
    <row r="126" spans="1:73" x14ac:dyDescent="0.25">
      <c r="A126" s="65" t="s">
        <v>276</v>
      </c>
      <c r="B126" s="65" t="s">
        <v>249</v>
      </c>
      <c r="C126" s="66" t="s">
        <v>10074</v>
      </c>
      <c r="D126" s="67">
        <v>6.5</v>
      </c>
      <c r="E126" s="68" t="s">
        <v>132</v>
      </c>
      <c r="F126" s="69">
        <v>23.5</v>
      </c>
      <c r="G126" s="66"/>
      <c r="H126" s="70"/>
      <c r="I126" s="71"/>
      <c r="J126" s="71"/>
      <c r="K126" s="35" t="s">
        <v>66</v>
      </c>
      <c r="L126" s="79">
        <v>126</v>
      </c>
      <c r="M126" s="79"/>
      <c r="N126" s="73"/>
      <c r="O126" s="81" t="s">
        <v>365</v>
      </c>
      <c r="P126" s="83">
        <v>45233.050520833334</v>
      </c>
      <c r="Q126" s="81" t="s">
        <v>424</v>
      </c>
      <c r="R126" s="81">
        <v>4</v>
      </c>
      <c r="S126" s="81">
        <v>0</v>
      </c>
      <c r="T126" s="81">
        <v>0</v>
      </c>
      <c r="U126" s="81">
        <v>0</v>
      </c>
      <c r="V126" s="81"/>
      <c r="W126" s="84" t="s">
        <v>488</v>
      </c>
      <c r="X126" s="81"/>
      <c r="Y126" s="81"/>
      <c r="Z126" s="81" t="s">
        <v>249</v>
      </c>
      <c r="AA126" s="81"/>
      <c r="AB126" s="81"/>
      <c r="AC126" s="84" t="s">
        <v>579</v>
      </c>
      <c r="AD126" s="81" t="s">
        <v>588</v>
      </c>
      <c r="AE126" s="86" t="str">
        <f>HYPERLINK("https://twitter.com/aejmcctec/status/1720247609892200675")</f>
        <v>https://twitter.com/aejmcctec/status/1720247609892200675</v>
      </c>
      <c r="AF126" s="83">
        <v>45233.050520833334</v>
      </c>
      <c r="AG126" s="89">
        <v>45233</v>
      </c>
      <c r="AH126" s="84" t="s">
        <v>657</v>
      </c>
      <c r="AI126" s="81" t="b">
        <v>0</v>
      </c>
      <c r="AJ126" s="81"/>
      <c r="AK126" s="81"/>
      <c r="AL126" s="81"/>
      <c r="AM126" s="81"/>
      <c r="AN126" s="81"/>
      <c r="AO126" s="81"/>
      <c r="AP126" s="81"/>
      <c r="AQ126" s="81"/>
      <c r="AR126" s="81"/>
      <c r="AS126" s="81"/>
      <c r="AT126" s="81"/>
      <c r="AU126" s="81"/>
      <c r="AV126" s="86" t="str">
        <f>HYPERLINK("https://pbs.twimg.com/profile_images/2495615170/bp4qu2ql67yionsmi55z_normal.jpeg")</f>
        <v>https://pbs.twimg.com/profile_images/2495615170/bp4qu2ql67yionsmi55z_normal.jpeg</v>
      </c>
      <c r="AW126" s="84" t="s">
        <v>811</v>
      </c>
      <c r="AX126" s="84" t="s">
        <v>811</v>
      </c>
      <c r="AY126" s="81"/>
      <c r="AZ126" s="84" t="s">
        <v>879</v>
      </c>
      <c r="BA126" s="84" t="s">
        <v>879</v>
      </c>
      <c r="BB126" s="84" t="s">
        <v>845</v>
      </c>
      <c r="BC126" s="84" t="s">
        <v>845</v>
      </c>
      <c r="BD126" s="81">
        <v>753196890</v>
      </c>
      <c r="BE126" s="81"/>
      <c r="BF126" s="81"/>
      <c r="BG126" s="81"/>
      <c r="BH126" s="81"/>
      <c r="BI126" s="81"/>
      <c r="BJ126">
        <v>2</v>
      </c>
      <c r="BK126" s="80" t="str">
        <f>REPLACE(INDEX(GroupVertices[Group], MATCH("~"&amp;Edges[[#This Row],[Vertex 1]],GroupVertices[Vertex],0)),1,1,"")</f>
        <v>3</v>
      </c>
      <c r="BL126" s="80" t="str">
        <f>REPLACE(INDEX(GroupVertices[Group], MATCH("~"&amp;Edges[[#This Row],[Vertex 2]],GroupVertices[Vertex],0)),1,1,"")</f>
        <v>3</v>
      </c>
      <c r="BM126" s="49">
        <v>2</v>
      </c>
      <c r="BN126" s="50">
        <v>11.111111111111111</v>
      </c>
      <c r="BO126" s="49">
        <v>1</v>
      </c>
      <c r="BP126" s="50">
        <v>5.5555555555555554</v>
      </c>
      <c r="BQ126" s="49">
        <v>0</v>
      </c>
      <c r="BR126" s="50">
        <v>0</v>
      </c>
      <c r="BS126" s="49">
        <v>8</v>
      </c>
      <c r="BT126" s="50">
        <v>44.444444444444443</v>
      </c>
      <c r="BU126" s="49">
        <v>18</v>
      </c>
    </row>
    <row r="127" spans="1:73" x14ac:dyDescent="0.25">
      <c r="A127" s="65" t="s">
        <v>276</v>
      </c>
      <c r="B127" s="65" t="s">
        <v>277</v>
      </c>
      <c r="C127" s="66" t="s">
        <v>10073</v>
      </c>
      <c r="D127" s="67">
        <v>3</v>
      </c>
      <c r="E127" s="68" t="s">
        <v>132</v>
      </c>
      <c r="F127" s="69">
        <v>35</v>
      </c>
      <c r="G127" s="66"/>
      <c r="H127" s="70"/>
      <c r="I127" s="71"/>
      <c r="J127" s="71"/>
      <c r="K127" s="35" t="s">
        <v>65</v>
      </c>
      <c r="L127" s="79">
        <v>127</v>
      </c>
      <c r="M127" s="79"/>
      <c r="N127" s="73"/>
      <c r="O127" s="81" t="s">
        <v>365</v>
      </c>
      <c r="P127" s="83">
        <v>45233.050185185188</v>
      </c>
      <c r="Q127" s="81" t="s">
        <v>425</v>
      </c>
      <c r="R127" s="81">
        <v>10</v>
      </c>
      <c r="S127" s="81">
        <v>0</v>
      </c>
      <c r="T127" s="81">
        <v>0</v>
      </c>
      <c r="U127" s="81">
        <v>0</v>
      </c>
      <c r="V127" s="81"/>
      <c r="W127" s="84" t="s">
        <v>489</v>
      </c>
      <c r="X127" s="81"/>
      <c r="Y127" s="81"/>
      <c r="Z127" s="81" t="s">
        <v>277</v>
      </c>
      <c r="AA127" s="81"/>
      <c r="AB127" s="81"/>
      <c r="AC127" s="84" t="s">
        <v>579</v>
      </c>
      <c r="AD127" s="81" t="s">
        <v>588</v>
      </c>
      <c r="AE127" s="86" t="str">
        <f>HYPERLINK("https://twitter.com/aejmcctec/status/1720247489205256386")</f>
        <v>https://twitter.com/aejmcctec/status/1720247489205256386</v>
      </c>
      <c r="AF127" s="83">
        <v>45233.050185185188</v>
      </c>
      <c r="AG127" s="89">
        <v>45233</v>
      </c>
      <c r="AH127" s="84" t="s">
        <v>658</v>
      </c>
      <c r="AI127" s="81" t="b">
        <v>0</v>
      </c>
      <c r="AJ127" s="81"/>
      <c r="AK127" s="81"/>
      <c r="AL127" s="81"/>
      <c r="AM127" s="81"/>
      <c r="AN127" s="81"/>
      <c r="AO127" s="81"/>
      <c r="AP127" s="81"/>
      <c r="AQ127" s="81"/>
      <c r="AR127" s="81"/>
      <c r="AS127" s="81"/>
      <c r="AT127" s="81"/>
      <c r="AU127" s="81"/>
      <c r="AV127" s="86" t="str">
        <f>HYPERLINK("https://pbs.twimg.com/profile_images/2495615170/bp4qu2ql67yionsmi55z_normal.jpeg")</f>
        <v>https://pbs.twimg.com/profile_images/2495615170/bp4qu2ql67yionsmi55z_normal.jpeg</v>
      </c>
      <c r="AW127" s="84" t="s">
        <v>812</v>
      </c>
      <c r="AX127" s="84" t="s">
        <v>812</v>
      </c>
      <c r="AY127" s="81"/>
      <c r="AZ127" s="84" t="s">
        <v>879</v>
      </c>
      <c r="BA127" s="84" t="s">
        <v>879</v>
      </c>
      <c r="BB127" s="84" t="s">
        <v>815</v>
      </c>
      <c r="BC127" s="84" t="s">
        <v>815</v>
      </c>
      <c r="BD127" s="81">
        <v>753196890</v>
      </c>
      <c r="BE127" s="81"/>
      <c r="BF127" s="81"/>
      <c r="BG127" s="81"/>
      <c r="BH127" s="81"/>
      <c r="BI127" s="81"/>
      <c r="BJ127">
        <v>1</v>
      </c>
      <c r="BK127" s="80" t="str">
        <f>REPLACE(INDEX(GroupVertices[Group], MATCH("~"&amp;Edges[[#This Row],[Vertex 1]],GroupVertices[Vertex],0)),1,1,"")</f>
        <v>3</v>
      </c>
      <c r="BL127" s="80" t="str">
        <f>REPLACE(INDEX(GroupVertices[Group], MATCH("~"&amp;Edges[[#This Row],[Vertex 2]],GroupVertices[Vertex],0)),1,1,"")</f>
        <v>3</v>
      </c>
      <c r="BM127" s="49">
        <v>0</v>
      </c>
      <c r="BN127" s="50">
        <v>0</v>
      </c>
      <c r="BO127" s="49">
        <v>0</v>
      </c>
      <c r="BP127" s="50">
        <v>0</v>
      </c>
      <c r="BQ127" s="49">
        <v>0</v>
      </c>
      <c r="BR127" s="50">
        <v>0</v>
      </c>
      <c r="BS127" s="49">
        <v>13</v>
      </c>
      <c r="BT127" s="50">
        <v>65</v>
      </c>
      <c r="BU127" s="49">
        <v>20</v>
      </c>
    </row>
    <row r="128" spans="1:73" x14ac:dyDescent="0.25">
      <c r="A128" s="65" t="s">
        <v>276</v>
      </c>
      <c r="B128" s="65" t="s">
        <v>249</v>
      </c>
      <c r="C128" s="66" t="s">
        <v>10073</v>
      </c>
      <c r="D128" s="67">
        <v>3</v>
      </c>
      <c r="E128" s="68" t="s">
        <v>132</v>
      </c>
      <c r="F128" s="69">
        <v>35</v>
      </c>
      <c r="G128" s="66"/>
      <c r="H128" s="70"/>
      <c r="I128" s="71"/>
      <c r="J128" s="71"/>
      <c r="K128" s="35" t="s">
        <v>66</v>
      </c>
      <c r="L128" s="79">
        <v>128</v>
      </c>
      <c r="M128" s="79"/>
      <c r="N128" s="73"/>
      <c r="O128" s="81" t="s">
        <v>366</v>
      </c>
      <c r="P128" s="83">
        <v>45233.049803240741</v>
      </c>
      <c r="Q128" s="81" t="s">
        <v>373</v>
      </c>
      <c r="R128" s="81">
        <v>4</v>
      </c>
      <c r="S128" s="81">
        <v>0</v>
      </c>
      <c r="T128" s="81">
        <v>0</v>
      </c>
      <c r="U128" s="81">
        <v>0</v>
      </c>
      <c r="V128" s="81"/>
      <c r="W128" s="81"/>
      <c r="X128" s="81"/>
      <c r="Y128" s="81"/>
      <c r="Z128" s="81" t="s">
        <v>518</v>
      </c>
      <c r="AA128" s="81"/>
      <c r="AB128" s="81"/>
      <c r="AC128" s="84" t="s">
        <v>579</v>
      </c>
      <c r="AD128" s="81" t="s">
        <v>588</v>
      </c>
      <c r="AE128" s="86" t="str">
        <f>HYPERLINK("https://twitter.com/aejmcctec/status/1720247351288172686")</f>
        <v>https://twitter.com/aejmcctec/status/1720247351288172686</v>
      </c>
      <c r="AF128" s="83">
        <v>45233.049803240741</v>
      </c>
      <c r="AG128" s="89">
        <v>45233</v>
      </c>
      <c r="AH128" s="84" t="s">
        <v>656</v>
      </c>
      <c r="AI128" s="81" t="b">
        <v>0</v>
      </c>
      <c r="AJ128" s="81"/>
      <c r="AK128" s="81"/>
      <c r="AL128" s="81"/>
      <c r="AM128" s="81"/>
      <c r="AN128" s="81"/>
      <c r="AO128" s="81"/>
      <c r="AP128" s="81"/>
      <c r="AQ128" s="81"/>
      <c r="AR128" s="81"/>
      <c r="AS128" s="81"/>
      <c r="AT128" s="81"/>
      <c r="AU128" s="81"/>
      <c r="AV128" s="86" t="str">
        <f>HYPERLINK("https://pbs.twimg.com/profile_images/2495615170/bp4qu2ql67yionsmi55z_normal.jpeg")</f>
        <v>https://pbs.twimg.com/profile_images/2495615170/bp4qu2ql67yionsmi55z_normal.jpeg</v>
      </c>
      <c r="AW128" s="84" t="s">
        <v>810</v>
      </c>
      <c r="AX128" s="84" t="s">
        <v>810</v>
      </c>
      <c r="AY128" s="81"/>
      <c r="AZ128" s="84" t="s">
        <v>879</v>
      </c>
      <c r="BA128" s="84" t="s">
        <v>879</v>
      </c>
      <c r="BB128" s="84" t="s">
        <v>801</v>
      </c>
      <c r="BC128" s="84" t="s">
        <v>801</v>
      </c>
      <c r="BD128" s="81">
        <v>753196890</v>
      </c>
      <c r="BE128" s="81"/>
      <c r="BF128" s="81"/>
      <c r="BG128" s="81"/>
      <c r="BH128" s="81"/>
      <c r="BI128" s="81"/>
      <c r="BJ128">
        <v>1</v>
      </c>
      <c r="BK128" s="80" t="str">
        <f>REPLACE(INDEX(GroupVertices[Group], MATCH("~"&amp;Edges[[#This Row],[Vertex 1]],GroupVertices[Vertex],0)),1,1,"")</f>
        <v>3</v>
      </c>
      <c r="BL128" s="80" t="str">
        <f>REPLACE(INDEX(GroupVertices[Group], MATCH("~"&amp;Edges[[#This Row],[Vertex 2]],GroupVertices[Vertex],0)),1,1,"")</f>
        <v>3</v>
      </c>
      <c r="BM128" s="49"/>
      <c r="BN128" s="50"/>
      <c r="BO128" s="49"/>
      <c r="BP128" s="50"/>
      <c r="BQ128" s="49"/>
      <c r="BR128" s="50"/>
      <c r="BS128" s="49"/>
      <c r="BT128" s="50"/>
      <c r="BU128" s="49"/>
    </row>
    <row r="129" spans="1:73" x14ac:dyDescent="0.25">
      <c r="A129" s="65" t="s">
        <v>276</v>
      </c>
      <c r="B129" s="65" t="s">
        <v>249</v>
      </c>
      <c r="C129" s="66" t="s">
        <v>10074</v>
      </c>
      <c r="D129" s="67">
        <v>6.5</v>
      </c>
      <c r="E129" s="68" t="s">
        <v>132</v>
      </c>
      <c r="F129" s="69">
        <v>23.5</v>
      </c>
      <c r="G129" s="66"/>
      <c r="H129" s="70"/>
      <c r="I129" s="71"/>
      <c r="J129" s="71"/>
      <c r="K129" s="35" t="s">
        <v>66</v>
      </c>
      <c r="L129" s="79">
        <v>129</v>
      </c>
      <c r="M129" s="79"/>
      <c r="N129" s="73"/>
      <c r="O129" s="81" t="s">
        <v>365</v>
      </c>
      <c r="P129" s="83">
        <v>45233.049803240741</v>
      </c>
      <c r="Q129" s="81" t="s">
        <v>373</v>
      </c>
      <c r="R129" s="81">
        <v>4</v>
      </c>
      <c r="S129" s="81">
        <v>0</v>
      </c>
      <c r="T129" s="81">
        <v>0</v>
      </c>
      <c r="U129" s="81">
        <v>0</v>
      </c>
      <c r="V129" s="81"/>
      <c r="W129" s="81"/>
      <c r="X129" s="81"/>
      <c r="Y129" s="81"/>
      <c r="Z129" s="81" t="s">
        <v>518</v>
      </c>
      <c r="AA129" s="81"/>
      <c r="AB129" s="81"/>
      <c r="AC129" s="84" t="s">
        <v>579</v>
      </c>
      <c r="AD129" s="81" t="s">
        <v>588</v>
      </c>
      <c r="AE129" s="86" t="str">
        <f>HYPERLINK("https://twitter.com/aejmcctec/status/1720247351288172686")</f>
        <v>https://twitter.com/aejmcctec/status/1720247351288172686</v>
      </c>
      <c r="AF129" s="83">
        <v>45233.049803240741</v>
      </c>
      <c r="AG129" s="89">
        <v>45233</v>
      </c>
      <c r="AH129" s="84" t="s">
        <v>656</v>
      </c>
      <c r="AI129" s="81" t="b">
        <v>0</v>
      </c>
      <c r="AJ129" s="81"/>
      <c r="AK129" s="81"/>
      <c r="AL129" s="81"/>
      <c r="AM129" s="81"/>
      <c r="AN129" s="81"/>
      <c r="AO129" s="81"/>
      <c r="AP129" s="81"/>
      <c r="AQ129" s="81"/>
      <c r="AR129" s="81"/>
      <c r="AS129" s="81"/>
      <c r="AT129" s="81"/>
      <c r="AU129" s="81"/>
      <c r="AV129" s="86" t="str">
        <f>HYPERLINK("https://pbs.twimg.com/profile_images/2495615170/bp4qu2ql67yionsmi55z_normal.jpeg")</f>
        <v>https://pbs.twimg.com/profile_images/2495615170/bp4qu2ql67yionsmi55z_normal.jpeg</v>
      </c>
      <c r="AW129" s="84" t="s">
        <v>810</v>
      </c>
      <c r="AX129" s="84" t="s">
        <v>810</v>
      </c>
      <c r="AY129" s="81"/>
      <c r="AZ129" s="84" t="s">
        <v>879</v>
      </c>
      <c r="BA129" s="84" t="s">
        <v>879</v>
      </c>
      <c r="BB129" s="84" t="s">
        <v>801</v>
      </c>
      <c r="BC129" s="84" t="s">
        <v>801</v>
      </c>
      <c r="BD129" s="81">
        <v>753196890</v>
      </c>
      <c r="BE129" s="81"/>
      <c r="BF129" s="81"/>
      <c r="BG129" s="81"/>
      <c r="BH129" s="81"/>
      <c r="BI129" s="81"/>
      <c r="BJ129">
        <v>2</v>
      </c>
      <c r="BK129" s="80" t="str">
        <f>REPLACE(INDEX(GroupVertices[Group], MATCH("~"&amp;Edges[[#This Row],[Vertex 1]],GroupVertices[Vertex],0)),1,1,"")</f>
        <v>3</v>
      </c>
      <c r="BL129" s="80" t="str">
        <f>REPLACE(INDEX(GroupVertices[Group], MATCH("~"&amp;Edges[[#This Row],[Vertex 2]],GroupVertices[Vertex],0)),1,1,"")</f>
        <v>3</v>
      </c>
      <c r="BM129" s="49">
        <v>2</v>
      </c>
      <c r="BN129" s="50">
        <v>9.5238095238095237</v>
      </c>
      <c r="BO129" s="49">
        <v>0</v>
      </c>
      <c r="BP129" s="50">
        <v>0</v>
      </c>
      <c r="BQ129" s="49">
        <v>0</v>
      </c>
      <c r="BR129" s="50">
        <v>0</v>
      </c>
      <c r="BS129" s="49">
        <v>11</v>
      </c>
      <c r="BT129" s="50">
        <v>52.38095238095238</v>
      </c>
      <c r="BU129" s="49">
        <v>21</v>
      </c>
    </row>
    <row r="130" spans="1:73" x14ac:dyDescent="0.25">
      <c r="A130" s="65" t="s">
        <v>276</v>
      </c>
      <c r="B130" s="65" t="s">
        <v>288</v>
      </c>
      <c r="C130" s="66" t="s">
        <v>10073</v>
      </c>
      <c r="D130" s="67">
        <v>3</v>
      </c>
      <c r="E130" s="68" t="s">
        <v>132</v>
      </c>
      <c r="F130" s="69">
        <v>35</v>
      </c>
      <c r="G130" s="66"/>
      <c r="H130" s="70"/>
      <c r="I130" s="71"/>
      <c r="J130" s="71"/>
      <c r="K130" s="35" t="s">
        <v>65</v>
      </c>
      <c r="L130" s="79">
        <v>130</v>
      </c>
      <c r="M130" s="79"/>
      <c r="N130" s="73"/>
      <c r="O130" s="81" t="s">
        <v>365</v>
      </c>
      <c r="P130" s="83">
        <v>45233.049687500003</v>
      </c>
      <c r="Q130" s="81" t="s">
        <v>426</v>
      </c>
      <c r="R130" s="81">
        <v>39</v>
      </c>
      <c r="S130" s="81">
        <v>0</v>
      </c>
      <c r="T130" s="81">
        <v>0</v>
      </c>
      <c r="U130" s="81">
        <v>0</v>
      </c>
      <c r="V130" s="81"/>
      <c r="W130" s="81"/>
      <c r="X130" s="81"/>
      <c r="Y130" s="81"/>
      <c r="Z130" s="81" t="s">
        <v>288</v>
      </c>
      <c r="AA130" s="81"/>
      <c r="AB130" s="81"/>
      <c r="AC130" s="84" t="s">
        <v>579</v>
      </c>
      <c r="AD130" s="81" t="s">
        <v>588</v>
      </c>
      <c r="AE130" s="86" t="str">
        <f>HYPERLINK("https://twitter.com/aejmcctec/status/1720247308242022884")</f>
        <v>https://twitter.com/aejmcctec/status/1720247308242022884</v>
      </c>
      <c r="AF130" s="83">
        <v>45233.049687500003</v>
      </c>
      <c r="AG130" s="89">
        <v>45233</v>
      </c>
      <c r="AH130" s="84" t="s">
        <v>659</v>
      </c>
      <c r="AI130" s="81" t="b">
        <v>0</v>
      </c>
      <c r="AJ130" s="81"/>
      <c r="AK130" s="81"/>
      <c r="AL130" s="81"/>
      <c r="AM130" s="81"/>
      <c r="AN130" s="81"/>
      <c r="AO130" s="81"/>
      <c r="AP130" s="81"/>
      <c r="AQ130" s="81"/>
      <c r="AR130" s="81"/>
      <c r="AS130" s="81"/>
      <c r="AT130" s="81"/>
      <c r="AU130" s="81"/>
      <c r="AV130" s="86" t="str">
        <f>HYPERLINK("https://pbs.twimg.com/profile_images/2495615170/bp4qu2ql67yionsmi55z_normal.jpeg")</f>
        <v>https://pbs.twimg.com/profile_images/2495615170/bp4qu2ql67yionsmi55z_normal.jpeg</v>
      </c>
      <c r="AW130" s="84" t="s">
        <v>813</v>
      </c>
      <c r="AX130" s="84" t="s">
        <v>813</v>
      </c>
      <c r="AY130" s="81"/>
      <c r="AZ130" s="84" t="s">
        <v>879</v>
      </c>
      <c r="BA130" s="84" t="s">
        <v>879</v>
      </c>
      <c r="BB130" s="84" t="s">
        <v>838</v>
      </c>
      <c r="BC130" s="84" t="s">
        <v>838</v>
      </c>
      <c r="BD130" s="81">
        <v>753196890</v>
      </c>
      <c r="BE130" s="81"/>
      <c r="BF130" s="81"/>
      <c r="BG130" s="81"/>
      <c r="BH130" s="81"/>
      <c r="BI130" s="81"/>
      <c r="BJ130">
        <v>1</v>
      </c>
      <c r="BK130" s="80" t="str">
        <f>REPLACE(INDEX(GroupVertices[Group], MATCH("~"&amp;Edges[[#This Row],[Vertex 1]],GroupVertices[Vertex],0)),1,1,"")</f>
        <v>3</v>
      </c>
      <c r="BL130" s="80" t="str">
        <f>REPLACE(INDEX(GroupVertices[Group], MATCH("~"&amp;Edges[[#This Row],[Vertex 2]],GroupVertices[Vertex],0)),1,1,"")</f>
        <v>3</v>
      </c>
      <c r="BM130" s="49">
        <v>3</v>
      </c>
      <c r="BN130" s="50">
        <v>13.043478260869565</v>
      </c>
      <c r="BO130" s="49">
        <v>0</v>
      </c>
      <c r="BP130" s="50">
        <v>0</v>
      </c>
      <c r="BQ130" s="49">
        <v>0</v>
      </c>
      <c r="BR130" s="50">
        <v>0</v>
      </c>
      <c r="BS130" s="49">
        <v>11</v>
      </c>
      <c r="BT130" s="50">
        <v>47.826086956521742</v>
      </c>
      <c r="BU130" s="49">
        <v>23</v>
      </c>
    </row>
    <row r="131" spans="1:73" x14ac:dyDescent="0.25">
      <c r="A131" s="65" t="s">
        <v>276</v>
      </c>
      <c r="B131" s="65" t="s">
        <v>307</v>
      </c>
      <c r="C131" s="66" t="s">
        <v>10073</v>
      </c>
      <c r="D131" s="67">
        <v>3</v>
      </c>
      <c r="E131" s="68" t="s">
        <v>132</v>
      </c>
      <c r="F131" s="69">
        <v>35</v>
      </c>
      <c r="G131" s="66"/>
      <c r="H131" s="70"/>
      <c r="I131" s="71"/>
      <c r="J131" s="71"/>
      <c r="K131" s="35" t="s">
        <v>65</v>
      </c>
      <c r="L131" s="79">
        <v>131</v>
      </c>
      <c r="M131" s="79"/>
      <c r="N131" s="73"/>
      <c r="O131" s="81" t="s">
        <v>365</v>
      </c>
      <c r="P131" s="83">
        <v>45233.530810185184</v>
      </c>
      <c r="Q131" s="81" t="s">
        <v>427</v>
      </c>
      <c r="R131" s="81">
        <v>28453</v>
      </c>
      <c r="S131" s="81">
        <v>0</v>
      </c>
      <c r="T131" s="81">
        <v>0</v>
      </c>
      <c r="U131" s="81">
        <v>0</v>
      </c>
      <c r="V131" s="81"/>
      <c r="W131" s="81"/>
      <c r="X131" s="81"/>
      <c r="Y131" s="81"/>
      <c r="Z131" s="81" t="s">
        <v>307</v>
      </c>
      <c r="AA131" s="81"/>
      <c r="AB131" s="81"/>
      <c r="AC131" s="84" t="s">
        <v>579</v>
      </c>
      <c r="AD131" s="81" t="s">
        <v>588</v>
      </c>
      <c r="AE131" s="86" t="str">
        <f>HYPERLINK("https://twitter.com/aejmcctec/status/1720421659180433824")</f>
        <v>https://twitter.com/aejmcctec/status/1720421659180433824</v>
      </c>
      <c r="AF131" s="83">
        <v>45233.530810185184</v>
      </c>
      <c r="AG131" s="89">
        <v>45233</v>
      </c>
      <c r="AH131" s="84" t="s">
        <v>660</v>
      </c>
      <c r="AI131" s="81"/>
      <c r="AJ131" s="81"/>
      <c r="AK131" s="81"/>
      <c r="AL131" s="81"/>
      <c r="AM131" s="81"/>
      <c r="AN131" s="81"/>
      <c r="AO131" s="81"/>
      <c r="AP131" s="81"/>
      <c r="AQ131" s="81"/>
      <c r="AR131" s="81"/>
      <c r="AS131" s="81"/>
      <c r="AT131" s="81"/>
      <c r="AU131" s="81"/>
      <c r="AV131" s="86" t="str">
        <f>HYPERLINK("https://pbs.twimg.com/profile_images/2495615170/bp4qu2ql67yionsmi55z_normal.jpeg")</f>
        <v>https://pbs.twimg.com/profile_images/2495615170/bp4qu2ql67yionsmi55z_normal.jpeg</v>
      </c>
      <c r="AW131" s="84" t="s">
        <v>814</v>
      </c>
      <c r="AX131" s="84" t="s">
        <v>814</v>
      </c>
      <c r="AY131" s="81"/>
      <c r="AZ131" s="84" t="s">
        <v>879</v>
      </c>
      <c r="BA131" s="84" t="s">
        <v>879</v>
      </c>
      <c r="BB131" s="84" t="s">
        <v>871</v>
      </c>
      <c r="BC131" s="84" t="s">
        <v>871</v>
      </c>
      <c r="BD131" s="81">
        <v>753196890</v>
      </c>
      <c r="BE131" s="81"/>
      <c r="BF131" s="81"/>
      <c r="BG131" s="81"/>
      <c r="BH131" s="81"/>
      <c r="BI131" s="81"/>
      <c r="BJ131">
        <v>1</v>
      </c>
      <c r="BK131" s="80" t="str">
        <f>REPLACE(INDEX(GroupVertices[Group], MATCH("~"&amp;Edges[[#This Row],[Vertex 1]],GroupVertices[Vertex],0)),1,1,"")</f>
        <v>3</v>
      </c>
      <c r="BL131" s="80" t="str">
        <f>REPLACE(INDEX(GroupVertices[Group], MATCH("~"&amp;Edges[[#This Row],[Vertex 2]],GroupVertices[Vertex],0)),1,1,"")</f>
        <v>3</v>
      </c>
      <c r="BM131" s="49">
        <v>0</v>
      </c>
      <c r="BN131" s="50">
        <v>0</v>
      </c>
      <c r="BO131" s="49">
        <v>1</v>
      </c>
      <c r="BP131" s="50">
        <v>4.166666666666667</v>
      </c>
      <c r="BQ131" s="49">
        <v>0</v>
      </c>
      <c r="BR131" s="50">
        <v>0</v>
      </c>
      <c r="BS131" s="49">
        <v>11</v>
      </c>
      <c r="BT131" s="50">
        <v>45.833333333333336</v>
      </c>
      <c r="BU131" s="49">
        <v>24</v>
      </c>
    </row>
    <row r="132" spans="1:73" x14ac:dyDescent="0.25">
      <c r="A132" s="65" t="s">
        <v>277</v>
      </c>
      <c r="B132" s="65" t="s">
        <v>327</v>
      </c>
      <c r="C132" s="66" t="s">
        <v>10073</v>
      </c>
      <c r="D132" s="67">
        <v>3</v>
      </c>
      <c r="E132" s="68" t="s">
        <v>132</v>
      </c>
      <c r="F132" s="69">
        <v>35</v>
      </c>
      <c r="G132" s="66"/>
      <c r="H132" s="70"/>
      <c r="I132" s="71"/>
      <c r="J132" s="71"/>
      <c r="K132" s="35" t="s">
        <v>65</v>
      </c>
      <c r="L132" s="79">
        <v>132</v>
      </c>
      <c r="M132" s="79"/>
      <c r="N132" s="73"/>
      <c r="O132" s="81" t="s">
        <v>367</v>
      </c>
      <c r="P132" s="83">
        <v>45231.555243055554</v>
      </c>
      <c r="Q132" s="81" t="s">
        <v>428</v>
      </c>
      <c r="R132" s="81">
        <v>10</v>
      </c>
      <c r="S132" s="81">
        <v>32</v>
      </c>
      <c r="T132" s="81">
        <v>2</v>
      </c>
      <c r="U132" s="81">
        <v>0</v>
      </c>
      <c r="V132" s="81">
        <v>2675</v>
      </c>
      <c r="W132" s="84" t="s">
        <v>489</v>
      </c>
      <c r="X132" s="86" t="str">
        <f>HYPERLINK("https://www.degruyter.com/journal/key/omgc/html")</f>
        <v>https://www.degruyter.com/journal/key/omgc/html</v>
      </c>
      <c r="Y132" s="81" t="s">
        <v>508</v>
      </c>
      <c r="Z132" s="81" t="s">
        <v>327</v>
      </c>
      <c r="AA132" s="81"/>
      <c r="AB132" s="81"/>
      <c r="AC132" s="84" t="s">
        <v>580</v>
      </c>
      <c r="AD132" s="81" t="s">
        <v>588</v>
      </c>
      <c r="AE132" s="86" t="str">
        <f>HYPERLINK("https://twitter.com/louisahabgsu/status/1719705738673565827")</f>
        <v>https://twitter.com/louisahabgsu/status/1719705738673565827</v>
      </c>
      <c r="AF132" s="83">
        <v>45231.555243055554</v>
      </c>
      <c r="AG132" s="89">
        <v>45231</v>
      </c>
      <c r="AH132" s="84" t="s">
        <v>661</v>
      </c>
      <c r="AI132" s="81" t="b">
        <v>0</v>
      </c>
      <c r="AJ132" s="81"/>
      <c r="AK132" s="81"/>
      <c r="AL132" s="81"/>
      <c r="AM132" s="81"/>
      <c r="AN132" s="81"/>
      <c r="AO132" s="81"/>
      <c r="AP132" s="81"/>
      <c r="AQ132" s="81"/>
      <c r="AR132" s="81"/>
      <c r="AS132" s="81"/>
      <c r="AT132" s="81"/>
      <c r="AU132" s="81"/>
      <c r="AV132" s="86" t="str">
        <f>HYPERLINK("https://pbs.twimg.com/profile_images/520229540732227584/BT9iQDzR_normal.jpeg")</f>
        <v>https://pbs.twimg.com/profile_images/520229540732227584/BT9iQDzR_normal.jpeg</v>
      </c>
      <c r="AW132" s="84" t="s">
        <v>815</v>
      </c>
      <c r="AX132" s="84" t="s">
        <v>815</v>
      </c>
      <c r="AY132" s="81"/>
      <c r="AZ132" s="84" t="s">
        <v>879</v>
      </c>
      <c r="BA132" s="84" t="s">
        <v>879</v>
      </c>
      <c r="BB132" s="84" t="s">
        <v>879</v>
      </c>
      <c r="BC132" s="84" t="s">
        <v>815</v>
      </c>
      <c r="BD132" s="81">
        <v>2785427009</v>
      </c>
      <c r="BE132" s="81"/>
      <c r="BF132" s="81"/>
      <c r="BG132" s="81"/>
      <c r="BH132" s="81"/>
      <c r="BI132" s="81"/>
      <c r="BJ132">
        <v>1</v>
      </c>
      <c r="BK132" s="80" t="str">
        <f>REPLACE(INDEX(GroupVertices[Group], MATCH("~"&amp;Edges[[#This Row],[Vertex 1]],GroupVertices[Vertex],0)),1,1,"")</f>
        <v>3</v>
      </c>
      <c r="BL132" s="80" t="str">
        <f>REPLACE(INDEX(GroupVertices[Group], MATCH("~"&amp;Edges[[#This Row],[Vertex 2]],GroupVertices[Vertex],0)),1,1,"")</f>
        <v>3</v>
      </c>
      <c r="BM132" s="49">
        <v>1</v>
      </c>
      <c r="BN132" s="50">
        <v>2.8571428571428572</v>
      </c>
      <c r="BO132" s="49">
        <v>1</v>
      </c>
      <c r="BP132" s="50">
        <v>2.8571428571428572</v>
      </c>
      <c r="BQ132" s="49">
        <v>0</v>
      </c>
      <c r="BR132" s="50">
        <v>0</v>
      </c>
      <c r="BS132" s="49">
        <v>19</v>
      </c>
      <c r="BT132" s="50">
        <v>54.285714285714285</v>
      </c>
      <c r="BU132" s="49">
        <v>35</v>
      </c>
    </row>
    <row r="133" spans="1:73" x14ac:dyDescent="0.25">
      <c r="A133" s="65" t="s">
        <v>249</v>
      </c>
      <c r="B133" s="65" t="s">
        <v>277</v>
      </c>
      <c r="C133" s="66" t="s">
        <v>10073</v>
      </c>
      <c r="D133" s="67">
        <v>3</v>
      </c>
      <c r="E133" s="68" t="s">
        <v>132</v>
      </c>
      <c r="F133" s="69">
        <v>35</v>
      </c>
      <c r="G133" s="66"/>
      <c r="H133" s="70"/>
      <c r="I133" s="71"/>
      <c r="J133" s="71"/>
      <c r="K133" s="35" t="s">
        <v>65</v>
      </c>
      <c r="L133" s="79">
        <v>133</v>
      </c>
      <c r="M133" s="79"/>
      <c r="N133" s="73"/>
      <c r="O133" s="81" t="s">
        <v>367</v>
      </c>
      <c r="P133" s="83">
        <v>45229.60434027778</v>
      </c>
      <c r="Q133" s="81" t="s">
        <v>419</v>
      </c>
      <c r="R133" s="81">
        <v>2</v>
      </c>
      <c r="S133" s="81">
        <v>11</v>
      </c>
      <c r="T133" s="81">
        <v>0</v>
      </c>
      <c r="U133" s="81">
        <v>1</v>
      </c>
      <c r="V133" s="81">
        <v>1515</v>
      </c>
      <c r="W133" s="84" t="s">
        <v>485</v>
      </c>
      <c r="X133" s="86" t="str">
        <f>HYPERLINK("https://journals.sagepub.com/doi/abs/10.1177/10776990211049451")</f>
        <v>https://journals.sagepub.com/doi/abs/10.1177/10776990211049451</v>
      </c>
      <c r="Y133" s="81" t="s">
        <v>506</v>
      </c>
      <c r="Z133" s="81" t="s">
        <v>538</v>
      </c>
      <c r="AA133" s="81"/>
      <c r="AB133" s="81"/>
      <c r="AC133" s="84" t="s">
        <v>579</v>
      </c>
      <c r="AD133" s="81" t="s">
        <v>588</v>
      </c>
      <c r="AE133" s="86" t="str">
        <f>HYPERLINK("https://twitter.com/jmcquarterly/status/1718998754668200345")</f>
        <v>https://twitter.com/jmcquarterly/status/1718998754668200345</v>
      </c>
      <c r="AF133" s="83">
        <v>45229.60434027778</v>
      </c>
      <c r="AG133" s="89">
        <v>45229</v>
      </c>
      <c r="AH133" s="84" t="s">
        <v>646</v>
      </c>
      <c r="AI133" s="81" t="b">
        <v>0</v>
      </c>
      <c r="AJ133" s="81"/>
      <c r="AK133" s="81"/>
      <c r="AL133" s="81"/>
      <c r="AM133" s="81"/>
      <c r="AN133" s="81"/>
      <c r="AO133" s="81"/>
      <c r="AP133" s="81"/>
      <c r="AQ133" s="81"/>
      <c r="AR133" s="81"/>
      <c r="AS133" s="81"/>
      <c r="AT133" s="81"/>
      <c r="AU133" s="81"/>
      <c r="AV133" s="86" t="str">
        <f>HYPERLINK("https://pbs.twimg.com/profile_images/1297970849820147712/3xME2yZ6_normal.jpg")</f>
        <v>https://pbs.twimg.com/profile_images/1297970849820147712/3xME2yZ6_normal.jpg</v>
      </c>
      <c r="AW133" s="84" t="s">
        <v>800</v>
      </c>
      <c r="AX133" s="84" t="s">
        <v>800</v>
      </c>
      <c r="AY133" s="81"/>
      <c r="AZ133" s="84" t="s">
        <v>879</v>
      </c>
      <c r="BA133" s="84" t="s">
        <v>879</v>
      </c>
      <c r="BB133" s="84" t="s">
        <v>879</v>
      </c>
      <c r="BC133" s="84" t="s">
        <v>800</v>
      </c>
      <c r="BD133" s="84" t="s">
        <v>876</v>
      </c>
      <c r="BE133" s="81"/>
      <c r="BF133" s="81"/>
      <c r="BG133" s="81"/>
      <c r="BH133" s="81"/>
      <c r="BI133" s="81"/>
      <c r="BJ133">
        <v>1</v>
      </c>
      <c r="BK133" s="80" t="str">
        <f>REPLACE(INDEX(GroupVertices[Group], MATCH("~"&amp;Edges[[#This Row],[Vertex 1]],GroupVertices[Vertex],0)),1,1,"")</f>
        <v>3</v>
      </c>
      <c r="BL133" s="80" t="str">
        <f>REPLACE(INDEX(GroupVertices[Group], MATCH("~"&amp;Edges[[#This Row],[Vertex 2]],GroupVertices[Vertex],0)),1,1,"")</f>
        <v>3</v>
      </c>
      <c r="BM133" s="49">
        <v>0</v>
      </c>
      <c r="BN133" s="50">
        <v>0</v>
      </c>
      <c r="BO133" s="49">
        <v>2</v>
      </c>
      <c r="BP133" s="50">
        <v>4.8780487804878048</v>
      </c>
      <c r="BQ133" s="49">
        <v>0</v>
      </c>
      <c r="BR133" s="50">
        <v>0</v>
      </c>
      <c r="BS133" s="49">
        <v>26</v>
      </c>
      <c r="BT133" s="50">
        <v>63.414634146341463</v>
      </c>
      <c r="BU133" s="49">
        <v>41</v>
      </c>
    </row>
    <row r="134" spans="1:73" x14ac:dyDescent="0.25">
      <c r="A134" s="65" t="s">
        <v>278</v>
      </c>
      <c r="B134" s="65" t="s">
        <v>278</v>
      </c>
      <c r="C134" s="66" t="s">
        <v>10073</v>
      </c>
      <c r="D134" s="67">
        <v>3</v>
      </c>
      <c r="E134" s="68" t="s">
        <v>132</v>
      </c>
      <c r="F134" s="69">
        <v>35</v>
      </c>
      <c r="G134" s="66"/>
      <c r="H134" s="70"/>
      <c r="I134" s="71"/>
      <c r="J134" s="71"/>
      <c r="K134" s="35" t="s">
        <v>65</v>
      </c>
      <c r="L134" s="79">
        <v>134</v>
      </c>
      <c r="M134" s="79"/>
      <c r="N134" s="73"/>
      <c r="O134" s="81" t="s">
        <v>196</v>
      </c>
      <c r="P134" s="83">
        <v>45230.323807870373</v>
      </c>
      <c r="Q134" s="81" t="s">
        <v>429</v>
      </c>
      <c r="R134" s="81">
        <v>0</v>
      </c>
      <c r="S134" s="81">
        <v>1</v>
      </c>
      <c r="T134" s="81">
        <v>0</v>
      </c>
      <c r="U134" s="81">
        <v>0</v>
      </c>
      <c r="V134" s="81">
        <v>201</v>
      </c>
      <c r="W134" s="81"/>
      <c r="X134" s="86" t="str">
        <f>HYPERLINK("https://ift.tt/5ASY3J6")</f>
        <v>https://ift.tt/5ASY3J6</v>
      </c>
      <c r="Y134" s="81" t="s">
        <v>509</v>
      </c>
      <c r="Z134" s="81"/>
      <c r="AA134" s="81"/>
      <c r="AB134" s="81"/>
      <c r="AC134" s="84" t="s">
        <v>584</v>
      </c>
      <c r="AD134" s="81" t="s">
        <v>588</v>
      </c>
      <c r="AE134" s="86" t="str">
        <f>HYPERLINK("https://twitter.com/thepostdoctoral/status/1719259482205692353")</f>
        <v>https://twitter.com/thepostdoctoral/status/1719259482205692353</v>
      </c>
      <c r="AF134" s="83">
        <v>45230.323807870373</v>
      </c>
      <c r="AG134" s="89">
        <v>45230</v>
      </c>
      <c r="AH134" s="84" t="s">
        <v>662</v>
      </c>
      <c r="AI134" s="81" t="b">
        <v>0</v>
      </c>
      <c r="AJ134" s="81"/>
      <c r="AK134" s="81"/>
      <c r="AL134" s="81"/>
      <c r="AM134" s="81"/>
      <c r="AN134" s="81"/>
      <c r="AO134" s="81"/>
      <c r="AP134" s="81"/>
      <c r="AQ134" s="81"/>
      <c r="AR134" s="81"/>
      <c r="AS134" s="81"/>
      <c r="AT134" s="81"/>
      <c r="AU134" s="81"/>
      <c r="AV134" s="86" t="str">
        <f>HYPERLINK("https://pbs.twimg.com/profile_images/1432099431143329795/3sYvr85-_normal.jpg")</f>
        <v>https://pbs.twimg.com/profile_images/1432099431143329795/3sYvr85-_normal.jpg</v>
      </c>
      <c r="AW134" s="84" t="s">
        <v>816</v>
      </c>
      <c r="AX134" s="84" t="s">
        <v>816</v>
      </c>
      <c r="AY134" s="81"/>
      <c r="AZ134" s="84" t="s">
        <v>879</v>
      </c>
      <c r="BA134" s="84" t="s">
        <v>879</v>
      </c>
      <c r="BB134" s="84" t="s">
        <v>879</v>
      </c>
      <c r="BC134" s="84" t="s">
        <v>816</v>
      </c>
      <c r="BD134" s="81">
        <v>2175843914</v>
      </c>
      <c r="BE134" s="81"/>
      <c r="BF134" s="81"/>
      <c r="BG134" s="81"/>
      <c r="BH134" s="81"/>
      <c r="BI134" s="81"/>
      <c r="BJ134">
        <v>1</v>
      </c>
      <c r="BK134" s="80" t="str">
        <f>REPLACE(INDEX(GroupVertices[Group], MATCH("~"&amp;Edges[[#This Row],[Vertex 1]],GroupVertices[Vertex],0)),1,1,"")</f>
        <v>13</v>
      </c>
      <c r="BL134" s="80" t="str">
        <f>REPLACE(INDEX(GroupVertices[Group], MATCH("~"&amp;Edges[[#This Row],[Vertex 2]],GroupVertices[Vertex],0)),1,1,"")</f>
        <v>13</v>
      </c>
      <c r="BM134" s="49">
        <v>7</v>
      </c>
      <c r="BN134" s="50">
        <v>21.212121212121211</v>
      </c>
      <c r="BO134" s="49">
        <v>0</v>
      </c>
      <c r="BP134" s="50">
        <v>0</v>
      </c>
      <c r="BQ134" s="49">
        <v>0</v>
      </c>
      <c r="BR134" s="50">
        <v>0</v>
      </c>
      <c r="BS134" s="49">
        <v>15</v>
      </c>
      <c r="BT134" s="50">
        <v>45.454545454545453</v>
      </c>
      <c r="BU134" s="49">
        <v>33</v>
      </c>
    </row>
    <row r="135" spans="1:73" x14ac:dyDescent="0.25">
      <c r="A135" s="65" t="s">
        <v>279</v>
      </c>
      <c r="B135" s="65" t="s">
        <v>280</v>
      </c>
      <c r="C135" s="66" t="s">
        <v>10073</v>
      </c>
      <c r="D135" s="67">
        <v>3</v>
      </c>
      <c r="E135" s="68" t="s">
        <v>132</v>
      </c>
      <c r="F135" s="69">
        <v>35</v>
      </c>
      <c r="G135" s="66"/>
      <c r="H135" s="70"/>
      <c r="I135" s="71"/>
      <c r="J135" s="71"/>
      <c r="K135" s="35" t="s">
        <v>66</v>
      </c>
      <c r="L135" s="79">
        <v>135</v>
      </c>
      <c r="M135" s="79"/>
      <c r="N135" s="73"/>
      <c r="O135" s="81" t="s">
        <v>370</v>
      </c>
      <c r="P135" s="83">
        <v>45223.067743055559</v>
      </c>
      <c r="Q135" s="81" t="s">
        <v>430</v>
      </c>
      <c r="R135" s="81">
        <v>2</v>
      </c>
      <c r="S135" s="81">
        <v>5</v>
      </c>
      <c r="T135" s="81">
        <v>0</v>
      </c>
      <c r="U135" s="81">
        <v>0</v>
      </c>
      <c r="V135" s="81">
        <v>798</v>
      </c>
      <c r="W135" s="84" t="s">
        <v>490</v>
      </c>
      <c r="X135" s="81"/>
      <c r="Y135" s="81"/>
      <c r="Z135" s="81" t="s">
        <v>280</v>
      </c>
      <c r="AA135" s="81"/>
      <c r="AB135" s="81"/>
      <c r="AC135" s="84" t="s">
        <v>580</v>
      </c>
      <c r="AD135" s="81" t="s">
        <v>588</v>
      </c>
      <c r="AE135" s="86" t="str">
        <f>HYPERLINK("https://twitter.com/brianatrifiro/status/1716629972062773742")</f>
        <v>https://twitter.com/brianatrifiro/status/1716629972062773742</v>
      </c>
      <c r="AF135" s="83">
        <v>45223.067743055559</v>
      </c>
      <c r="AG135" s="89">
        <v>45223</v>
      </c>
      <c r="AH135" s="84" t="s">
        <v>663</v>
      </c>
      <c r="AI135" s="81"/>
      <c r="AJ135" s="81"/>
      <c r="AK135" s="81"/>
      <c r="AL135" s="81"/>
      <c r="AM135" s="81"/>
      <c r="AN135" s="81"/>
      <c r="AO135" s="81"/>
      <c r="AP135" s="81"/>
      <c r="AQ135" s="81"/>
      <c r="AR135" s="81"/>
      <c r="AS135" s="81"/>
      <c r="AT135" s="81"/>
      <c r="AU135" s="81"/>
      <c r="AV135" s="86" t="str">
        <f>HYPERLINK("https://pbs.twimg.com/profile_images/1324512852162629632/criswwlC_normal.jpg")</f>
        <v>https://pbs.twimg.com/profile_images/1324512852162629632/criswwlC_normal.jpg</v>
      </c>
      <c r="AW135" s="84" t="s">
        <v>817</v>
      </c>
      <c r="AX135" s="84" t="s">
        <v>817</v>
      </c>
      <c r="AY135" s="81"/>
      <c r="AZ135" s="84" t="s">
        <v>879</v>
      </c>
      <c r="BA135" s="84" t="s">
        <v>820</v>
      </c>
      <c r="BB135" s="84" t="s">
        <v>879</v>
      </c>
      <c r="BC135" s="84" t="s">
        <v>820</v>
      </c>
      <c r="BD135" s="84" t="s">
        <v>889</v>
      </c>
      <c r="BE135" s="81"/>
      <c r="BF135" s="81"/>
      <c r="BG135" s="81"/>
      <c r="BH135" s="81"/>
      <c r="BI135" s="81"/>
      <c r="BJ135">
        <v>1</v>
      </c>
      <c r="BK135" s="80" t="str">
        <f>REPLACE(INDEX(GroupVertices[Group], MATCH("~"&amp;Edges[[#This Row],[Vertex 1]],GroupVertices[Vertex],0)),1,1,"")</f>
        <v>4</v>
      </c>
      <c r="BL135" s="80" t="str">
        <f>REPLACE(INDEX(GroupVertices[Group], MATCH("~"&amp;Edges[[#This Row],[Vertex 2]],GroupVertices[Vertex],0)),1,1,"")</f>
        <v>4</v>
      </c>
      <c r="BM135" s="49"/>
      <c r="BN135" s="50"/>
      <c r="BO135" s="49"/>
      <c r="BP135" s="50"/>
      <c r="BQ135" s="49"/>
      <c r="BR135" s="50"/>
      <c r="BS135" s="49"/>
      <c r="BT135" s="50"/>
      <c r="BU135" s="49"/>
    </row>
    <row r="136" spans="1:73" x14ac:dyDescent="0.25">
      <c r="A136" s="65" t="s">
        <v>279</v>
      </c>
      <c r="B136" s="65" t="s">
        <v>280</v>
      </c>
      <c r="C136" s="66" t="s">
        <v>10073</v>
      </c>
      <c r="D136" s="67">
        <v>3</v>
      </c>
      <c r="E136" s="68" t="s">
        <v>132</v>
      </c>
      <c r="F136" s="69">
        <v>35</v>
      </c>
      <c r="G136" s="66"/>
      <c r="H136" s="70"/>
      <c r="I136" s="71"/>
      <c r="J136" s="71"/>
      <c r="K136" s="35" t="s">
        <v>66</v>
      </c>
      <c r="L136" s="79">
        <v>136</v>
      </c>
      <c r="M136" s="79"/>
      <c r="N136" s="73"/>
      <c r="O136" s="81" t="s">
        <v>371</v>
      </c>
      <c r="P136" s="83">
        <v>45223.067743055559</v>
      </c>
      <c r="Q136" s="81" t="s">
        <v>430</v>
      </c>
      <c r="R136" s="81">
        <v>2</v>
      </c>
      <c r="S136" s="81">
        <v>5</v>
      </c>
      <c r="T136" s="81">
        <v>0</v>
      </c>
      <c r="U136" s="81">
        <v>0</v>
      </c>
      <c r="V136" s="81">
        <v>798</v>
      </c>
      <c r="W136" s="84" t="s">
        <v>490</v>
      </c>
      <c r="X136" s="81"/>
      <c r="Y136" s="81"/>
      <c r="Z136" s="81" t="s">
        <v>280</v>
      </c>
      <c r="AA136" s="81"/>
      <c r="AB136" s="81"/>
      <c r="AC136" s="84" t="s">
        <v>580</v>
      </c>
      <c r="AD136" s="81" t="s">
        <v>588</v>
      </c>
      <c r="AE136" s="86" t="str">
        <f>HYPERLINK("https://twitter.com/brianatrifiro/status/1716629972062773742")</f>
        <v>https://twitter.com/brianatrifiro/status/1716629972062773742</v>
      </c>
      <c r="AF136" s="83">
        <v>45223.067743055559</v>
      </c>
      <c r="AG136" s="89">
        <v>45223</v>
      </c>
      <c r="AH136" s="84" t="s">
        <v>663</v>
      </c>
      <c r="AI136" s="81"/>
      <c r="AJ136" s="81"/>
      <c r="AK136" s="81"/>
      <c r="AL136" s="81"/>
      <c r="AM136" s="81"/>
      <c r="AN136" s="81"/>
      <c r="AO136" s="81"/>
      <c r="AP136" s="81"/>
      <c r="AQ136" s="81"/>
      <c r="AR136" s="81"/>
      <c r="AS136" s="81"/>
      <c r="AT136" s="81"/>
      <c r="AU136" s="81"/>
      <c r="AV136" s="86" t="str">
        <f>HYPERLINK("https://pbs.twimg.com/profile_images/1324512852162629632/criswwlC_normal.jpg")</f>
        <v>https://pbs.twimg.com/profile_images/1324512852162629632/criswwlC_normal.jpg</v>
      </c>
      <c r="AW136" s="84" t="s">
        <v>817</v>
      </c>
      <c r="AX136" s="84" t="s">
        <v>817</v>
      </c>
      <c r="AY136" s="81"/>
      <c r="AZ136" s="84" t="s">
        <v>879</v>
      </c>
      <c r="BA136" s="84" t="s">
        <v>820</v>
      </c>
      <c r="BB136" s="84" t="s">
        <v>879</v>
      </c>
      <c r="BC136" s="84" t="s">
        <v>820</v>
      </c>
      <c r="BD136" s="84" t="s">
        <v>889</v>
      </c>
      <c r="BE136" s="81"/>
      <c r="BF136" s="81"/>
      <c r="BG136" s="81"/>
      <c r="BH136" s="81"/>
      <c r="BI136" s="81"/>
      <c r="BJ136">
        <v>1</v>
      </c>
      <c r="BK136" s="80" t="str">
        <f>REPLACE(INDEX(GroupVertices[Group], MATCH("~"&amp;Edges[[#This Row],[Vertex 1]],GroupVertices[Vertex],0)),1,1,"")</f>
        <v>4</v>
      </c>
      <c r="BL136" s="80" t="str">
        <f>REPLACE(INDEX(GroupVertices[Group], MATCH("~"&amp;Edges[[#This Row],[Vertex 2]],GroupVertices[Vertex],0)),1,1,"")</f>
        <v>4</v>
      </c>
      <c r="BM136" s="49">
        <v>0</v>
      </c>
      <c r="BN136" s="50">
        <v>0</v>
      </c>
      <c r="BO136" s="49">
        <v>1</v>
      </c>
      <c r="BP136" s="50">
        <v>6.666666666666667</v>
      </c>
      <c r="BQ136" s="49">
        <v>0</v>
      </c>
      <c r="BR136" s="50">
        <v>0</v>
      </c>
      <c r="BS136" s="49">
        <v>10</v>
      </c>
      <c r="BT136" s="50">
        <v>66.666666666666671</v>
      </c>
      <c r="BU136" s="49">
        <v>15</v>
      </c>
    </row>
    <row r="137" spans="1:73" x14ac:dyDescent="0.25">
      <c r="A137" s="65" t="s">
        <v>268</v>
      </c>
      <c r="B137" s="65" t="s">
        <v>279</v>
      </c>
      <c r="C137" s="66" t="s">
        <v>10073</v>
      </c>
      <c r="D137" s="67">
        <v>3</v>
      </c>
      <c r="E137" s="68" t="s">
        <v>132</v>
      </c>
      <c r="F137" s="69">
        <v>35</v>
      </c>
      <c r="G137" s="66"/>
      <c r="H137" s="70"/>
      <c r="I137" s="71"/>
      <c r="J137" s="71"/>
      <c r="K137" s="35" t="s">
        <v>65</v>
      </c>
      <c r="L137" s="79">
        <v>137</v>
      </c>
      <c r="M137" s="79"/>
      <c r="N137" s="73"/>
      <c r="O137" s="81" t="s">
        <v>365</v>
      </c>
      <c r="P137" s="83">
        <v>45230.819780092592</v>
      </c>
      <c r="Q137" s="81" t="s">
        <v>431</v>
      </c>
      <c r="R137" s="81">
        <v>2</v>
      </c>
      <c r="S137" s="81">
        <v>0</v>
      </c>
      <c r="T137" s="81">
        <v>0</v>
      </c>
      <c r="U137" s="81">
        <v>0</v>
      </c>
      <c r="V137" s="81"/>
      <c r="W137" s="84" t="s">
        <v>490</v>
      </c>
      <c r="X137" s="81"/>
      <c r="Y137" s="81"/>
      <c r="Z137" s="81" t="s">
        <v>540</v>
      </c>
      <c r="AA137" s="81"/>
      <c r="AB137" s="81"/>
      <c r="AC137" s="84" t="s">
        <v>582</v>
      </c>
      <c r="AD137" s="81" t="s">
        <v>588</v>
      </c>
      <c r="AE137" s="86" t="str">
        <f>HYPERLINK("https://twitter.com/aejmc/status/1719439218492035292")</f>
        <v>https://twitter.com/aejmc/status/1719439218492035292</v>
      </c>
      <c r="AF137" s="83">
        <v>45230.819780092592</v>
      </c>
      <c r="AG137" s="89">
        <v>45230</v>
      </c>
      <c r="AH137" s="84" t="s">
        <v>664</v>
      </c>
      <c r="AI137" s="81"/>
      <c r="AJ137" s="81"/>
      <c r="AK137" s="81"/>
      <c r="AL137" s="81"/>
      <c r="AM137" s="81"/>
      <c r="AN137" s="81"/>
      <c r="AO137" s="81"/>
      <c r="AP137" s="81"/>
      <c r="AQ137" s="81"/>
      <c r="AR137" s="81"/>
      <c r="AS137" s="81"/>
      <c r="AT137" s="81"/>
      <c r="AU137" s="81"/>
      <c r="AV137" s="86" t="str">
        <f>HYPERLINK("https://pbs.twimg.com/profile_images/1559584982439444482/vOVkFGh3_normal.png")</f>
        <v>https://pbs.twimg.com/profile_images/1559584982439444482/vOVkFGh3_normal.png</v>
      </c>
      <c r="AW137" s="84" t="s">
        <v>818</v>
      </c>
      <c r="AX137" s="84" t="s">
        <v>818</v>
      </c>
      <c r="AY137" s="81"/>
      <c r="AZ137" s="84" t="s">
        <v>879</v>
      </c>
      <c r="BA137" s="84" t="s">
        <v>820</v>
      </c>
      <c r="BB137" s="84" t="s">
        <v>817</v>
      </c>
      <c r="BC137" s="84" t="s">
        <v>817</v>
      </c>
      <c r="BD137" s="81">
        <v>8442592</v>
      </c>
      <c r="BE137" s="81"/>
      <c r="BF137" s="81"/>
      <c r="BG137" s="81"/>
      <c r="BH137" s="81"/>
      <c r="BI137" s="81"/>
      <c r="BJ137">
        <v>1</v>
      </c>
      <c r="BK137" s="80" t="str">
        <f>REPLACE(INDEX(GroupVertices[Group], MATCH("~"&amp;Edges[[#This Row],[Vertex 1]],GroupVertices[Vertex],0)),1,1,"")</f>
        <v>1</v>
      </c>
      <c r="BL137" s="80" t="str">
        <f>REPLACE(INDEX(GroupVertices[Group], MATCH("~"&amp;Edges[[#This Row],[Vertex 2]],GroupVertices[Vertex],0)),1,1,"")</f>
        <v>4</v>
      </c>
      <c r="BM137" s="49"/>
      <c r="BN137" s="50"/>
      <c r="BO137" s="49"/>
      <c r="BP137" s="50"/>
      <c r="BQ137" s="49"/>
      <c r="BR137" s="50"/>
      <c r="BS137" s="49"/>
      <c r="BT137" s="50"/>
      <c r="BU137" s="49"/>
    </row>
    <row r="138" spans="1:73" x14ac:dyDescent="0.25">
      <c r="A138" s="65" t="s">
        <v>280</v>
      </c>
      <c r="B138" s="65" t="s">
        <v>279</v>
      </c>
      <c r="C138" s="66" t="s">
        <v>10073</v>
      </c>
      <c r="D138" s="67">
        <v>3</v>
      </c>
      <c r="E138" s="68" t="s">
        <v>132</v>
      </c>
      <c r="F138" s="69">
        <v>35</v>
      </c>
      <c r="G138" s="66"/>
      <c r="H138" s="70"/>
      <c r="I138" s="71"/>
      <c r="J138" s="71"/>
      <c r="K138" s="35" t="s">
        <v>66</v>
      </c>
      <c r="L138" s="79">
        <v>138</v>
      </c>
      <c r="M138" s="79"/>
      <c r="N138" s="73"/>
      <c r="O138" s="81" t="s">
        <v>365</v>
      </c>
      <c r="P138" s="83">
        <v>45230.817835648151</v>
      </c>
      <c r="Q138" s="81" t="s">
        <v>431</v>
      </c>
      <c r="R138" s="81">
        <v>2</v>
      </c>
      <c r="S138" s="81">
        <v>0</v>
      </c>
      <c r="T138" s="81">
        <v>0</v>
      </c>
      <c r="U138" s="81">
        <v>0</v>
      </c>
      <c r="V138" s="81"/>
      <c r="W138" s="84" t="s">
        <v>490</v>
      </c>
      <c r="X138" s="81"/>
      <c r="Y138" s="81"/>
      <c r="Z138" s="81" t="s">
        <v>540</v>
      </c>
      <c r="AA138" s="81"/>
      <c r="AB138" s="81"/>
      <c r="AC138" s="84" t="s">
        <v>580</v>
      </c>
      <c r="AD138" s="81" t="s">
        <v>588</v>
      </c>
      <c r="AE138" s="86" t="str">
        <f>HYPERLINK("https://twitter.com/csgeaejmc/status/1719438511349137778")</f>
        <v>https://twitter.com/csgeaejmc/status/1719438511349137778</v>
      </c>
      <c r="AF138" s="83">
        <v>45230.817835648151</v>
      </c>
      <c r="AG138" s="89">
        <v>45230</v>
      </c>
      <c r="AH138" s="84" t="s">
        <v>665</v>
      </c>
      <c r="AI138" s="81"/>
      <c r="AJ138" s="81"/>
      <c r="AK138" s="81"/>
      <c r="AL138" s="81"/>
      <c r="AM138" s="81"/>
      <c r="AN138" s="81"/>
      <c r="AO138" s="81"/>
      <c r="AP138" s="81"/>
      <c r="AQ138" s="81"/>
      <c r="AR138" s="81"/>
      <c r="AS138" s="81"/>
      <c r="AT138" s="81"/>
      <c r="AU138" s="81"/>
      <c r="AV138" s="86" t="str">
        <f>HYPERLINK("https://pbs.twimg.com/profile_images/1631068834768515072/LdDIOISa_normal.jpg")</f>
        <v>https://pbs.twimg.com/profile_images/1631068834768515072/LdDIOISa_normal.jpg</v>
      </c>
      <c r="AW138" s="84" t="s">
        <v>819</v>
      </c>
      <c r="AX138" s="84" t="s">
        <v>819</v>
      </c>
      <c r="AY138" s="81"/>
      <c r="AZ138" s="84" t="s">
        <v>879</v>
      </c>
      <c r="BA138" s="84" t="s">
        <v>820</v>
      </c>
      <c r="BB138" s="84" t="s">
        <v>817</v>
      </c>
      <c r="BC138" s="84" t="s">
        <v>817</v>
      </c>
      <c r="BD138" s="84" t="s">
        <v>890</v>
      </c>
      <c r="BE138" s="81"/>
      <c r="BF138" s="81"/>
      <c r="BG138" s="81"/>
      <c r="BH138" s="81"/>
      <c r="BI138" s="81"/>
      <c r="BJ138">
        <v>1</v>
      </c>
      <c r="BK138" s="80" t="str">
        <f>REPLACE(INDEX(GroupVertices[Group], MATCH("~"&amp;Edges[[#This Row],[Vertex 1]],GroupVertices[Vertex],0)),1,1,"")</f>
        <v>4</v>
      </c>
      <c r="BL138" s="80" t="str">
        <f>REPLACE(INDEX(GroupVertices[Group], MATCH("~"&amp;Edges[[#This Row],[Vertex 2]],GroupVertices[Vertex],0)),1,1,"")</f>
        <v>4</v>
      </c>
      <c r="BM138" s="49"/>
      <c r="BN138" s="50"/>
      <c r="BO138" s="49"/>
      <c r="BP138" s="50"/>
      <c r="BQ138" s="49"/>
      <c r="BR138" s="50"/>
      <c r="BS138" s="49"/>
      <c r="BT138" s="50"/>
      <c r="BU138" s="49"/>
    </row>
    <row r="139" spans="1:73" x14ac:dyDescent="0.25">
      <c r="A139" s="65" t="s">
        <v>280</v>
      </c>
      <c r="B139" s="65" t="s">
        <v>328</v>
      </c>
      <c r="C139" s="66" t="s">
        <v>10074</v>
      </c>
      <c r="D139" s="67">
        <v>6.5</v>
      </c>
      <c r="E139" s="68" t="s">
        <v>132</v>
      </c>
      <c r="F139" s="69">
        <v>23.5</v>
      </c>
      <c r="G139" s="66"/>
      <c r="H139" s="70"/>
      <c r="I139" s="71"/>
      <c r="J139" s="71"/>
      <c r="K139" s="35" t="s">
        <v>65</v>
      </c>
      <c r="L139" s="79">
        <v>139</v>
      </c>
      <c r="M139" s="79"/>
      <c r="N139" s="73"/>
      <c r="O139" s="81" t="s">
        <v>367</v>
      </c>
      <c r="P139" s="83">
        <v>45222.637326388889</v>
      </c>
      <c r="Q139" s="81" t="s">
        <v>432</v>
      </c>
      <c r="R139" s="81">
        <v>10</v>
      </c>
      <c r="S139" s="81">
        <v>14</v>
      </c>
      <c r="T139" s="81">
        <v>0</v>
      </c>
      <c r="U139" s="81">
        <v>2</v>
      </c>
      <c r="V139" s="81">
        <v>1621</v>
      </c>
      <c r="W139" s="84" t="s">
        <v>490</v>
      </c>
      <c r="X139" s="86" t="str">
        <f>HYPERLINK("https://bostonu.zoom.us/meeting/register/tJAkc-Gsqj8qGNfbayeDGxjSAisWKFmTXJAs")</f>
        <v>https://bostonu.zoom.us/meeting/register/tJAkc-Gsqj8qGNfbayeDGxjSAisWKFmTXJAs</v>
      </c>
      <c r="Y139" s="81" t="s">
        <v>502</v>
      </c>
      <c r="Z139" s="81" t="s">
        <v>541</v>
      </c>
      <c r="AA139" s="81" t="s">
        <v>568</v>
      </c>
      <c r="AB139" s="81" t="s">
        <v>575</v>
      </c>
      <c r="AC139" s="84" t="s">
        <v>582</v>
      </c>
      <c r="AD139" s="81" t="s">
        <v>588</v>
      </c>
      <c r="AE139" s="86" t="str">
        <f>HYPERLINK("https://twitter.com/csgeaejmc/status/1716473993249645024")</f>
        <v>https://twitter.com/csgeaejmc/status/1716473993249645024</v>
      </c>
      <c r="AF139" s="83">
        <v>45222.637326388889</v>
      </c>
      <c r="AG139" s="89">
        <v>45222</v>
      </c>
      <c r="AH139" s="84" t="s">
        <v>666</v>
      </c>
      <c r="AI139" s="81" t="b">
        <v>0</v>
      </c>
      <c r="AJ139" s="81"/>
      <c r="AK139" s="81"/>
      <c r="AL139" s="81"/>
      <c r="AM139" s="81"/>
      <c r="AN139" s="81"/>
      <c r="AO139" s="81"/>
      <c r="AP139" s="81"/>
      <c r="AQ139" s="81" t="s">
        <v>737</v>
      </c>
      <c r="AR139" s="81"/>
      <c r="AS139" s="81"/>
      <c r="AT139" s="81"/>
      <c r="AU139" s="81"/>
      <c r="AV139" s="86" t="str">
        <f>HYPERLINK("https://pbs.twimg.com/media/F9IjUUkXAAAIObs.png")</f>
        <v>https://pbs.twimg.com/media/F9IjUUkXAAAIObs.png</v>
      </c>
      <c r="AW139" s="84" t="s">
        <v>820</v>
      </c>
      <c r="AX139" s="84" t="s">
        <v>820</v>
      </c>
      <c r="AY139" s="81"/>
      <c r="AZ139" s="84" t="s">
        <v>879</v>
      </c>
      <c r="BA139" s="84" t="s">
        <v>879</v>
      </c>
      <c r="BB139" s="84" t="s">
        <v>879</v>
      </c>
      <c r="BC139" s="84" t="s">
        <v>820</v>
      </c>
      <c r="BD139" s="84" t="s">
        <v>890</v>
      </c>
      <c r="BE139" s="81"/>
      <c r="BF139" s="81"/>
      <c r="BG139" s="81"/>
      <c r="BH139" s="81"/>
      <c r="BI139" s="81"/>
      <c r="BJ139">
        <v>2</v>
      </c>
      <c r="BK139" s="80" t="str">
        <f>REPLACE(INDEX(GroupVertices[Group], MATCH("~"&amp;Edges[[#This Row],[Vertex 1]],GroupVertices[Vertex],0)),1,1,"")</f>
        <v>4</v>
      </c>
      <c r="BL139" s="80" t="str">
        <f>REPLACE(INDEX(GroupVertices[Group], MATCH("~"&amp;Edges[[#This Row],[Vertex 2]],GroupVertices[Vertex],0)),1,1,"")</f>
        <v>4</v>
      </c>
      <c r="BM139" s="49"/>
      <c r="BN139" s="50"/>
      <c r="BO139" s="49"/>
      <c r="BP139" s="50"/>
      <c r="BQ139" s="49"/>
      <c r="BR139" s="50"/>
      <c r="BS139" s="49"/>
      <c r="BT139" s="50"/>
      <c r="BU139" s="49"/>
    </row>
    <row r="140" spans="1:73" x14ac:dyDescent="0.25">
      <c r="A140" s="65" t="s">
        <v>280</v>
      </c>
      <c r="B140" s="65" t="s">
        <v>328</v>
      </c>
      <c r="C140" s="66" t="s">
        <v>10074</v>
      </c>
      <c r="D140" s="67">
        <v>6.5</v>
      </c>
      <c r="E140" s="68" t="s">
        <v>132</v>
      </c>
      <c r="F140" s="69">
        <v>23.5</v>
      </c>
      <c r="G140" s="66"/>
      <c r="H140" s="70"/>
      <c r="I140" s="71"/>
      <c r="J140" s="71"/>
      <c r="K140" s="35" t="s">
        <v>65</v>
      </c>
      <c r="L140" s="79">
        <v>140</v>
      </c>
      <c r="M140" s="79"/>
      <c r="N140" s="73"/>
      <c r="O140" s="81" t="s">
        <v>367</v>
      </c>
      <c r="P140" s="83">
        <v>45233.799398148149</v>
      </c>
      <c r="Q140" s="81" t="s">
        <v>433</v>
      </c>
      <c r="R140" s="81">
        <v>4</v>
      </c>
      <c r="S140" s="81">
        <v>5</v>
      </c>
      <c r="T140" s="81">
        <v>0</v>
      </c>
      <c r="U140" s="81">
        <v>2</v>
      </c>
      <c r="V140" s="81">
        <v>1602</v>
      </c>
      <c r="W140" s="84" t="s">
        <v>490</v>
      </c>
      <c r="X140" s="86" t="str">
        <f>HYPERLINK("https://bostonu.zoom.us/meeting/register/tJAkc-Gsqj8qGNfbayeDGxjSAisWKFmTXJAs")</f>
        <v>https://bostonu.zoom.us/meeting/register/tJAkc-Gsqj8qGNfbayeDGxjSAisWKFmTXJAs</v>
      </c>
      <c r="Y140" s="81" t="s">
        <v>502</v>
      </c>
      <c r="Z140" s="81" t="s">
        <v>541</v>
      </c>
      <c r="AA140" s="81" t="s">
        <v>569</v>
      </c>
      <c r="AB140" s="81" t="s">
        <v>577</v>
      </c>
      <c r="AC140" s="84" t="s">
        <v>582</v>
      </c>
      <c r="AD140" s="81" t="s">
        <v>588</v>
      </c>
      <c r="AE140" s="86" t="str">
        <f>HYPERLINK("https://twitter.com/csgeaejmc/status/1720518995030556846")</f>
        <v>https://twitter.com/csgeaejmc/status/1720518995030556846</v>
      </c>
      <c r="AF140" s="83">
        <v>45233.799398148149</v>
      </c>
      <c r="AG140" s="89">
        <v>45233</v>
      </c>
      <c r="AH140" s="84" t="s">
        <v>667</v>
      </c>
      <c r="AI140" s="81" t="b">
        <v>0</v>
      </c>
      <c r="AJ140" s="81"/>
      <c r="AK140" s="81"/>
      <c r="AL140" s="81"/>
      <c r="AM140" s="81"/>
      <c r="AN140" s="81"/>
      <c r="AO140" s="81"/>
      <c r="AP140" s="81"/>
      <c r="AQ140" s="81" t="s">
        <v>738</v>
      </c>
      <c r="AR140" s="81"/>
      <c r="AS140" s="81"/>
      <c r="AT140" s="81"/>
      <c r="AU140" s="81"/>
      <c r="AV140" s="86" t="str">
        <f>HYPERLINK("https://pbs.twimg.com/tweet_video_thumb/F-CC553agAAW9bb.jpg")</f>
        <v>https://pbs.twimg.com/tweet_video_thumb/F-CC553agAAW9bb.jpg</v>
      </c>
      <c r="AW140" s="84" t="s">
        <v>821</v>
      </c>
      <c r="AX140" s="84" t="s">
        <v>821</v>
      </c>
      <c r="AY140" s="81"/>
      <c r="AZ140" s="84" t="s">
        <v>879</v>
      </c>
      <c r="BA140" s="84" t="s">
        <v>879</v>
      </c>
      <c r="BB140" s="84" t="s">
        <v>879</v>
      </c>
      <c r="BC140" s="84" t="s">
        <v>821</v>
      </c>
      <c r="BD140" s="84" t="s">
        <v>890</v>
      </c>
      <c r="BE140" s="81"/>
      <c r="BF140" s="81"/>
      <c r="BG140" s="81"/>
      <c r="BH140" s="81"/>
      <c r="BI140" s="81"/>
      <c r="BJ140">
        <v>2</v>
      </c>
      <c r="BK140" s="80" t="str">
        <f>REPLACE(INDEX(GroupVertices[Group], MATCH("~"&amp;Edges[[#This Row],[Vertex 1]],GroupVertices[Vertex],0)),1,1,"")</f>
        <v>4</v>
      </c>
      <c r="BL140" s="80" t="str">
        <f>REPLACE(INDEX(GroupVertices[Group], MATCH("~"&amp;Edges[[#This Row],[Vertex 2]],GroupVertices[Vertex],0)),1,1,"")</f>
        <v>4</v>
      </c>
      <c r="BM140" s="49"/>
      <c r="BN140" s="50"/>
      <c r="BO140" s="49"/>
      <c r="BP140" s="50"/>
      <c r="BQ140" s="49"/>
      <c r="BR140" s="50"/>
      <c r="BS140" s="49"/>
      <c r="BT140" s="50"/>
      <c r="BU140" s="49"/>
    </row>
    <row r="141" spans="1:73" x14ac:dyDescent="0.25">
      <c r="A141" s="65" t="s">
        <v>280</v>
      </c>
      <c r="B141" s="65" t="s">
        <v>329</v>
      </c>
      <c r="C141" s="66" t="s">
        <v>10074</v>
      </c>
      <c r="D141" s="67">
        <v>6.5</v>
      </c>
      <c r="E141" s="68" t="s">
        <v>132</v>
      </c>
      <c r="F141" s="69">
        <v>23.5</v>
      </c>
      <c r="G141" s="66"/>
      <c r="H141" s="70"/>
      <c r="I141" s="71"/>
      <c r="J141" s="71"/>
      <c r="K141" s="35" t="s">
        <v>65</v>
      </c>
      <c r="L141" s="79">
        <v>141</v>
      </c>
      <c r="M141" s="79"/>
      <c r="N141" s="73"/>
      <c r="O141" s="81" t="s">
        <v>367</v>
      </c>
      <c r="P141" s="83">
        <v>45222.637326388889</v>
      </c>
      <c r="Q141" s="81" t="s">
        <v>432</v>
      </c>
      <c r="R141" s="81">
        <v>10</v>
      </c>
      <c r="S141" s="81">
        <v>14</v>
      </c>
      <c r="T141" s="81">
        <v>0</v>
      </c>
      <c r="U141" s="81">
        <v>2</v>
      </c>
      <c r="V141" s="81">
        <v>1621</v>
      </c>
      <c r="W141" s="84" t="s">
        <v>490</v>
      </c>
      <c r="X141" s="86" t="str">
        <f>HYPERLINK("https://bostonu.zoom.us/meeting/register/tJAkc-Gsqj8qGNfbayeDGxjSAisWKFmTXJAs")</f>
        <v>https://bostonu.zoom.us/meeting/register/tJAkc-Gsqj8qGNfbayeDGxjSAisWKFmTXJAs</v>
      </c>
      <c r="Y141" s="81" t="s">
        <v>502</v>
      </c>
      <c r="Z141" s="81" t="s">
        <v>541</v>
      </c>
      <c r="AA141" s="81" t="s">
        <v>568</v>
      </c>
      <c r="AB141" s="81" t="s">
        <v>575</v>
      </c>
      <c r="AC141" s="84" t="s">
        <v>582</v>
      </c>
      <c r="AD141" s="81" t="s">
        <v>588</v>
      </c>
      <c r="AE141" s="86" t="str">
        <f>HYPERLINK("https://twitter.com/csgeaejmc/status/1716473993249645024")</f>
        <v>https://twitter.com/csgeaejmc/status/1716473993249645024</v>
      </c>
      <c r="AF141" s="83">
        <v>45222.637326388889</v>
      </c>
      <c r="AG141" s="89">
        <v>45222</v>
      </c>
      <c r="AH141" s="84" t="s">
        <v>666</v>
      </c>
      <c r="AI141" s="81" t="b">
        <v>0</v>
      </c>
      <c r="AJ141" s="81"/>
      <c r="AK141" s="81"/>
      <c r="AL141" s="81"/>
      <c r="AM141" s="81"/>
      <c r="AN141" s="81"/>
      <c r="AO141" s="81"/>
      <c r="AP141" s="81"/>
      <c r="AQ141" s="81" t="s">
        <v>737</v>
      </c>
      <c r="AR141" s="81"/>
      <c r="AS141" s="81"/>
      <c r="AT141" s="81"/>
      <c r="AU141" s="81"/>
      <c r="AV141" s="86" t="str">
        <f>HYPERLINK("https://pbs.twimg.com/media/F9IjUUkXAAAIObs.png")</f>
        <v>https://pbs.twimg.com/media/F9IjUUkXAAAIObs.png</v>
      </c>
      <c r="AW141" s="84" t="s">
        <v>820</v>
      </c>
      <c r="AX141" s="84" t="s">
        <v>820</v>
      </c>
      <c r="AY141" s="81"/>
      <c r="AZ141" s="84" t="s">
        <v>879</v>
      </c>
      <c r="BA141" s="84" t="s">
        <v>879</v>
      </c>
      <c r="BB141" s="84" t="s">
        <v>879</v>
      </c>
      <c r="BC141" s="84" t="s">
        <v>820</v>
      </c>
      <c r="BD141" s="84" t="s">
        <v>890</v>
      </c>
      <c r="BE141" s="81"/>
      <c r="BF141" s="81"/>
      <c r="BG141" s="81"/>
      <c r="BH141" s="81"/>
      <c r="BI141" s="81"/>
      <c r="BJ141">
        <v>2</v>
      </c>
      <c r="BK141" s="80" t="str">
        <f>REPLACE(INDEX(GroupVertices[Group], MATCH("~"&amp;Edges[[#This Row],[Vertex 1]],GroupVertices[Vertex],0)),1,1,"")</f>
        <v>4</v>
      </c>
      <c r="BL141" s="80" t="str">
        <f>REPLACE(INDEX(GroupVertices[Group], MATCH("~"&amp;Edges[[#This Row],[Vertex 2]],GroupVertices[Vertex],0)),1,1,"")</f>
        <v>4</v>
      </c>
      <c r="BM141" s="49"/>
      <c r="BN141" s="50"/>
      <c r="BO141" s="49"/>
      <c r="BP141" s="50"/>
      <c r="BQ141" s="49"/>
      <c r="BR141" s="50"/>
      <c r="BS141" s="49"/>
      <c r="BT141" s="50"/>
      <c r="BU141" s="49"/>
    </row>
    <row r="142" spans="1:73" x14ac:dyDescent="0.25">
      <c r="A142" s="65" t="s">
        <v>280</v>
      </c>
      <c r="B142" s="65" t="s">
        <v>329</v>
      </c>
      <c r="C142" s="66" t="s">
        <v>10074</v>
      </c>
      <c r="D142" s="67">
        <v>6.5</v>
      </c>
      <c r="E142" s="68" t="s">
        <v>132</v>
      </c>
      <c r="F142" s="69">
        <v>23.5</v>
      </c>
      <c r="G142" s="66"/>
      <c r="H142" s="70"/>
      <c r="I142" s="71"/>
      <c r="J142" s="71"/>
      <c r="K142" s="35" t="s">
        <v>65</v>
      </c>
      <c r="L142" s="79">
        <v>142</v>
      </c>
      <c r="M142" s="79"/>
      <c r="N142" s="73"/>
      <c r="O142" s="81" t="s">
        <v>367</v>
      </c>
      <c r="P142" s="83">
        <v>45233.799398148149</v>
      </c>
      <c r="Q142" s="81" t="s">
        <v>433</v>
      </c>
      <c r="R142" s="81">
        <v>4</v>
      </c>
      <c r="S142" s="81">
        <v>5</v>
      </c>
      <c r="T142" s="81">
        <v>0</v>
      </c>
      <c r="U142" s="81">
        <v>2</v>
      </c>
      <c r="V142" s="81">
        <v>1602</v>
      </c>
      <c r="W142" s="84" t="s">
        <v>490</v>
      </c>
      <c r="X142" s="86" t="str">
        <f>HYPERLINK("https://bostonu.zoom.us/meeting/register/tJAkc-Gsqj8qGNfbayeDGxjSAisWKFmTXJAs")</f>
        <v>https://bostonu.zoom.us/meeting/register/tJAkc-Gsqj8qGNfbayeDGxjSAisWKFmTXJAs</v>
      </c>
      <c r="Y142" s="81" t="s">
        <v>502</v>
      </c>
      <c r="Z142" s="81" t="s">
        <v>541</v>
      </c>
      <c r="AA142" s="81" t="s">
        <v>569</v>
      </c>
      <c r="AB142" s="81" t="s">
        <v>577</v>
      </c>
      <c r="AC142" s="84" t="s">
        <v>582</v>
      </c>
      <c r="AD142" s="81" t="s">
        <v>588</v>
      </c>
      <c r="AE142" s="86" t="str">
        <f>HYPERLINK("https://twitter.com/csgeaejmc/status/1720518995030556846")</f>
        <v>https://twitter.com/csgeaejmc/status/1720518995030556846</v>
      </c>
      <c r="AF142" s="83">
        <v>45233.799398148149</v>
      </c>
      <c r="AG142" s="89">
        <v>45233</v>
      </c>
      <c r="AH142" s="84" t="s">
        <v>667</v>
      </c>
      <c r="AI142" s="81" t="b">
        <v>0</v>
      </c>
      <c r="AJ142" s="81"/>
      <c r="AK142" s="81"/>
      <c r="AL142" s="81"/>
      <c r="AM142" s="81"/>
      <c r="AN142" s="81"/>
      <c r="AO142" s="81"/>
      <c r="AP142" s="81"/>
      <c r="AQ142" s="81" t="s">
        <v>738</v>
      </c>
      <c r="AR142" s="81"/>
      <c r="AS142" s="81"/>
      <c r="AT142" s="81"/>
      <c r="AU142" s="81"/>
      <c r="AV142" s="86" t="str">
        <f>HYPERLINK("https://pbs.twimg.com/tweet_video_thumb/F-CC553agAAW9bb.jpg")</f>
        <v>https://pbs.twimg.com/tweet_video_thumb/F-CC553agAAW9bb.jpg</v>
      </c>
      <c r="AW142" s="84" t="s">
        <v>821</v>
      </c>
      <c r="AX142" s="84" t="s">
        <v>821</v>
      </c>
      <c r="AY142" s="81"/>
      <c r="AZ142" s="84" t="s">
        <v>879</v>
      </c>
      <c r="BA142" s="84" t="s">
        <v>879</v>
      </c>
      <c r="BB142" s="84" t="s">
        <v>879</v>
      </c>
      <c r="BC142" s="84" t="s">
        <v>821</v>
      </c>
      <c r="BD142" s="84" t="s">
        <v>890</v>
      </c>
      <c r="BE142" s="81"/>
      <c r="BF142" s="81"/>
      <c r="BG142" s="81"/>
      <c r="BH142" s="81"/>
      <c r="BI142" s="81"/>
      <c r="BJ142">
        <v>2</v>
      </c>
      <c r="BK142" s="80" t="str">
        <f>REPLACE(INDEX(GroupVertices[Group], MATCH("~"&amp;Edges[[#This Row],[Vertex 1]],GroupVertices[Vertex],0)),1,1,"")</f>
        <v>4</v>
      </c>
      <c r="BL142" s="80" t="str">
        <f>REPLACE(INDEX(GroupVertices[Group], MATCH("~"&amp;Edges[[#This Row],[Vertex 2]],GroupVertices[Vertex],0)),1,1,"")</f>
        <v>4</v>
      </c>
      <c r="BM142" s="49"/>
      <c r="BN142" s="50"/>
      <c r="BO142" s="49"/>
      <c r="BP142" s="50"/>
      <c r="BQ142" s="49"/>
      <c r="BR142" s="50"/>
      <c r="BS142" s="49"/>
      <c r="BT142" s="50"/>
      <c r="BU142" s="49"/>
    </row>
    <row r="143" spans="1:73" x14ac:dyDescent="0.25">
      <c r="A143" s="65" t="s">
        <v>280</v>
      </c>
      <c r="B143" s="65" t="s">
        <v>330</v>
      </c>
      <c r="C143" s="66" t="s">
        <v>10074</v>
      </c>
      <c r="D143" s="67">
        <v>6.5</v>
      </c>
      <c r="E143" s="68" t="s">
        <v>132</v>
      </c>
      <c r="F143" s="69">
        <v>23.5</v>
      </c>
      <c r="G143" s="66"/>
      <c r="H143" s="70"/>
      <c r="I143" s="71"/>
      <c r="J143" s="71"/>
      <c r="K143" s="35" t="s">
        <v>65</v>
      </c>
      <c r="L143" s="79">
        <v>143</v>
      </c>
      <c r="M143" s="79"/>
      <c r="N143" s="73"/>
      <c r="O143" s="81" t="s">
        <v>367</v>
      </c>
      <c r="P143" s="83">
        <v>45222.637326388889</v>
      </c>
      <c r="Q143" s="81" t="s">
        <v>432</v>
      </c>
      <c r="R143" s="81">
        <v>10</v>
      </c>
      <c r="S143" s="81">
        <v>14</v>
      </c>
      <c r="T143" s="81">
        <v>0</v>
      </c>
      <c r="U143" s="81">
        <v>2</v>
      </c>
      <c r="V143" s="81">
        <v>1621</v>
      </c>
      <c r="W143" s="84" t="s">
        <v>490</v>
      </c>
      <c r="X143" s="86" t="str">
        <f>HYPERLINK("https://bostonu.zoom.us/meeting/register/tJAkc-Gsqj8qGNfbayeDGxjSAisWKFmTXJAs")</f>
        <v>https://bostonu.zoom.us/meeting/register/tJAkc-Gsqj8qGNfbayeDGxjSAisWKFmTXJAs</v>
      </c>
      <c r="Y143" s="81" t="s">
        <v>502</v>
      </c>
      <c r="Z143" s="81" t="s">
        <v>541</v>
      </c>
      <c r="AA143" s="81" t="s">
        <v>568</v>
      </c>
      <c r="AB143" s="81" t="s">
        <v>575</v>
      </c>
      <c r="AC143" s="84" t="s">
        <v>582</v>
      </c>
      <c r="AD143" s="81" t="s">
        <v>588</v>
      </c>
      <c r="AE143" s="86" t="str">
        <f>HYPERLINK("https://twitter.com/csgeaejmc/status/1716473993249645024")</f>
        <v>https://twitter.com/csgeaejmc/status/1716473993249645024</v>
      </c>
      <c r="AF143" s="83">
        <v>45222.637326388889</v>
      </c>
      <c r="AG143" s="89">
        <v>45222</v>
      </c>
      <c r="AH143" s="84" t="s">
        <v>666</v>
      </c>
      <c r="AI143" s="81" t="b">
        <v>0</v>
      </c>
      <c r="AJ143" s="81"/>
      <c r="AK143" s="81"/>
      <c r="AL143" s="81"/>
      <c r="AM143" s="81"/>
      <c r="AN143" s="81"/>
      <c r="AO143" s="81"/>
      <c r="AP143" s="81"/>
      <c r="AQ143" s="81" t="s">
        <v>737</v>
      </c>
      <c r="AR143" s="81"/>
      <c r="AS143" s="81"/>
      <c r="AT143" s="81"/>
      <c r="AU143" s="81"/>
      <c r="AV143" s="86" t="str">
        <f>HYPERLINK("https://pbs.twimg.com/media/F9IjUUkXAAAIObs.png")</f>
        <v>https://pbs.twimg.com/media/F9IjUUkXAAAIObs.png</v>
      </c>
      <c r="AW143" s="84" t="s">
        <v>820</v>
      </c>
      <c r="AX143" s="84" t="s">
        <v>820</v>
      </c>
      <c r="AY143" s="81"/>
      <c r="AZ143" s="84" t="s">
        <v>879</v>
      </c>
      <c r="BA143" s="84" t="s">
        <v>879</v>
      </c>
      <c r="BB143" s="84" t="s">
        <v>879</v>
      </c>
      <c r="BC143" s="84" t="s">
        <v>820</v>
      </c>
      <c r="BD143" s="84" t="s">
        <v>890</v>
      </c>
      <c r="BE143" s="81"/>
      <c r="BF143" s="81"/>
      <c r="BG143" s="81"/>
      <c r="BH143" s="81"/>
      <c r="BI143" s="81"/>
      <c r="BJ143">
        <v>2</v>
      </c>
      <c r="BK143" s="80" t="str">
        <f>REPLACE(INDEX(GroupVertices[Group], MATCH("~"&amp;Edges[[#This Row],[Vertex 1]],GroupVertices[Vertex],0)),1,1,"")</f>
        <v>4</v>
      </c>
      <c r="BL143" s="80" t="str">
        <f>REPLACE(INDEX(GroupVertices[Group], MATCH("~"&amp;Edges[[#This Row],[Vertex 2]],GroupVertices[Vertex],0)),1,1,"")</f>
        <v>4</v>
      </c>
      <c r="BM143" s="49"/>
      <c r="BN143" s="50"/>
      <c r="BO143" s="49"/>
      <c r="BP143" s="50"/>
      <c r="BQ143" s="49"/>
      <c r="BR143" s="50"/>
      <c r="BS143" s="49"/>
      <c r="BT143" s="50"/>
      <c r="BU143" s="49"/>
    </row>
    <row r="144" spans="1:73" x14ac:dyDescent="0.25">
      <c r="A144" s="65" t="s">
        <v>280</v>
      </c>
      <c r="B144" s="65" t="s">
        <v>330</v>
      </c>
      <c r="C144" s="66" t="s">
        <v>10074</v>
      </c>
      <c r="D144" s="67">
        <v>6.5</v>
      </c>
      <c r="E144" s="68" t="s">
        <v>132</v>
      </c>
      <c r="F144" s="69">
        <v>23.5</v>
      </c>
      <c r="G144" s="66"/>
      <c r="H144" s="70"/>
      <c r="I144" s="71"/>
      <c r="J144" s="71"/>
      <c r="K144" s="35" t="s">
        <v>65</v>
      </c>
      <c r="L144" s="79">
        <v>144</v>
      </c>
      <c r="M144" s="79"/>
      <c r="N144" s="73"/>
      <c r="O144" s="81" t="s">
        <v>367</v>
      </c>
      <c r="P144" s="83">
        <v>45233.799398148149</v>
      </c>
      <c r="Q144" s="81" t="s">
        <v>433</v>
      </c>
      <c r="R144" s="81">
        <v>4</v>
      </c>
      <c r="S144" s="81">
        <v>5</v>
      </c>
      <c r="T144" s="81">
        <v>0</v>
      </c>
      <c r="U144" s="81">
        <v>2</v>
      </c>
      <c r="V144" s="81">
        <v>1602</v>
      </c>
      <c r="W144" s="84" t="s">
        <v>490</v>
      </c>
      <c r="X144" s="86" t="str">
        <f>HYPERLINK("https://bostonu.zoom.us/meeting/register/tJAkc-Gsqj8qGNfbayeDGxjSAisWKFmTXJAs")</f>
        <v>https://bostonu.zoom.us/meeting/register/tJAkc-Gsqj8qGNfbayeDGxjSAisWKFmTXJAs</v>
      </c>
      <c r="Y144" s="81" t="s">
        <v>502</v>
      </c>
      <c r="Z144" s="81" t="s">
        <v>541</v>
      </c>
      <c r="AA144" s="81" t="s">
        <v>569</v>
      </c>
      <c r="AB144" s="81" t="s">
        <v>577</v>
      </c>
      <c r="AC144" s="84" t="s">
        <v>582</v>
      </c>
      <c r="AD144" s="81" t="s">
        <v>588</v>
      </c>
      <c r="AE144" s="86" t="str">
        <f>HYPERLINK("https://twitter.com/csgeaejmc/status/1720518995030556846")</f>
        <v>https://twitter.com/csgeaejmc/status/1720518995030556846</v>
      </c>
      <c r="AF144" s="83">
        <v>45233.799398148149</v>
      </c>
      <c r="AG144" s="89">
        <v>45233</v>
      </c>
      <c r="AH144" s="84" t="s">
        <v>667</v>
      </c>
      <c r="AI144" s="81" t="b">
        <v>0</v>
      </c>
      <c r="AJ144" s="81"/>
      <c r="AK144" s="81"/>
      <c r="AL144" s="81"/>
      <c r="AM144" s="81"/>
      <c r="AN144" s="81"/>
      <c r="AO144" s="81"/>
      <c r="AP144" s="81"/>
      <c r="AQ144" s="81" t="s">
        <v>738</v>
      </c>
      <c r="AR144" s="81"/>
      <c r="AS144" s="81"/>
      <c r="AT144" s="81"/>
      <c r="AU144" s="81"/>
      <c r="AV144" s="86" t="str">
        <f>HYPERLINK("https://pbs.twimg.com/tweet_video_thumb/F-CC553agAAW9bb.jpg")</f>
        <v>https://pbs.twimg.com/tweet_video_thumb/F-CC553agAAW9bb.jpg</v>
      </c>
      <c r="AW144" s="84" t="s">
        <v>821</v>
      </c>
      <c r="AX144" s="84" t="s">
        <v>821</v>
      </c>
      <c r="AY144" s="81"/>
      <c r="AZ144" s="84" t="s">
        <v>879</v>
      </c>
      <c r="BA144" s="84" t="s">
        <v>879</v>
      </c>
      <c r="BB144" s="84" t="s">
        <v>879</v>
      </c>
      <c r="BC144" s="84" t="s">
        <v>821</v>
      </c>
      <c r="BD144" s="84" t="s">
        <v>890</v>
      </c>
      <c r="BE144" s="81"/>
      <c r="BF144" s="81"/>
      <c r="BG144" s="81"/>
      <c r="BH144" s="81"/>
      <c r="BI144" s="81"/>
      <c r="BJ144">
        <v>2</v>
      </c>
      <c r="BK144" s="80" t="str">
        <f>REPLACE(INDEX(GroupVertices[Group], MATCH("~"&amp;Edges[[#This Row],[Vertex 1]],GroupVertices[Vertex],0)),1,1,"")</f>
        <v>4</v>
      </c>
      <c r="BL144" s="80" t="str">
        <f>REPLACE(INDEX(GroupVertices[Group], MATCH("~"&amp;Edges[[#This Row],[Vertex 2]],GroupVertices[Vertex],0)),1,1,"")</f>
        <v>4</v>
      </c>
      <c r="BM144" s="49"/>
      <c r="BN144" s="50"/>
      <c r="BO144" s="49"/>
      <c r="BP144" s="50"/>
      <c r="BQ144" s="49"/>
      <c r="BR144" s="50"/>
      <c r="BS144" s="49"/>
      <c r="BT144" s="50"/>
      <c r="BU144" s="49"/>
    </row>
    <row r="145" spans="1:73" x14ac:dyDescent="0.25">
      <c r="A145" s="65" t="s">
        <v>280</v>
      </c>
      <c r="B145" s="65" t="s">
        <v>331</v>
      </c>
      <c r="C145" s="66" t="s">
        <v>10074</v>
      </c>
      <c r="D145" s="67">
        <v>6.5</v>
      </c>
      <c r="E145" s="68" t="s">
        <v>132</v>
      </c>
      <c r="F145" s="69">
        <v>23.5</v>
      </c>
      <c r="G145" s="66"/>
      <c r="H145" s="70"/>
      <c r="I145" s="71"/>
      <c r="J145" s="71"/>
      <c r="K145" s="35" t="s">
        <v>65</v>
      </c>
      <c r="L145" s="79">
        <v>145</v>
      </c>
      <c r="M145" s="79"/>
      <c r="N145" s="73"/>
      <c r="O145" s="81" t="s">
        <v>367</v>
      </c>
      <c r="P145" s="83">
        <v>45222.637326388889</v>
      </c>
      <c r="Q145" s="81" t="s">
        <v>432</v>
      </c>
      <c r="R145" s="81">
        <v>10</v>
      </c>
      <c r="S145" s="81">
        <v>14</v>
      </c>
      <c r="T145" s="81">
        <v>0</v>
      </c>
      <c r="U145" s="81">
        <v>2</v>
      </c>
      <c r="V145" s="81">
        <v>1621</v>
      </c>
      <c r="W145" s="84" t="s">
        <v>490</v>
      </c>
      <c r="X145" s="86" t="str">
        <f>HYPERLINK("https://bostonu.zoom.us/meeting/register/tJAkc-Gsqj8qGNfbayeDGxjSAisWKFmTXJAs")</f>
        <v>https://bostonu.zoom.us/meeting/register/tJAkc-Gsqj8qGNfbayeDGxjSAisWKFmTXJAs</v>
      </c>
      <c r="Y145" s="81" t="s">
        <v>502</v>
      </c>
      <c r="Z145" s="81" t="s">
        <v>541</v>
      </c>
      <c r="AA145" s="81" t="s">
        <v>568</v>
      </c>
      <c r="AB145" s="81" t="s">
        <v>575</v>
      </c>
      <c r="AC145" s="84" t="s">
        <v>582</v>
      </c>
      <c r="AD145" s="81" t="s">
        <v>588</v>
      </c>
      <c r="AE145" s="86" t="str">
        <f>HYPERLINK("https://twitter.com/csgeaejmc/status/1716473993249645024")</f>
        <v>https://twitter.com/csgeaejmc/status/1716473993249645024</v>
      </c>
      <c r="AF145" s="83">
        <v>45222.637326388889</v>
      </c>
      <c r="AG145" s="89">
        <v>45222</v>
      </c>
      <c r="AH145" s="84" t="s">
        <v>666</v>
      </c>
      <c r="AI145" s="81" t="b">
        <v>0</v>
      </c>
      <c r="AJ145" s="81"/>
      <c r="AK145" s="81"/>
      <c r="AL145" s="81"/>
      <c r="AM145" s="81"/>
      <c r="AN145" s="81"/>
      <c r="AO145" s="81"/>
      <c r="AP145" s="81"/>
      <c r="AQ145" s="81" t="s">
        <v>737</v>
      </c>
      <c r="AR145" s="81"/>
      <c r="AS145" s="81"/>
      <c r="AT145" s="81"/>
      <c r="AU145" s="81"/>
      <c r="AV145" s="86" t="str">
        <f>HYPERLINK("https://pbs.twimg.com/media/F9IjUUkXAAAIObs.png")</f>
        <v>https://pbs.twimg.com/media/F9IjUUkXAAAIObs.png</v>
      </c>
      <c r="AW145" s="84" t="s">
        <v>820</v>
      </c>
      <c r="AX145" s="84" t="s">
        <v>820</v>
      </c>
      <c r="AY145" s="81"/>
      <c r="AZ145" s="84" t="s">
        <v>879</v>
      </c>
      <c r="BA145" s="84" t="s">
        <v>879</v>
      </c>
      <c r="BB145" s="84" t="s">
        <v>879</v>
      </c>
      <c r="BC145" s="84" t="s">
        <v>820</v>
      </c>
      <c r="BD145" s="84" t="s">
        <v>890</v>
      </c>
      <c r="BE145" s="81"/>
      <c r="BF145" s="81"/>
      <c r="BG145" s="81"/>
      <c r="BH145" s="81"/>
      <c r="BI145" s="81"/>
      <c r="BJ145">
        <v>2</v>
      </c>
      <c r="BK145" s="80" t="str">
        <f>REPLACE(INDEX(GroupVertices[Group], MATCH("~"&amp;Edges[[#This Row],[Vertex 1]],GroupVertices[Vertex],0)),1,1,"")</f>
        <v>4</v>
      </c>
      <c r="BL145" s="80" t="str">
        <f>REPLACE(INDEX(GroupVertices[Group], MATCH("~"&amp;Edges[[#This Row],[Vertex 2]],GroupVertices[Vertex],0)),1,1,"")</f>
        <v>4</v>
      </c>
      <c r="BM145" s="49"/>
      <c r="BN145" s="50"/>
      <c r="BO145" s="49"/>
      <c r="BP145" s="50"/>
      <c r="BQ145" s="49"/>
      <c r="BR145" s="50"/>
      <c r="BS145" s="49"/>
      <c r="BT145" s="50"/>
      <c r="BU145" s="49"/>
    </row>
    <row r="146" spans="1:73" x14ac:dyDescent="0.25">
      <c r="A146" s="65" t="s">
        <v>280</v>
      </c>
      <c r="B146" s="65" t="s">
        <v>331</v>
      </c>
      <c r="C146" s="66" t="s">
        <v>10074</v>
      </c>
      <c r="D146" s="67">
        <v>6.5</v>
      </c>
      <c r="E146" s="68" t="s">
        <v>132</v>
      </c>
      <c r="F146" s="69">
        <v>23.5</v>
      </c>
      <c r="G146" s="66"/>
      <c r="H146" s="70"/>
      <c r="I146" s="71"/>
      <c r="J146" s="71"/>
      <c r="K146" s="35" t="s">
        <v>65</v>
      </c>
      <c r="L146" s="79">
        <v>146</v>
      </c>
      <c r="M146" s="79"/>
      <c r="N146" s="73"/>
      <c r="O146" s="81" t="s">
        <v>367</v>
      </c>
      <c r="P146" s="83">
        <v>45233.799398148149</v>
      </c>
      <c r="Q146" s="81" t="s">
        <v>433</v>
      </c>
      <c r="R146" s="81">
        <v>4</v>
      </c>
      <c r="S146" s="81">
        <v>5</v>
      </c>
      <c r="T146" s="81">
        <v>0</v>
      </c>
      <c r="U146" s="81">
        <v>2</v>
      </c>
      <c r="V146" s="81">
        <v>1602</v>
      </c>
      <c r="W146" s="84" t="s">
        <v>490</v>
      </c>
      <c r="X146" s="86" t="str">
        <f>HYPERLINK("https://bostonu.zoom.us/meeting/register/tJAkc-Gsqj8qGNfbayeDGxjSAisWKFmTXJAs")</f>
        <v>https://bostonu.zoom.us/meeting/register/tJAkc-Gsqj8qGNfbayeDGxjSAisWKFmTXJAs</v>
      </c>
      <c r="Y146" s="81" t="s">
        <v>502</v>
      </c>
      <c r="Z146" s="81" t="s">
        <v>541</v>
      </c>
      <c r="AA146" s="81" t="s">
        <v>569</v>
      </c>
      <c r="AB146" s="81" t="s">
        <v>577</v>
      </c>
      <c r="AC146" s="84" t="s">
        <v>582</v>
      </c>
      <c r="AD146" s="81" t="s">
        <v>588</v>
      </c>
      <c r="AE146" s="86" t="str">
        <f>HYPERLINK("https://twitter.com/csgeaejmc/status/1720518995030556846")</f>
        <v>https://twitter.com/csgeaejmc/status/1720518995030556846</v>
      </c>
      <c r="AF146" s="83">
        <v>45233.799398148149</v>
      </c>
      <c r="AG146" s="89">
        <v>45233</v>
      </c>
      <c r="AH146" s="84" t="s">
        <v>667</v>
      </c>
      <c r="AI146" s="81" t="b">
        <v>0</v>
      </c>
      <c r="AJ146" s="81"/>
      <c r="AK146" s="81"/>
      <c r="AL146" s="81"/>
      <c r="AM146" s="81"/>
      <c r="AN146" s="81"/>
      <c r="AO146" s="81"/>
      <c r="AP146" s="81"/>
      <c r="AQ146" s="81" t="s">
        <v>738</v>
      </c>
      <c r="AR146" s="81"/>
      <c r="AS146" s="81"/>
      <c r="AT146" s="81"/>
      <c r="AU146" s="81"/>
      <c r="AV146" s="86" t="str">
        <f>HYPERLINK("https://pbs.twimg.com/tweet_video_thumb/F-CC553agAAW9bb.jpg")</f>
        <v>https://pbs.twimg.com/tweet_video_thumb/F-CC553agAAW9bb.jpg</v>
      </c>
      <c r="AW146" s="84" t="s">
        <v>821</v>
      </c>
      <c r="AX146" s="84" t="s">
        <v>821</v>
      </c>
      <c r="AY146" s="81"/>
      <c r="AZ146" s="84" t="s">
        <v>879</v>
      </c>
      <c r="BA146" s="84" t="s">
        <v>879</v>
      </c>
      <c r="BB146" s="84" t="s">
        <v>879</v>
      </c>
      <c r="BC146" s="84" t="s">
        <v>821</v>
      </c>
      <c r="BD146" s="84" t="s">
        <v>890</v>
      </c>
      <c r="BE146" s="81"/>
      <c r="BF146" s="81"/>
      <c r="BG146" s="81"/>
      <c r="BH146" s="81"/>
      <c r="BI146" s="81"/>
      <c r="BJ146">
        <v>2</v>
      </c>
      <c r="BK146" s="80" t="str">
        <f>REPLACE(INDEX(GroupVertices[Group], MATCH("~"&amp;Edges[[#This Row],[Vertex 1]],GroupVertices[Vertex],0)),1,1,"")</f>
        <v>4</v>
      </c>
      <c r="BL146" s="80" t="str">
        <f>REPLACE(INDEX(GroupVertices[Group], MATCH("~"&amp;Edges[[#This Row],[Vertex 2]],GroupVertices[Vertex],0)),1,1,"")</f>
        <v>4</v>
      </c>
      <c r="BM146" s="49"/>
      <c r="BN146" s="50"/>
      <c r="BO146" s="49"/>
      <c r="BP146" s="50"/>
      <c r="BQ146" s="49"/>
      <c r="BR146" s="50"/>
      <c r="BS146" s="49"/>
      <c r="BT146" s="50"/>
      <c r="BU146" s="49"/>
    </row>
    <row r="147" spans="1:73" x14ac:dyDescent="0.25">
      <c r="A147" s="65" t="s">
        <v>280</v>
      </c>
      <c r="B147" s="65" t="s">
        <v>332</v>
      </c>
      <c r="C147" s="66" t="s">
        <v>10074</v>
      </c>
      <c r="D147" s="67">
        <v>6.5</v>
      </c>
      <c r="E147" s="68" t="s">
        <v>132</v>
      </c>
      <c r="F147" s="69">
        <v>23.5</v>
      </c>
      <c r="G147" s="66"/>
      <c r="H147" s="70"/>
      <c r="I147" s="71"/>
      <c r="J147" s="71"/>
      <c r="K147" s="35" t="s">
        <v>65</v>
      </c>
      <c r="L147" s="79">
        <v>147</v>
      </c>
      <c r="M147" s="79"/>
      <c r="N147" s="73"/>
      <c r="O147" s="81" t="s">
        <v>367</v>
      </c>
      <c r="P147" s="83">
        <v>45222.637326388889</v>
      </c>
      <c r="Q147" s="81" t="s">
        <v>432</v>
      </c>
      <c r="R147" s="81">
        <v>10</v>
      </c>
      <c r="S147" s="81">
        <v>14</v>
      </c>
      <c r="T147" s="81">
        <v>0</v>
      </c>
      <c r="U147" s="81">
        <v>2</v>
      </c>
      <c r="V147" s="81">
        <v>1621</v>
      </c>
      <c r="W147" s="84" t="s">
        <v>490</v>
      </c>
      <c r="X147" s="86" t="str">
        <f>HYPERLINK("https://bostonu.zoom.us/meeting/register/tJAkc-Gsqj8qGNfbayeDGxjSAisWKFmTXJAs")</f>
        <v>https://bostonu.zoom.us/meeting/register/tJAkc-Gsqj8qGNfbayeDGxjSAisWKFmTXJAs</v>
      </c>
      <c r="Y147" s="81" t="s">
        <v>502</v>
      </c>
      <c r="Z147" s="81" t="s">
        <v>541</v>
      </c>
      <c r="AA147" s="81" t="s">
        <v>568</v>
      </c>
      <c r="AB147" s="81" t="s">
        <v>575</v>
      </c>
      <c r="AC147" s="84" t="s">
        <v>582</v>
      </c>
      <c r="AD147" s="81" t="s">
        <v>588</v>
      </c>
      <c r="AE147" s="86" t="str">
        <f>HYPERLINK("https://twitter.com/csgeaejmc/status/1716473993249645024")</f>
        <v>https://twitter.com/csgeaejmc/status/1716473993249645024</v>
      </c>
      <c r="AF147" s="83">
        <v>45222.637326388889</v>
      </c>
      <c r="AG147" s="89">
        <v>45222</v>
      </c>
      <c r="AH147" s="84" t="s">
        <v>666</v>
      </c>
      <c r="AI147" s="81" t="b">
        <v>0</v>
      </c>
      <c r="AJ147" s="81"/>
      <c r="AK147" s="81"/>
      <c r="AL147" s="81"/>
      <c r="AM147" s="81"/>
      <c r="AN147" s="81"/>
      <c r="AO147" s="81"/>
      <c r="AP147" s="81"/>
      <c r="AQ147" s="81" t="s">
        <v>737</v>
      </c>
      <c r="AR147" s="81"/>
      <c r="AS147" s="81"/>
      <c r="AT147" s="81"/>
      <c r="AU147" s="81"/>
      <c r="AV147" s="86" t="str">
        <f>HYPERLINK("https://pbs.twimg.com/media/F9IjUUkXAAAIObs.png")</f>
        <v>https://pbs.twimg.com/media/F9IjUUkXAAAIObs.png</v>
      </c>
      <c r="AW147" s="84" t="s">
        <v>820</v>
      </c>
      <c r="AX147" s="84" t="s">
        <v>820</v>
      </c>
      <c r="AY147" s="81"/>
      <c r="AZ147" s="84" t="s">
        <v>879</v>
      </c>
      <c r="BA147" s="84" t="s">
        <v>879</v>
      </c>
      <c r="BB147" s="84" t="s">
        <v>879</v>
      </c>
      <c r="BC147" s="84" t="s">
        <v>820</v>
      </c>
      <c r="BD147" s="84" t="s">
        <v>890</v>
      </c>
      <c r="BE147" s="81"/>
      <c r="BF147" s="81"/>
      <c r="BG147" s="81"/>
      <c r="BH147" s="81"/>
      <c r="BI147" s="81"/>
      <c r="BJ147">
        <v>2</v>
      </c>
      <c r="BK147" s="80" t="str">
        <f>REPLACE(INDEX(GroupVertices[Group], MATCH("~"&amp;Edges[[#This Row],[Vertex 1]],GroupVertices[Vertex],0)),1,1,"")</f>
        <v>4</v>
      </c>
      <c r="BL147" s="80" t="str">
        <f>REPLACE(INDEX(GroupVertices[Group], MATCH("~"&amp;Edges[[#This Row],[Vertex 2]],GroupVertices[Vertex],0)),1,1,"")</f>
        <v>4</v>
      </c>
      <c r="BM147" s="49"/>
      <c r="BN147" s="50"/>
      <c r="BO147" s="49"/>
      <c r="BP147" s="50"/>
      <c r="BQ147" s="49"/>
      <c r="BR147" s="50"/>
      <c r="BS147" s="49"/>
      <c r="BT147" s="50"/>
      <c r="BU147" s="49"/>
    </row>
    <row r="148" spans="1:73" x14ac:dyDescent="0.25">
      <c r="A148" s="65" t="s">
        <v>280</v>
      </c>
      <c r="B148" s="65" t="s">
        <v>332</v>
      </c>
      <c r="C148" s="66" t="s">
        <v>10074</v>
      </c>
      <c r="D148" s="67">
        <v>6.5</v>
      </c>
      <c r="E148" s="68" t="s">
        <v>132</v>
      </c>
      <c r="F148" s="69">
        <v>23.5</v>
      </c>
      <c r="G148" s="66"/>
      <c r="H148" s="70"/>
      <c r="I148" s="71"/>
      <c r="J148" s="71"/>
      <c r="K148" s="35" t="s">
        <v>65</v>
      </c>
      <c r="L148" s="79">
        <v>148</v>
      </c>
      <c r="M148" s="79"/>
      <c r="N148" s="73"/>
      <c r="O148" s="81" t="s">
        <v>367</v>
      </c>
      <c r="P148" s="83">
        <v>45233.799398148149</v>
      </c>
      <c r="Q148" s="81" t="s">
        <v>433</v>
      </c>
      <c r="R148" s="81">
        <v>4</v>
      </c>
      <c r="S148" s="81">
        <v>5</v>
      </c>
      <c r="T148" s="81">
        <v>0</v>
      </c>
      <c r="U148" s="81">
        <v>2</v>
      </c>
      <c r="V148" s="81">
        <v>1602</v>
      </c>
      <c r="W148" s="84" t="s">
        <v>490</v>
      </c>
      <c r="X148" s="86" t="str">
        <f>HYPERLINK("https://bostonu.zoom.us/meeting/register/tJAkc-Gsqj8qGNfbayeDGxjSAisWKFmTXJAs")</f>
        <v>https://bostonu.zoom.us/meeting/register/tJAkc-Gsqj8qGNfbayeDGxjSAisWKFmTXJAs</v>
      </c>
      <c r="Y148" s="81" t="s">
        <v>502</v>
      </c>
      <c r="Z148" s="81" t="s">
        <v>541</v>
      </c>
      <c r="AA148" s="81" t="s">
        <v>569</v>
      </c>
      <c r="AB148" s="81" t="s">
        <v>577</v>
      </c>
      <c r="AC148" s="84" t="s">
        <v>582</v>
      </c>
      <c r="AD148" s="81" t="s">
        <v>588</v>
      </c>
      <c r="AE148" s="86" t="str">
        <f>HYPERLINK("https://twitter.com/csgeaejmc/status/1720518995030556846")</f>
        <v>https://twitter.com/csgeaejmc/status/1720518995030556846</v>
      </c>
      <c r="AF148" s="83">
        <v>45233.799398148149</v>
      </c>
      <c r="AG148" s="89">
        <v>45233</v>
      </c>
      <c r="AH148" s="84" t="s">
        <v>667</v>
      </c>
      <c r="AI148" s="81" t="b">
        <v>0</v>
      </c>
      <c r="AJ148" s="81"/>
      <c r="AK148" s="81"/>
      <c r="AL148" s="81"/>
      <c r="AM148" s="81"/>
      <c r="AN148" s="81"/>
      <c r="AO148" s="81"/>
      <c r="AP148" s="81"/>
      <c r="AQ148" s="81" t="s">
        <v>738</v>
      </c>
      <c r="AR148" s="81"/>
      <c r="AS148" s="81"/>
      <c r="AT148" s="81"/>
      <c r="AU148" s="81"/>
      <c r="AV148" s="86" t="str">
        <f>HYPERLINK("https://pbs.twimg.com/tweet_video_thumb/F-CC553agAAW9bb.jpg")</f>
        <v>https://pbs.twimg.com/tweet_video_thumb/F-CC553agAAW9bb.jpg</v>
      </c>
      <c r="AW148" s="84" t="s">
        <v>821</v>
      </c>
      <c r="AX148" s="84" t="s">
        <v>821</v>
      </c>
      <c r="AY148" s="81"/>
      <c r="AZ148" s="84" t="s">
        <v>879</v>
      </c>
      <c r="BA148" s="84" t="s">
        <v>879</v>
      </c>
      <c r="BB148" s="84" t="s">
        <v>879</v>
      </c>
      <c r="BC148" s="84" t="s">
        <v>821</v>
      </c>
      <c r="BD148" s="84" t="s">
        <v>890</v>
      </c>
      <c r="BE148" s="81"/>
      <c r="BF148" s="81"/>
      <c r="BG148" s="81"/>
      <c r="BH148" s="81"/>
      <c r="BI148" s="81"/>
      <c r="BJ148">
        <v>2</v>
      </c>
      <c r="BK148" s="80" t="str">
        <f>REPLACE(INDEX(GroupVertices[Group], MATCH("~"&amp;Edges[[#This Row],[Vertex 1]],GroupVertices[Vertex],0)),1,1,"")</f>
        <v>4</v>
      </c>
      <c r="BL148" s="80" t="str">
        <f>REPLACE(INDEX(GroupVertices[Group], MATCH("~"&amp;Edges[[#This Row],[Vertex 2]],GroupVertices[Vertex],0)),1,1,"")</f>
        <v>4</v>
      </c>
      <c r="BM148" s="49"/>
      <c r="BN148" s="50"/>
      <c r="BO148" s="49"/>
      <c r="BP148" s="50"/>
      <c r="BQ148" s="49"/>
      <c r="BR148" s="50"/>
      <c r="BS148" s="49"/>
      <c r="BT148" s="50"/>
      <c r="BU148" s="49"/>
    </row>
    <row r="149" spans="1:73" x14ac:dyDescent="0.25">
      <c r="A149" s="65" t="s">
        <v>280</v>
      </c>
      <c r="B149" s="65" t="s">
        <v>333</v>
      </c>
      <c r="C149" s="66" t="s">
        <v>10074</v>
      </c>
      <c r="D149" s="67">
        <v>6.5</v>
      </c>
      <c r="E149" s="68" t="s">
        <v>132</v>
      </c>
      <c r="F149" s="69">
        <v>23.5</v>
      </c>
      <c r="G149" s="66"/>
      <c r="H149" s="70"/>
      <c r="I149" s="71"/>
      <c r="J149" s="71"/>
      <c r="K149" s="35" t="s">
        <v>65</v>
      </c>
      <c r="L149" s="79">
        <v>149</v>
      </c>
      <c r="M149" s="79"/>
      <c r="N149" s="73"/>
      <c r="O149" s="81" t="s">
        <v>367</v>
      </c>
      <c r="P149" s="83">
        <v>45222.637326388889</v>
      </c>
      <c r="Q149" s="81" t="s">
        <v>432</v>
      </c>
      <c r="R149" s="81">
        <v>10</v>
      </c>
      <c r="S149" s="81">
        <v>14</v>
      </c>
      <c r="T149" s="81">
        <v>0</v>
      </c>
      <c r="U149" s="81">
        <v>2</v>
      </c>
      <c r="V149" s="81">
        <v>1621</v>
      </c>
      <c r="W149" s="84" t="s">
        <v>490</v>
      </c>
      <c r="X149" s="86" t="str">
        <f>HYPERLINK("https://bostonu.zoom.us/meeting/register/tJAkc-Gsqj8qGNfbayeDGxjSAisWKFmTXJAs")</f>
        <v>https://bostonu.zoom.us/meeting/register/tJAkc-Gsqj8qGNfbayeDGxjSAisWKFmTXJAs</v>
      </c>
      <c r="Y149" s="81" t="s">
        <v>502</v>
      </c>
      <c r="Z149" s="81" t="s">
        <v>541</v>
      </c>
      <c r="AA149" s="81" t="s">
        <v>568</v>
      </c>
      <c r="AB149" s="81" t="s">
        <v>575</v>
      </c>
      <c r="AC149" s="84" t="s">
        <v>582</v>
      </c>
      <c r="AD149" s="81" t="s">
        <v>588</v>
      </c>
      <c r="AE149" s="86" t="str">
        <f>HYPERLINK("https://twitter.com/csgeaejmc/status/1716473993249645024")</f>
        <v>https://twitter.com/csgeaejmc/status/1716473993249645024</v>
      </c>
      <c r="AF149" s="83">
        <v>45222.637326388889</v>
      </c>
      <c r="AG149" s="89">
        <v>45222</v>
      </c>
      <c r="AH149" s="84" t="s">
        <v>666</v>
      </c>
      <c r="AI149" s="81" t="b">
        <v>0</v>
      </c>
      <c r="AJ149" s="81"/>
      <c r="AK149" s="81"/>
      <c r="AL149" s="81"/>
      <c r="AM149" s="81"/>
      <c r="AN149" s="81"/>
      <c r="AO149" s="81"/>
      <c r="AP149" s="81"/>
      <c r="AQ149" s="81" t="s">
        <v>737</v>
      </c>
      <c r="AR149" s="81"/>
      <c r="AS149" s="81"/>
      <c r="AT149" s="81"/>
      <c r="AU149" s="81"/>
      <c r="AV149" s="86" t="str">
        <f>HYPERLINK("https://pbs.twimg.com/media/F9IjUUkXAAAIObs.png")</f>
        <v>https://pbs.twimg.com/media/F9IjUUkXAAAIObs.png</v>
      </c>
      <c r="AW149" s="84" t="s">
        <v>820</v>
      </c>
      <c r="AX149" s="84" t="s">
        <v>820</v>
      </c>
      <c r="AY149" s="81"/>
      <c r="AZ149" s="84" t="s">
        <v>879</v>
      </c>
      <c r="BA149" s="84" t="s">
        <v>879</v>
      </c>
      <c r="BB149" s="84" t="s">
        <v>879</v>
      </c>
      <c r="BC149" s="84" t="s">
        <v>820</v>
      </c>
      <c r="BD149" s="84" t="s">
        <v>890</v>
      </c>
      <c r="BE149" s="81"/>
      <c r="BF149" s="81"/>
      <c r="BG149" s="81"/>
      <c r="BH149" s="81"/>
      <c r="BI149" s="81"/>
      <c r="BJ149">
        <v>2</v>
      </c>
      <c r="BK149" s="80" t="str">
        <f>REPLACE(INDEX(GroupVertices[Group], MATCH("~"&amp;Edges[[#This Row],[Vertex 1]],GroupVertices[Vertex],0)),1,1,"")</f>
        <v>4</v>
      </c>
      <c r="BL149" s="80" t="str">
        <f>REPLACE(INDEX(GroupVertices[Group], MATCH("~"&amp;Edges[[#This Row],[Vertex 2]],GroupVertices[Vertex],0)),1,1,"")</f>
        <v>4</v>
      </c>
      <c r="BM149" s="49"/>
      <c r="BN149" s="50"/>
      <c r="BO149" s="49"/>
      <c r="BP149" s="50"/>
      <c r="BQ149" s="49"/>
      <c r="BR149" s="50"/>
      <c r="BS149" s="49"/>
      <c r="BT149" s="50"/>
      <c r="BU149" s="49"/>
    </row>
    <row r="150" spans="1:73" x14ac:dyDescent="0.25">
      <c r="A150" s="65" t="s">
        <v>280</v>
      </c>
      <c r="B150" s="65" t="s">
        <v>333</v>
      </c>
      <c r="C150" s="66" t="s">
        <v>10074</v>
      </c>
      <c r="D150" s="67">
        <v>6.5</v>
      </c>
      <c r="E150" s="68" t="s">
        <v>132</v>
      </c>
      <c r="F150" s="69">
        <v>23.5</v>
      </c>
      <c r="G150" s="66"/>
      <c r="H150" s="70"/>
      <c r="I150" s="71"/>
      <c r="J150" s="71"/>
      <c r="K150" s="35" t="s">
        <v>65</v>
      </c>
      <c r="L150" s="79">
        <v>150</v>
      </c>
      <c r="M150" s="79"/>
      <c r="N150" s="73"/>
      <c r="O150" s="81" t="s">
        <v>367</v>
      </c>
      <c r="P150" s="83">
        <v>45233.799398148149</v>
      </c>
      <c r="Q150" s="81" t="s">
        <v>433</v>
      </c>
      <c r="R150" s="81">
        <v>4</v>
      </c>
      <c r="S150" s="81">
        <v>5</v>
      </c>
      <c r="T150" s="81">
        <v>0</v>
      </c>
      <c r="U150" s="81">
        <v>2</v>
      </c>
      <c r="V150" s="81">
        <v>1602</v>
      </c>
      <c r="W150" s="84" t="s">
        <v>490</v>
      </c>
      <c r="X150" s="86" t="str">
        <f>HYPERLINK("https://bostonu.zoom.us/meeting/register/tJAkc-Gsqj8qGNfbayeDGxjSAisWKFmTXJAs")</f>
        <v>https://bostonu.zoom.us/meeting/register/tJAkc-Gsqj8qGNfbayeDGxjSAisWKFmTXJAs</v>
      </c>
      <c r="Y150" s="81" t="s">
        <v>502</v>
      </c>
      <c r="Z150" s="81" t="s">
        <v>541</v>
      </c>
      <c r="AA150" s="81" t="s">
        <v>569</v>
      </c>
      <c r="AB150" s="81" t="s">
        <v>577</v>
      </c>
      <c r="AC150" s="84" t="s">
        <v>582</v>
      </c>
      <c r="AD150" s="81" t="s">
        <v>588</v>
      </c>
      <c r="AE150" s="86" t="str">
        <f>HYPERLINK("https://twitter.com/csgeaejmc/status/1720518995030556846")</f>
        <v>https://twitter.com/csgeaejmc/status/1720518995030556846</v>
      </c>
      <c r="AF150" s="83">
        <v>45233.799398148149</v>
      </c>
      <c r="AG150" s="89">
        <v>45233</v>
      </c>
      <c r="AH150" s="84" t="s">
        <v>667</v>
      </c>
      <c r="AI150" s="81" t="b">
        <v>0</v>
      </c>
      <c r="AJ150" s="81"/>
      <c r="AK150" s="81"/>
      <c r="AL150" s="81"/>
      <c r="AM150" s="81"/>
      <c r="AN150" s="81"/>
      <c r="AO150" s="81"/>
      <c r="AP150" s="81"/>
      <c r="AQ150" s="81" t="s">
        <v>738</v>
      </c>
      <c r="AR150" s="81"/>
      <c r="AS150" s="81"/>
      <c r="AT150" s="81"/>
      <c r="AU150" s="81"/>
      <c r="AV150" s="86" t="str">
        <f>HYPERLINK("https://pbs.twimg.com/tweet_video_thumb/F-CC553agAAW9bb.jpg")</f>
        <v>https://pbs.twimg.com/tweet_video_thumb/F-CC553agAAW9bb.jpg</v>
      </c>
      <c r="AW150" s="84" t="s">
        <v>821</v>
      </c>
      <c r="AX150" s="84" t="s">
        <v>821</v>
      </c>
      <c r="AY150" s="81"/>
      <c r="AZ150" s="84" t="s">
        <v>879</v>
      </c>
      <c r="BA150" s="84" t="s">
        <v>879</v>
      </c>
      <c r="BB150" s="84" t="s">
        <v>879</v>
      </c>
      <c r="BC150" s="84" t="s">
        <v>821</v>
      </c>
      <c r="BD150" s="84" t="s">
        <v>890</v>
      </c>
      <c r="BE150" s="81"/>
      <c r="BF150" s="81"/>
      <c r="BG150" s="81"/>
      <c r="BH150" s="81"/>
      <c r="BI150" s="81"/>
      <c r="BJ150">
        <v>2</v>
      </c>
      <c r="BK150" s="80" t="str">
        <f>REPLACE(INDEX(GroupVertices[Group], MATCH("~"&amp;Edges[[#This Row],[Vertex 1]],GroupVertices[Vertex],0)),1,1,"")</f>
        <v>4</v>
      </c>
      <c r="BL150" s="80" t="str">
        <f>REPLACE(INDEX(GroupVertices[Group], MATCH("~"&amp;Edges[[#This Row],[Vertex 2]],GroupVertices[Vertex],0)),1,1,"")</f>
        <v>4</v>
      </c>
      <c r="BM150" s="49"/>
      <c r="BN150" s="50"/>
      <c r="BO150" s="49"/>
      <c r="BP150" s="50"/>
      <c r="BQ150" s="49"/>
      <c r="BR150" s="50"/>
      <c r="BS150" s="49"/>
      <c r="BT150" s="50"/>
      <c r="BU150" s="49"/>
    </row>
    <row r="151" spans="1:73" x14ac:dyDescent="0.25">
      <c r="A151" s="65" t="s">
        <v>280</v>
      </c>
      <c r="B151" s="65" t="s">
        <v>334</v>
      </c>
      <c r="C151" s="66" t="s">
        <v>10074</v>
      </c>
      <c r="D151" s="67">
        <v>6.5</v>
      </c>
      <c r="E151" s="68" t="s">
        <v>132</v>
      </c>
      <c r="F151" s="69">
        <v>23.5</v>
      </c>
      <c r="G151" s="66"/>
      <c r="H151" s="70"/>
      <c r="I151" s="71"/>
      <c r="J151" s="71"/>
      <c r="K151" s="35" t="s">
        <v>65</v>
      </c>
      <c r="L151" s="79">
        <v>151</v>
      </c>
      <c r="M151" s="79"/>
      <c r="N151" s="73"/>
      <c r="O151" s="81" t="s">
        <v>367</v>
      </c>
      <c r="P151" s="83">
        <v>45222.637326388889</v>
      </c>
      <c r="Q151" s="81" t="s">
        <v>432</v>
      </c>
      <c r="R151" s="81">
        <v>10</v>
      </c>
      <c r="S151" s="81">
        <v>14</v>
      </c>
      <c r="T151" s="81">
        <v>0</v>
      </c>
      <c r="U151" s="81">
        <v>2</v>
      </c>
      <c r="V151" s="81">
        <v>1621</v>
      </c>
      <c r="W151" s="84" t="s">
        <v>490</v>
      </c>
      <c r="X151" s="86" t="str">
        <f>HYPERLINK("https://bostonu.zoom.us/meeting/register/tJAkc-Gsqj8qGNfbayeDGxjSAisWKFmTXJAs")</f>
        <v>https://bostonu.zoom.us/meeting/register/tJAkc-Gsqj8qGNfbayeDGxjSAisWKFmTXJAs</v>
      </c>
      <c r="Y151" s="81" t="s">
        <v>502</v>
      </c>
      <c r="Z151" s="81" t="s">
        <v>541</v>
      </c>
      <c r="AA151" s="81" t="s">
        <v>568</v>
      </c>
      <c r="AB151" s="81" t="s">
        <v>575</v>
      </c>
      <c r="AC151" s="84" t="s">
        <v>582</v>
      </c>
      <c r="AD151" s="81" t="s">
        <v>588</v>
      </c>
      <c r="AE151" s="86" t="str">
        <f>HYPERLINK("https://twitter.com/csgeaejmc/status/1716473993249645024")</f>
        <v>https://twitter.com/csgeaejmc/status/1716473993249645024</v>
      </c>
      <c r="AF151" s="83">
        <v>45222.637326388889</v>
      </c>
      <c r="AG151" s="89">
        <v>45222</v>
      </c>
      <c r="AH151" s="84" t="s">
        <v>666</v>
      </c>
      <c r="AI151" s="81" t="b">
        <v>0</v>
      </c>
      <c r="AJ151" s="81"/>
      <c r="AK151" s="81"/>
      <c r="AL151" s="81"/>
      <c r="AM151" s="81"/>
      <c r="AN151" s="81"/>
      <c r="AO151" s="81"/>
      <c r="AP151" s="81"/>
      <c r="AQ151" s="81" t="s">
        <v>737</v>
      </c>
      <c r="AR151" s="81"/>
      <c r="AS151" s="81"/>
      <c r="AT151" s="81"/>
      <c r="AU151" s="81"/>
      <c r="AV151" s="86" t="str">
        <f>HYPERLINK("https://pbs.twimg.com/media/F9IjUUkXAAAIObs.png")</f>
        <v>https://pbs.twimg.com/media/F9IjUUkXAAAIObs.png</v>
      </c>
      <c r="AW151" s="84" t="s">
        <v>820</v>
      </c>
      <c r="AX151" s="84" t="s">
        <v>820</v>
      </c>
      <c r="AY151" s="81"/>
      <c r="AZ151" s="84" t="s">
        <v>879</v>
      </c>
      <c r="BA151" s="84" t="s">
        <v>879</v>
      </c>
      <c r="BB151" s="84" t="s">
        <v>879</v>
      </c>
      <c r="BC151" s="84" t="s">
        <v>820</v>
      </c>
      <c r="BD151" s="84" t="s">
        <v>890</v>
      </c>
      <c r="BE151" s="81"/>
      <c r="BF151" s="81"/>
      <c r="BG151" s="81"/>
      <c r="BH151" s="81"/>
      <c r="BI151" s="81"/>
      <c r="BJ151">
        <v>2</v>
      </c>
      <c r="BK151" s="80" t="str">
        <f>REPLACE(INDEX(GroupVertices[Group], MATCH("~"&amp;Edges[[#This Row],[Vertex 1]],GroupVertices[Vertex],0)),1,1,"")</f>
        <v>4</v>
      </c>
      <c r="BL151" s="80" t="str">
        <f>REPLACE(INDEX(GroupVertices[Group], MATCH("~"&amp;Edges[[#This Row],[Vertex 2]],GroupVertices[Vertex],0)),1,1,"")</f>
        <v>4</v>
      </c>
      <c r="BM151" s="49">
        <v>1</v>
      </c>
      <c r="BN151" s="50">
        <v>4.3478260869565215</v>
      </c>
      <c r="BO151" s="49">
        <v>0</v>
      </c>
      <c r="BP151" s="50">
        <v>0</v>
      </c>
      <c r="BQ151" s="49">
        <v>0</v>
      </c>
      <c r="BR151" s="50">
        <v>0</v>
      </c>
      <c r="BS151" s="49">
        <v>15</v>
      </c>
      <c r="BT151" s="50">
        <v>65.217391304347828</v>
      </c>
      <c r="BU151" s="49">
        <v>23</v>
      </c>
    </row>
    <row r="152" spans="1:73" x14ac:dyDescent="0.25">
      <c r="A152" s="65" t="s">
        <v>280</v>
      </c>
      <c r="B152" s="65" t="s">
        <v>334</v>
      </c>
      <c r="C152" s="66" t="s">
        <v>10074</v>
      </c>
      <c r="D152" s="67">
        <v>6.5</v>
      </c>
      <c r="E152" s="68" t="s">
        <v>132</v>
      </c>
      <c r="F152" s="69">
        <v>23.5</v>
      </c>
      <c r="G152" s="66"/>
      <c r="H152" s="70"/>
      <c r="I152" s="71"/>
      <c r="J152" s="71"/>
      <c r="K152" s="35" t="s">
        <v>65</v>
      </c>
      <c r="L152" s="79">
        <v>152</v>
      </c>
      <c r="M152" s="79"/>
      <c r="N152" s="73"/>
      <c r="O152" s="81" t="s">
        <v>367</v>
      </c>
      <c r="P152" s="83">
        <v>45233.799398148149</v>
      </c>
      <c r="Q152" s="81" t="s">
        <v>433</v>
      </c>
      <c r="R152" s="81">
        <v>4</v>
      </c>
      <c r="S152" s="81">
        <v>5</v>
      </c>
      <c r="T152" s="81">
        <v>0</v>
      </c>
      <c r="U152" s="81">
        <v>2</v>
      </c>
      <c r="V152" s="81">
        <v>1602</v>
      </c>
      <c r="W152" s="84" t="s">
        <v>490</v>
      </c>
      <c r="X152" s="86" t="str">
        <f>HYPERLINK("https://bostonu.zoom.us/meeting/register/tJAkc-Gsqj8qGNfbayeDGxjSAisWKFmTXJAs")</f>
        <v>https://bostonu.zoom.us/meeting/register/tJAkc-Gsqj8qGNfbayeDGxjSAisWKFmTXJAs</v>
      </c>
      <c r="Y152" s="81" t="s">
        <v>502</v>
      </c>
      <c r="Z152" s="81" t="s">
        <v>541</v>
      </c>
      <c r="AA152" s="81" t="s">
        <v>569</v>
      </c>
      <c r="AB152" s="81" t="s">
        <v>577</v>
      </c>
      <c r="AC152" s="84" t="s">
        <v>582</v>
      </c>
      <c r="AD152" s="81" t="s">
        <v>588</v>
      </c>
      <c r="AE152" s="86" t="str">
        <f>HYPERLINK("https://twitter.com/csgeaejmc/status/1720518995030556846")</f>
        <v>https://twitter.com/csgeaejmc/status/1720518995030556846</v>
      </c>
      <c r="AF152" s="83">
        <v>45233.799398148149</v>
      </c>
      <c r="AG152" s="89">
        <v>45233</v>
      </c>
      <c r="AH152" s="84" t="s">
        <v>667</v>
      </c>
      <c r="AI152" s="81" t="b">
        <v>0</v>
      </c>
      <c r="AJ152" s="81"/>
      <c r="AK152" s="81"/>
      <c r="AL152" s="81"/>
      <c r="AM152" s="81"/>
      <c r="AN152" s="81"/>
      <c r="AO152" s="81"/>
      <c r="AP152" s="81"/>
      <c r="AQ152" s="81" t="s">
        <v>738</v>
      </c>
      <c r="AR152" s="81"/>
      <c r="AS152" s="81"/>
      <c r="AT152" s="81"/>
      <c r="AU152" s="81"/>
      <c r="AV152" s="86" t="str">
        <f>HYPERLINK("https://pbs.twimg.com/tweet_video_thumb/F-CC553agAAW9bb.jpg")</f>
        <v>https://pbs.twimg.com/tweet_video_thumb/F-CC553agAAW9bb.jpg</v>
      </c>
      <c r="AW152" s="84" t="s">
        <v>821</v>
      </c>
      <c r="AX152" s="84" t="s">
        <v>821</v>
      </c>
      <c r="AY152" s="81"/>
      <c r="AZ152" s="84" t="s">
        <v>879</v>
      </c>
      <c r="BA152" s="84" t="s">
        <v>879</v>
      </c>
      <c r="BB152" s="84" t="s">
        <v>879</v>
      </c>
      <c r="BC152" s="84" t="s">
        <v>821</v>
      </c>
      <c r="BD152" s="84" t="s">
        <v>890</v>
      </c>
      <c r="BE152" s="81"/>
      <c r="BF152" s="81"/>
      <c r="BG152" s="81"/>
      <c r="BH152" s="81"/>
      <c r="BI152" s="81"/>
      <c r="BJ152">
        <v>2</v>
      </c>
      <c r="BK152" s="80" t="str">
        <f>REPLACE(INDEX(GroupVertices[Group], MATCH("~"&amp;Edges[[#This Row],[Vertex 1]],GroupVertices[Vertex],0)),1,1,"")</f>
        <v>4</v>
      </c>
      <c r="BL152" s="80" t="str">
        <f>REPLACE(INDEX(GroupVertices[Group], MATCH("~"&amp;Edges[[#This Row],[Vertex 2]],GroupVertices[Vertex],0)),1,1,"")</f>
        <v>4</v>
      </c>
      <c r="BM152" s="49">
        <v>0</v>
      </c>
      <c r="BN152" s="50">
        <v>0</v>
      </c>
      <c r="BO152" s="49">
        <v>0</v>
      </c>
      <c r="BP152" s="50">
        <v>0</v>
      </c>
      <c r="BQ152" s="49">
        <v>0</v>
      </c>
      <c r="BR152" s="50">
        <v>0</v>
      </c>
      <c r="BS152" s="49">
        <v>19</v>
      </c>
      <c r="BT152" s="50">
        <v>61.29032258064516</v>
      </c>
      <c r="BU152" s="49">
        <v>31</v>
      </c>
    </row>
    <row r="153" spans="1:73" x14ac:dyDescent="0.25">
      <c r="A153" s="65" t="s">
        <v>281</v>
      </c>
      <c r="B153" s="65" t="s">
        <v>322</v>
      </c>
      <c r="C153" s="66" t="s">
        <v>10073</v>
      </c>
      <c r="D153" s="67">
        <v>3</v>
      </c>
      <c r="E153" s="68" t="s">
        <v>132</v>
      </c>
      <c r="F153" s="69">
        <v>35</v>
      </c>
      <c r="G153" s="66"/>
      <c r="H153" s="70"/>
      <c r="I153" s="71"/>
      <c r="J153" s="71"/>
      <c r="K153" s="35" t="s">
        <v>65</v>
      </c>
      <c r="L153" s="79">
        <v>153</v>
      </c>
      <c r="M153" s="79"/>
      <c r="N153" s="73"/>
      <c r="O153" s="81" t="s">
        <v>367</v>
      </c>
      <c r="P153" s="83">
        <v>45226.699976851851</v>
      </c>
      <c r="Q153" s="81" t="s">
        <v>434</v>
      </c>
      <c r="R153" s="81">
        <v>1</v>
      </c>
      <c r="S153" s="81">
        <v>8</v>
      </c>
      <c r="T153" s="81">
        <v>0</v>
      </c>
      <c r="U153" s="81">
        <v>0</v>
      </c>
      <c r="V153" s="81">
        <v>858</v>
      </c>
      <c r="W153" s="84" t="s">
        <v>491</v>
      </c>
      <c r="X153" s="86" t="str">
        <f>HYPERLINK("https://journals.sagepub.com/doi/10.1177/10776990231206366")</f>
        <v>https://journals.sagepub.com/doi/10.1177/10776990231206366</v>
      </c>
      <c r="Y153" s="81" t="s">
        <v>506</v>
      </c>
      <c r="Z153" s="81" t="s">
        <v>542</v>
      </c>
      <c r="AA153" s="81"/>
      <c r="AB153" s="81"/>
      <c r="AC153" s="84" t="s">
        <v>582</v>
      </c>
      <c r="AD153" s="81" t="s">
        <v>588</v>
      </c>
      <c r="AE153" s="86" t="str">
        <f>HYPERLINK("https://twitter.com/gregperreault/status/1717946250757378369")</f>
        <v>https://twitter.com/gregperreault/status/1717946250757378369</v>
      </c>
      <c r="AF153" s="83">
        <v>45226.699976851851</v>
      </c>
      <c r="AG153" s="89">
        <v>45226</v>
      </c>
      <c r="AH153" s="84" t="s">
        <v>668</v>
      </c>
      <c r="AI153" s="81" t="b">
        <v>0</v>
      </c>
      <c r="AJ153" s="81"/>
      <c r="AK153" s="81"/>
      <c r="AL153" s="81"/>
      <c r="AM153" s="81"/>
      <c r="AN153" s="81"/>
      <c r="AO153" s="81"/>
      <c r="AP153" s="81"/>
      <c r="AQ153" s="81"/>
      <c r="AR153" s="81"/>
      <c r="AS153" s="81"/>
      <c r="AT153" s="81"/>
      <c r="AU153" s="81"/>
      <c r="AV153" s="86" t="str">
        <f>HYPERLINK("https://pbs.twimg.com/profile_images/1411054146111873024/g2JD9Gqs_normal.jpg")</f>
        <v>https://pbs.twimg.com/profile_images/1411054146111873024/g2JD9Gqs_normal.jpg</v>
      </c>
      <c r="AW153" s="84" t="s">
        <v>822</v>
      </c>
      <c r="AX153" s="84" t="s">
        <v>822</v>
      </c>
      <c r="AY153" s="81"/>
      <c r="AZ153" s="84" t="s">
        <v>879</v>
      </c>
      <c r="BA153" s="84" t="s">
        <v>879</v>
      </c>
      <c r="BB153" s="84" t="s">
        <v>879</v>
      </c>
      <c r="BC153" s="84" t="s">
        <v>822</v>
      </c>
      <c r="BD153" s="81">
        <v>19065198</v>
      </c>
      <c r="BE153" s="81"/>
      <c r="BF153" s="81"/>
      <c r="BG153" s="81"/>
      <c r="BH153" s="81"/>
      <c r="BI153" s="81"/>
      <c r="BJ153">
        <v>1</v>
      </c>
      <c r="BK153" s="80" t="str">
        <f>REPLACE(INDEX(GroupVertices[Group], MATCH("~"&amp;Edges[[#This Row],[Vertex 1]],GroupVertices[Vertex],0)),1,1,"")</f>
        <v>6</v>
      </c>
      <c r="BL153" s="80" t="str">
        <f>REPLACE(INDEX(GroupVertices[Group], MATCH("~"&amp;Edges[[#This Row],[Vertex 2]],GroupVertices[Vertex],0)),1,1,"")</f>
        <v>6</v>
      </c>
      <c r="BM153" s="49"/>
      <c r="BN153" s="50"/>
      <c r="BO153" s="49"/>
      <c r="BP153" s="50"/>
      <c r="BQ153" s="49"/>
      <c r="BR153" s="50"/>
      <c r="BS153" s="49"/>
      <c r="BT153" s="50"/>
      <c r="BU153" s="49"/>
    </row>
    <row r="154" spans="1:73" x14ac:dyDescent="0.25">
      <c r="A154" s="65" t="s">
        <v>281</v>
      </c>
      <c r="B154" s="65" t="s">
        <v>335</v>
      </c>
      <c r="C154" s="66" t="s">
        <v>10073</v>
      </c>
      <c r="D154" s="67">
        <v>3</v>
      </c>
      <c r="E154" s="68" t="s">
        <v>132</v>
      </c>
      <c r="F154" s="69">
        <v>35</v>
      </c>
      <c r="G154" s="66"/>
      <c r="H154" s="70"/>
      <c r="I154" s="71"/>
      <c r="J154" s="71"/>
      <c r="K154" s="35" t="s">
        <v>65</v>
      </c>
      <c r="L154" s="79">
        <v>154</v>
      </c>
      <c r="M154" s="79"/>
      <c r="N154" s="73"/>
      <c r="O154" s="81" t="s">
        <v>367</v>
      </c>
      <c r="P154" s="83">
        <v>45226.699976851851</v>
      </c>
      <c r="Q154" s="81" t="s">
        <v>434</v>
      </c>
      <c r="R154" s="81">
        <v>1</v>
      </c>
      <c r="S154" s="81">
        <v>8</v>
      </c>
      <c r="T154" s="81">
        <v>0</v>
      </c>
      <c r="U154" s="81">
        <v>0</v>
      </c>
      <c r="V154" s="81">
        <v>858</v>
      </c>
      <c r="W154" s="84" t="s">
        <v>491</v>
      </c>
      <c r="X154" s="86" t="str">
        <f>HYPERLINK("https://journals.sagepub.com/doi/10.1177/10776990231206366")</f>
        <v>https://journals.sagepub.com/doi/10.1177/10776990231206366</v>
      </c>
      <c r="Y154" s="81" t="s">
        <v>506</v>
      </c>
      <c r="Z154" s="81" t="s">
        <v>542</v>
      </c>
      <c r="AA154" s="81"/>
      <c r="AB154" s="81"/>
      <c r="AC154" s="84" t="s">
        <v>582</v>
      </c>
      <c r="AD154" s="81" t="s">
        <v>588</v>
      </c>
      <c r="AE154" s="86" t="str">
        <f>HYPERLINK("https://twitter.com/gregperreault/status/1717946250757378369")</f>
        <v>https://twitter.com/gregperreault/status/1717946250757378369</v>
      </c>
      <c r="AF154" s="83">
        <v>45226.699976851851</v>
      </c>
      <c r="AG154" s="89">
        <v>45226</v>
      </c>
      <c r="AH154" s="84" t="s">
        <v>668</v>
      </c>
      <c r="AI154" s="81" t="b">
        <v>0</v>
      </c>
      <c r="AJ154" s="81"/>
      <c r="AK154" s="81"/>
      <c r="AL154" s="81"/>
      <c r="AM154" s="81"/>
      <c r="AN154" s="81"/>
      <c r="AO154" s="81"/>
      <c r="AP154" s="81"/>
      <c r="AQ154" s="81"/>
      <c r="AR154" s="81"/>
      <c r="AS154" s="81"/>
      <c r="AT154" s="81"/>
      <c r="AU154" s="81"/>
      <c r="AV154" s="86" t="str">
        <f>HYPERLINK("https://pbs.twimg.com/profile_images/1411054146111873024/g2JD9Gqs_normal.jpg")</f>
        <v>https://pbs.twimg.com/profile_images/1411054146111873024/g2JD9Gqs_normal.jpg</v>
      </c>
      <c r="AW154" s="84" t="s">
        <v>822</v>
      </c>
      <c r="AX154" s="84" t="s">
        <v>822</v>
      </c>
      <c r="AY154" s="81"/>
      <c r="AZ154" s="84" t="s">
        <v>879</v>
      </c>
      <c r="BA154" s="84" t="s">
        <v>879</v>
      </c>
      <c r="BB154" s="84" t="s">
        <v>879</v>
      </c>
      <c r="BC154" s="84" t="s">
        <v>822</v>
      </c>
      <c r="BD154" s="81">
        <v>19065198</v>
      </c>
      <c r="BE154" s="81"/>
      <c r="BF154" s="81"/>
      <c r="BG154" s="81"/>
      <c r="BH154" s="81"/>
      <c r="BI154" s="81"/>
      <c r="BJ154">
        <v>1</v>
      </c>
      <c r="BK154" s="80" t="str">
        <f>REPLACE(INDEX(GroupVertices[Group], MATCH("~"&amp;Edges[[#This Row],[Vertex 1]],GroupVertices[Vertex],0)),1,1,"")</f>
        <v>6</v>
      </c>
      <c r="BL154" s="80" t="str">
        <f>REPLACE(INDEX(GroupVertices[Group], MATCH("~"&amp;Edges[[#This Row],[Vertex 2]],GroupVertices[Vertex],0)),1,1,"")</f>
        <v>6</v>
      </c>
      <c r="BM154" s="49"/>
      <c r="BN154" s="50"/>
      <c r="BO154" s="49"/>
      <c r="BP154" s="50"/>
      <c r="BQ154" s="49"/>
      <c r="BR154" s="50"/>
      <c r="BS154" s="49"/>
      <c r="BT154" s="50"/>
      <c r="BU154" s="49"/>
    </row>
    <row r="155" spans="1:73" x14ac:dyDescent="0.25">
      <c r="A155" s="65" t="s">
        <v>282</v>
      </c>
      <c r="B155" s="65" t="s">
        <v>336</v>
      </c>
      <c r="C155" s="66" t="s">
        <v>10073</v>
      </c>
      <c r="D155" s="67">
        <v>3</v>
      </c>
      <c r="E155" s="68" t="s">
        <v>132</v>
      </c>
      <c r="F155" s="69">
        <v>35</v>
      </c>
      <c r="G155" s="66"/>
      <c r="H155" s="70"/>
      <c r="I155" s="71"/>
      <c r="J155" s="71"/>
      <c r="K155" s="35" t="s">
        <v>65</v>
      </c>
      <c r="L155" s="79">
        <v>155</v>
      </c>
      <c r="M155" s="79"/>
      <c r="N155" s="73"/>
      <c r="O155" s="81" t="s">
        <v>370</v>
      </c>
      <c r="P155" s="83">
        <v>45222.768067129633</v>
      </c>
      <c r="Q155" s="81" t="s">
        <v>435</v>
      </c>
      <c r="R155" s="81">
        <v>2</v>
      </c>
      <c r="S155" s="81">
        <v>5</v>
      </c>
      <c r="T155" s="81">
        <v>0</v>
      </c>
      <c r="U155" s="81">
        <v>1</v>
      </c>
      <c r="V155" s="81">
        <v>1431</v>
      </c>
      <c r="W155" s="81"/>
      <c r="X155" s="86" t="str">
        <f>HYPERLINK("https://ci.uky.edu/about-ci/2024-aejmc-southeast-colloquium/paper-submissions")</f>
        <v>https://ci.uky.edu/about-ci/2024-aejmc-southeast-colloquium/paper-submissions</v>
      </c>
      <c r="Y155" s="81" t="s">
        <v>510</v>
      </c>
      <c r="Z155" s="81" t="s">
        <v>543</v>
      </c>
      <c r="AA155" s="81"/>
      <c r="AB155" s="81"/>
      <c r="AC155" s="84" t="s">
        <v>582</v>
      </c>
      <c r="AD155" s="81" t="s">
        <v>588</v>
      </c>
      <c r="AE155" s="86" t="str">
        <f>HYPERLINK("https://twitter.com/aejmc_nond/status/1716521373886218438")</f>
        <v>https://twitter.com/aejmc_nond/status/1716521373886218438</v>
      </c>
      <c r="AF155" s="83">
        <v>45222.768067129633</v>
      </c>
      <c r="AG155" s="89">
        <v>45222</v>
      </c>
      <c r="AH155" s="84" t="s">
        <v>669</v>
      </c>
      <c r="AI155" s="81" t="b">
        <v>0</v>
      </c>
      <c r="AJ155" s="81"/>
      <c r="AK155" s="81"/>
      <c r="AL155" s="81"/>
      <c r="AM155" s="81"/>
      <c r="AN155" s="81"/>
      <c r="AO155" s="81"/>
      <c r="AP155" s="81"/>
      <c r="AQ155" s="81"/>
      <c r="AR155" s="81"/>
      <c r="AS155" s="81"/>
      <c r="AT155" s="81"/>
      <c r="AU155" s="81"/>
      <c r="AV155" s="86" t="str">
        <f>HYPERLINK("https://pbs.twimg.com/profile_images/884110390493425664/HGSOS2S8_normal.jpg")</f>
        <v>https://pbs.twimg.com/profile_images/884110390493425664/HGSOS2S8_normal.jpg</v>
      </c>
      <c r="AW155" s="84" t="s">
        <v>823</v>
      </c>
      <c r="AX155" s="84" t="s">
        <v>823</v>
      </c>
      <c r="AY155" s="81"/>
      <c r="AZ155" s="84" t="s">
        <v>879</v>
      </c>
      <c r="BA155" s="84" t="s">
        <v>825</v>
      </c>
      <c r="BB155" s="84" t="s">
        <v>879</v>
      </c>
      <c r="BC155" s="84" t="s">
        <v>825</v>
      </c>
      <c r="BD155" s="81">
        <v>744265436</v>
      </c>
      <c r="BE155" s="81"/>
      <c r="BF155" s="81"/>
      <c r="BG155" s="81"/>
      <c r="BH155" s="81"/>
      <c r="BI155" s="81"/>
      <c r="BJ155">
        <v>1</v>
      </c>
      <c r="BK155" s="80" t="str">
        <f>REPLACE(INDEX(GroupVertices[Group], MATCH("~"&amp;Edges[[#This Row],[Vertex 1]],GroupVertices[Vertex],0)),1,1,"")</f>
        <v>6</v>
      </c>
      <c r="BL155" s="80" t="str">
        <f>REPLACE(INDEX(GroupVertices[Group], MATCH("~"&amp;Edges[[#This Row],[Vertex 2]],GroupVertices[Vertex],0)),1,1,"")</f>
        <v>6</v>
      </c>
      <c r="BM155" s="49">
        <v>0</v>
      </c>
      <c r="BN155" s="50">
        <v>0</v>
      </c>
      <c r="BO155" s="49">
        <v>0</v>
      </c>
      <c r="BP155" s="50">
        <v>0</v>
      </c>
      <c r="BQ155" s="49">
        <v>0</v>
      </c>
      <c r="BR155" s="50">
        <v>0</v>
      </c>
      <c r="BS155" s="49">
        <v>19</v>
      </c>
      <c r="BT155" s="50">
        <v>70.370370370370367</v>
      </c>
      <c r="BU155" s="49">
        <v>27</v>
      </c>
    </row>
    <row r="156" spans="1:73" x14ac:dyDescent="0.25">
      <c r="A156" s="65" t="s">
        <v>268</v>
      </c>
      <c r="B156" s="65" t="s">
        <v>336</v>
      </c>
      <c r="C156" s="66" t="s">
        <v>10074</v>
      </c>
      <c r="D156" s="67">
        <v>6.5</v>
      </c>
      <c r="E156" s="68" t="s">
        <v>132</v>
      </c>
      <c r="F156" s="69">
        <v>23.5</v>
      </c>
      <c r="G156" s="66"/>
      <c r="H156" s="70"/>
      <c r="I156" s="71"/>
      <c r="J156" s="71"/>
      <c r="K156" s="35" t="s">
        <v>65</v>
      </c>
      <c r="L156" s="79">
        <v>156</v>
      </c>
      <c r="M156" s="79"/>
      <c r="N156" s="73"/>
      <c r="O156" s="81" t="s">
        <v>367</v>
      </c>
      <c r="P156" s="83">
        <v>45230.656944444447</v>
      </c>
      <c r="Q156" s="81" t="s">
        <v>436</v>
      </c>
      <c r="R156" s="81">
        <v>2</v>
      </c>
      <c r="S156" s="81">
        <v>3</v>
      </c>
      <c r="T156" s="81">
        <v>0</v>
      </c>
      <c r="U156" s="81">
        <v>0</v>
      </c>
      <c r="V156" s="81">
        <v>467</v>
      </c>
      <c r="W156" s="84" t="s">
        <v>482</v>
      </c>
      <c r="X156" s="86" t="str">
        <f>HYPERLINK("https://www.aejmc.org/jobads/?p=19429")</f>
        <v>https://www.aejmc.org/jobads/?p=19429</v>
      </c>
      <c r="Y156" s="81" t="s">
        <v>503</v>
      </c>
      <c r="Z156" s="81" t="s">
        <v>336</v>
      </c>
      <c r="AA156" s="81"/>
      <c r="AB156" s="81"/>
      <c r="AC156" s="84" t="s">
        <v>582</v>
      </c>
      <c r="AD156" s="81" t="s">
        <v>588</v>
      </c>
      <c r="AE156" s="86" t="str">
        <f>HYPERLINK("https://twitter.com/aejmc/status/1719380205683270107")</f>
        <v>https://twitter.com/aejmc/status/1719380205683270107</v>
      </c>
      <c r="AF156" s="83">
        <v>45230.656944444447</v>
      </c>
      <c r="AG156" s="89">
        <v>45230</v>
      </c>
      <c r="AH156" s="84" t="s">
        <v>670</v>
      </c>
      <c r="AI156" s="81" t="b">
        <v>0</v>
      </c>
      <c r="AJ156" s="81"/>
      <c r="AK156" s="81"/>
      <c r="AL156" s="81"/>
      <c r="AM156" s="81"/>
      <c r="AN156" s="81"/>
      <c r="AO156" s="81"/>
      <c r="AP156" s="81"/>
      <c r="AQ156" s="81"/>
      <c r="AR156" s="81"/>
      <c r="AS156" s="81"/>
      <c r="AT156" s="81"/>
      <c r="AU156" s="81"/>
      <c r="AV156" s="86" t="str">
        <f>HYPERLINK("https://pbs.twimg.com/profile_images/1559584982439444482/vOVkFGh3_normal.png")</f>
        <v>https://pbs.twimg.com/profile_images/1559584982439444482/vOVkFGh3_normal.png</v>
      </c>
      <c r="AW156" s="84" t="s">
        <v>824</v>
      </c>
      <c r="AX156" s="84" t="s">
        <v>824</v>
      </c>
      <c r="AY156" s="81"/>
      <c r="AZ156" s="84" t="s">
        <v>879</v>
      </c>
      <c r="BA156" s="84" t="s">
        <v>879</v>
      </c>
      <c r="BB156" s="84" t="s">
        <v>879</v>
      </c>
      <c r="BC156" s="84" t="s">
        <v>824</v>
      </c>
      <c r="BD156" s="81">
        <v>8442592</v>
      </c>
      <c r="BE156" s="81"/>
      <c r="BF156" s="81"/>
      <c r="BG156" s="81"/>
      <c r="BH156" s="81"/>
      <c r="BI156" s="81"/>
      <c r="BJ156">
        <v>2</v>
      </c>
      <c r="BK156" s="80" t="str">
        <f>REPLACE(INDEX(GroupVertices[Group], MATCH("~"&amp;Edges[[#This Row],[Vertex 1]],GroupVertices[Vertex],0)),1,1,"")</f>
        <v>1</v>
      </c>
      <c r="BL156" s="80" t="str">
        <f>REPLACE(INDEX(GroupVertices[Group], MATCH("~"&amp;Edges[[#This Row],[Vertex 2]],GroupVertices[Vertex],0)),1,1,"")</f>
        <v>6</v>
      </c>
      <c r="BM156" s="49">
        <v>1</v>
      </c>
      <c r="BN156" s="50">
        <v>5.2631578947368425</v>
      </c>
      <c r="BO156" s="49">
        <v>0</v>
      </c>
      <c r="BP156" s="50">
        <v>0</v>
      </c>
      <c r="BQ156" s="49">
        <v>0</v>
      </c>
      <c r="BR156" s="50">
        <v>0</v>
      </c>
      <c r="BS156" s="49">
        <v>14</v>
      </c>
      <c r="BT156" s="50">
        <v>73.684210526315795</v>
      </c>
      <c r="BU156" s="49">
        <v>19</v>
      </c>
    </row>
    <row r="157" spans="1:73" x14ac:dyDescent="0.25">
      <c r="A157" s="65" t="s">
        <v>268</v>
      </c>
      <c r="B157" s="65" t="s">
        <v>336</v>
      </c>
      <c r="C157" s="66" t="s">
        <v>10074</v>
      </c>
      <c r="D157" s="67">
        <v>6.5</v>
      </c>
      <c r="E157" s="68" t="s">
        <v>132</v>
      </c>
      <c r="F157" s="69">
        <v>23.5</v>
      </c>
      <c r="G157" s="66"/>
      <c r="H157" s="70"/>
      <c r="I157" s="71"/>
      <c r="J157" s="71"/>
      <c r="K157" s="35" t="s">
        <v>65</v>
      </c>
      <c r="L157" s="79">
        <v>157</v>
      </c>
      <c r="M157" s="79"/>
      <c r="N157" s="73"/>
      <c r="O157" s="81" t="s">
        <v>367</v>
      </c>
      <c r="P157" s="83">
        <v>45216.700115740743</v>
      </c>
      <c r="Q157" s="81" t="s">
        <v>437</v>
      </c>
      <c r="R157" s="81">
        <v>5</v>
      </c>
      <c r="S157" s="81">
        <v>7</v>
      </c>
      <c r="T157" s="81">
        <v>0</v>
      </c>
      <c r="U157" s="81">
        <v>1</v>
      </c>
      <c r="V157" s="81">
        <v>1970</v>
      </c>
      <c r="W157" s="81"/>
      <c r="X157" s="86" t="str">
        <f>HYPERLINK("https://ci.uky.edu/about-ci/2024-aejmc-southeast-colloquium/paper-submissions")</f>
        <v>https://ci.uky.edu/about-ci/2024-aejmc-southeast-colloquium/paper-submissions</v>
      </c>
      <c r="Y157" s="81" t="s">
        <v>510</v>
      </c>
      <c r="Z157" s="81" t="s">
        <v>336</v>
      </c>
      <c r="AA157" s="81"/>
      <c r="AB157" s="81"/>
      <c r="AC157" s="84" t="s">
        <v>582</v>
      </c>
      <c r="AD157" s="81" t="s">
        <v>588</v>
      </c>
      <c r="AE157" s="86" t="str">
        <f>HYPERLINK("https://twitter.com/aejmc/status/1714322420926943611")</f>
        <v>https://twitter.com/aejmc/status/1714322420926943611</v>
      </c>
      <c r="AF157" s="83">
        <v>45216.700115740743</v>
      </c>
      <c r="AG157" s="89">
        <v>45216</v>
      </c>
      <c r="AH157" s="84" t="s">
        <v>671</v>
      </c>
      <c r="AI157" s="81" t="b">
        <v>0</v>
      </c>
      <c r="AJ157" s="81"/>
      <c r="AK157" s="81"/>
      <c r="AL157" s="81"/>
      <c r="AM157" s="81"/>
      <c r="AN157" s="81"/>
      <c r="AO157" s="81"/>
      <c r="AP157" s="81"/>
      <c r="AQ157" s="81"/>
      <c r="AR157" s="81"/>
      <c r="AS157" s="81"/>
      <c r="AT157" s="81"/>
      <c r="AU157" s="81"/>
      <c r="AV157" s="86" t="str">
        <f>HYPERLINK("https://pbs.twimg.com/profile_images/1559584982439444482/vOVkFGh3_normal.png")</f>
        <v>https://pbs.twimg.com/profile_images/1559584982439444482/vOVkFGh3_normal.png</v>
      </c>
      <c r="AW157" s="84" t="s">
        <v>825</v>
      </c>
      <c r="AX157" s="84" t="s">
        <v>825</v>
      </c>
      <c r="AY157" s="81"/>
      <c r="AZ157" s="84" t="s">
        <v>879</v>
      </c>
      <c r="BA157" s="84" t="s">
        <v>879</v>
      </c>
      <c r="BB157" s="84" t="s">
        <v>879</v>
      </c>
      <c r="BC157" s="84" t="s">
        <v>825</v>
      </c>
      <c r="BD157" s="81">
        <v>8442592</v>
      </c>
      <c r="BE157" s="81"/>
      <c r="BF157" s="81"/>
      <c r="BG157" s="81"/>
      <c r="BH157" s="81"/>
      <c r="BI157" s="81"/>
      <c r="BJ157">
        <v>2</v>
      </c>
      <c r="BK157" s="80" t="str">
        <f>REPLACE(INDEX(GroupVertices[Group], MATCH("~"&amp;Edges[[#This Row],[Vertex 1]],GroupVertices[Vertex],0)),1,1,"")</f>
        <v>1</v>
      </c>
      <c r="BL157" s="80" t="str">
        <f>REPLACE(INDEX(GroupVertices[Group], MATCH("~"&amp;Edges[[#This Row],[Vertex 2]],GroupVertices[Vertex],0)),1,1,"")</f>
        <v>6</v>
      </c>
      <c r="BM157" s="49">
        <v>2</v>
      </c>
      <c r="BN157" s="50">
        <v>5</v>
      </c>
      <c r="BO157" s="49">
        <v>0</v>
      </c>
      <c r="BP157" s="50">
        <v>0</v>
      </c>
      <c r="BQ157" s="49">
        <v>0</v>
      </c>
      <c r="BR157" s="50">
        <v>0</v>
      </c>
      <c r="BS157" s="49">
        <v>21</v>
      </c>
      <c r="BT157" s="50">
        <v>52.5</v>
      </c>
      <c r="BU157" s="49">
        <v>40</v>
      </c>
    </row>
    <row r="158" spans="1:73" x14ac:dyDescent="0.25">
      <c r="A158" s="65" t="s">
        <v>281</v>
      </c>
      <c r="B158" s="65" t="s">
        <v>336</v>
      </c>
      <c r="C158" s="66" t="s">
        <v>10073</v>
      </c>
      <c r="D158" s="67">
        <v>3</v>
      </c>
      <c r="E158" s="68" t="s">
        <v>132</v>
      </c>
      <c r="F158" s="69">
        <v>35</v>
      </c>
      <c r="G158" s="66"/>
      <c r="H158" s="70"/>
      <c r="I158" s="71"/>
      <c r="J158" s="71"/>
      <c r="K158" s="35" t="s">
        <v>65</v>
      </c>
      <c r="L158" s="79">
        <v>158</v>
      </c>
      <c r="M158" s="79"/>
      <c r="N158" s="73"/>
      <c r="O158" s="81" t="s">
        <v>366</v>
      </c>
      <c r="P158" s="83">
        <v>45229.844351851854</v>
      </c>
      <c r="Q158" s="81" t="s">
        <v>438</v>
      </c>
      <c r="R158" s="81">
        <v>2</v>
      </c>
      <c r="S158" s="81">
        <v>0</v>
      </c>
      <c r="T158" s="81">
        <v>0</v>
      </c>
      <c r="U158" s="81">
        <v>0</v>
      </c>
      <c r="V158" s="81"/>
      <c r="W158" s="81"/>
      <c r="X158" s="81"/>
      <c r="Y158" s="81"/>
      <c r="Z158" s="81" t="s">
        <v>544</v>
      </c>
      <c r="AA158" s="81"/>
      <c r="AB158" s="81"/>
      <c r="AC158" s="84" t="s">
        <v>583</v>
      </c>
      <c r="AD158" s="81" t="s">
        <v>588</v>
      </c>
      <c r="AE158" s="86" t="str">
        <f>HYPERLINK("https://twitter.com/gregperreault/status/1719085731149226334")</f>
        <v>https://twitter.com/gregperreault/status/1719085731149226334</v>
      </c>
      <c r="AF158" s="83">
        <v>45229.844351851854</v>
      </c>
      <c r="AG158" s="89">
        <v>45229</v>
      </c>
      <c r="AH158" s="84" t="s">
        <v>672</v>
      </c>
      <c r="AI158" s="81"/>
      <c r="AJ158" s="81"/>
      <c r="AK158" s="81"/>
      <c r="AL158" s="81"/>
      <c r="AM158" s="81"/>
      <c r="AN158" s="81"/>
      <c r="AO158" s="81"/>
      <c r="AP158" s="81"/>
      <c r="AQ158" s="81"/>
      <c r="AR158" s="81"/>
      <c r="AS158" s="81"/>
      <c r="AT158" s="81"/>
      <c r="AU158" s="81"/>
      <c r="AV158" s="86" t="str">
        <f>HYPERLINK("https://pbs.twimg.com/profile_images/1411054146111873024/g2JD9Gqs_normal.jpg")</f>
        <v>https://pbs.twimg.com/profile_images/1411054146111873024/g2JD9Gqs_normal.jpg</v>
      </c>
      <c r="AW158" s="84" t="s">
        <v>826</v>
      </c>
      <c r="AX158" s="84" t="s">
        <v>826</v>
      </c>
      <c r="AY158" s="81"/>
      <c r="AZ158" s="84" t="s">
        <v>879</v>
      </c>
      <c r="BA158" s="84" t="s">
        <v>825</v>
      </c>
      <c r="BB158" s="84" t="s">
        <v>823</v>
      </c>
      <c r="BC158" s="84" t="s">
        <v>823</v>
      </c>
      <c r="BD158" s="81">
        <v>19065198</v>
      </c>
      <c r="BE158" s="81"/>
      <c r="BF158" s="81"/>
      <c r="BG158" s="81"/>
      <c r="BH158" s="81"/>
      <c r="BI158" s="81"/>
      <c r="BJ158">
        <v>1</v>
      </c>
      <c r="BK158" s="80" t="str">
        <f>REPLACE(INDEX(GroupVertices[Group], MATCH("~"&amp;Edges[[#This Row],[Vertex 1]],GroupVertices[Vertex],0)),1,1,"")</f>
        <v>6</v>
      </c>
      <c r="BL158" s="80" t="str">
        <f>REPLACE(INDEX(GroupVertices[Group], MATCH("~"&amp;Edges[[#This Row],[Vertex 2]],GroupVertices[Vertex],0)),1,1,"")</f>
        <v>6</v>
      </c>
      <c r="BM158" s="49">
        <v>0</v>
      </c>
      <c r="BN158" s="50">
        <v>0</v>
      </c>
      <c r="BO158" s="49">
        <v>0</v>
      </c>
      <c r="BP158" s="50">
        <v>0</v>
      </c>
      <c r="BQ158" s="49">
        <v>0</v>
      </c>
      <c r="BR158" s="50">
        <v>0</v>
      </c>
      <c r="BS158" s="49">
        <v>15</v>
      </c>
      <c r="BT158" s="50">
        <v>68.181818181818187</v>
      </c>
      <c r="BU158" s="49">
        <v>22</v>
      </c>
    </row>
    <row r="159" spans="1:73" x14ac:dyDescent="0.25">
      <c r="A159" s="65" t="s">
        <v>282</v>
      </c>
      <c r="B159" s="65" t="s">
        <v>268</v>
      </c>
      <c r="C159" s="66" t="s">
        <v>10073</v>
      </c>
      <c r="D159" s="67">
        <v>3</v>
      </c>
      <c r="E159" s="68" t="s">
        <v>132</v>
      </c>
      <c r="F159" s="69">
        <v>35</v>
      </c>
      <c r="G159" s="66"/>
      <c r="H159" s="70"/>
      <c r="I159" s="71"/>
      <c r="J159" s="71"/>
      <c r="K159" s="35" t="s">
        <v>65</v>
      </c>
      <c r="L159" s="79">
        <v>159</v>
      </c>
      <c r="M159" s="79"/>
      <c r="N159" s="73"/>
      <c r="O159" s="81" t="s">
        <v>370</v>
      </c>
      <c r="P159" s="83">
        <v>45222.768067129633</v>
      </c>
      <c r="Q159" s="81" t="s">
        <v>435</v>
      </c>
      <c r="R159" s="81">
        <v>2</v>
      </c>
      <c r="S159" s="81">
        <v>5</v>
      </c>
      <c r="T159" s="81">
        <v>0</v>
      </c>
      <c r="U159" s="81">
        <v>1</v>
      </c>
      <c r="V159" s="81">
        <v>1431</v>
      </c>
      <c r="W159" s="81"/>
      <c r="X159" s="86" t="str">
        <f>HYPERLINK("https://ci.uky.edu/about-ci/2024-aejmc-southeast-colloquium/paper-submissions")</f>
        <v>https://ci.uky.edu/about-ci/2024-aejmc-southeast-colloquium/paper-submissions</v>
      </c>
      <c r="Y159" s="81" t="s">
        <v>510</v>
      </c>
      <c r="Z159" s="81" t="s">
        <v>543</v>
      </c>
      <c r="AA159" s="81"/>
      <c r="AB159" s="81"/>
      <c r="AC159" s="84" t="s">
        <v>582</v>
      </c>
      <c r="AD159" s="81" t="s">
        <v>588</v>
      </c>
      <c r="AE159" s="86" t="str">
        <f>HYPERLINK("https://twitter.com/aejmc_nond/status/1716521373886218438")</f>
        <v>https://twitter.com/aejmc_nond/status/1716521373886218438</v>
      </c>
      <c r="AF159" s="83">
        <v>45222.768067129633</v>
      </c>
      <c r="AG159" s="89">
        <v>45222</v>
      </c>
      <c r="AH159" s="84" t="s">
        <v>669</v>
      </c>
      <c r="AI159" s="81" t="b">
        <v>0</v>
      </c>
      <c r="AJ159" s="81"/>
      <c r="AK159" s="81"/>
      <c r="AL159" s="81"/>
      <c r="AM159" s="81"/>
      <c r="AN159" s="81"/>
      <c r="AO159" s="81"/>
      <c r="AP159" s="81"/>
      <c r="AQ159" s="81"/>
      <c r="AR159" s="81"/>
      <c r="AS159" s="81"/>
      <c r="AT159" s="81"/>
      <c r="AU159" s="81"/>
      <c r="AV159" s="86" t="str">
        <f>HYPERLINK("https://pbs.twimg.com/profile_images/884110390493425664/HGSOS2S8_normal.jpg")</f>
        <v>https://pbs.twimg.com/profile_images/884110390493425664/HGSOS2S8_normal.jpg</v>
      </c>
      <c r="AW159" s="84" t="s">
        <v>823</v>
      </c>
      <c r="AX159" s="84" t="s">
        <v>823</v>
      </c>
      <c r="AY159" s="81"/>
      <c r="AZ159" s="84" t="s">
        <v>879</v>
      </c>
      <c r="BA159" s="84" t="s">
        <v>825</v>
      </c>
      <c r="BB159" s="84" t="s">
        <v>879</v>
      </c>
      <c r="BC159" s="84" t="s">
        <v>825</v>
      </c>
      <c r="BD159" s="81">
        <v>744265436</v>
      </c>
      <c r="BE159" s="81"/>
      <c r="BF159" s="81"/>
      <c r="BG159" s="81"/>
      <c r="BH159" s="81"/>
      <c r="BI159" s="81"/>
      <c r="BJ159">
        <v>1</v>
      </c>
      <c r="BK159" s="80" t="str">
        <f>REPLACE(INDEX(GroupVertices[Group], MATCH("~"&amp;Edges[[#This Row],[Vertex 1]],GroupVertices[Vertex],0)),1,1,"")</f>
        <v>6</v>
      </c>
      <c r="BL159" s="80" t="str">
        <f>REPLACE(INDEX(GroupVertices[Group], MATCH("~"&amp;Edges[[#This Row],[Vertex 2]],GroupVertices[Vertex],0)),1,1,"")</f>
        <v>1</v>
      </c>
      <c r="BM159" s="49"/>
      <c r="BN159" s="50"/>
      <c r="BO159" s="49"/>
      <c r="BP159" s="50"/>
      <c r="BQ159" s="49"/>
      <c r="BR159" s="50"/>
      <c r="BS159" s="49"/>
      <c r="BT159" s="50"/>
      <c r="BU159" s="49"/>
    </row>
    <row r="160" spans="1:73" x14ac:dyDescent="0.25">
      <c r="A160" s="65" t="s">
        <v>282</v>
      </c>
      <c r="B160" s="65" t="s">
        <v>268</v>
      </c>
      <c r="C160" s="66" t="s">
        <v>10073</v>
      </c>
      <c r="D160" s="67">
        <v>3</v>
      </c>
      <c r="E160" s="68" t="s">
        <v>132</v>
      </c>
      <c r="F160" s="69">
        <v>35</v>
      </c>
      <c r="G160" s="66"/>
      <c r="H160" s="70"/>
      <c r="I160" s="71"/>
      <c r="J160" s="71"/>
      <c r="K160" s="35" t="s">
        <v>65</v>
      </c>
      <c r="L160" s="79">
        <v>160</v>
      </c>
      <c r="M160" s="79"/>
      <c r="N160" s="73"/>
      <c r="O160" s="81" t="s">
        <v>371</v>
      </c>
      <c r="P160" s="83">
        <v>45222.768067129633</v>
      </c>
      <c r="Q160" s="81" t="s">
        <v>435</v>
      </c>
      <c r="R160" s="81">
        <v>2</v>
      </c>
      <c r="S160" s="81">
        <v>5</v>
      </c>
      <c r="T160" s="81">
        <v>0</v>
      </c>
      <c r="U160" s="81">
        <v>1</v>
      </c>
      <c r="V160" s="81">
        <v>1431</v>
      </c>
      <c r="W160" s="81"/>
      <c r="X160" s="86" t="str">
        <f>HYPERLINK("https://ci.uky.edu/about-ci/2024-aejmc-southeast-colloquium/paper-submissions")</f>
        <v>https://ci.uky.edu/about-ci/2024-aejmc-southeast-colloquium/paper-submissions</v>
      </c>
      <c r="Y160" s="81" t="s">
        <v>510</v>
      </c>
      <c r="Z160" s="81" t="s">
        <v>543</v>
      </c>
      <c r="AA160" s="81"/>
      <c r="AB160" s="81"/>
      <c r="AC160" s="84" t="s">
        <v>582</v>
      </c>
      <c r="AD160" s="81" t="s">
        <v>588</v>
      </c>
      <c r="AE160" s="86" t="str">
        <f>HYPERLINK("https://twitter.com/aejmc_nond/status/1716521373886218438")</f>
        <v>https://twitter.com/aejmc_nond/status/1716521373886218438</v>
      </c>
      <c r="AF160" s="83">
        <v>45222.768067129633</v>
      </c>
      <c r="AG160" s="89">
        <v>45222</v>
      </c>
      <c r="AH160" s="84" t="s">
        <v>669</v>
      </c>
      <c r="AI160" s="81" t="b">
        <v>0</v>
      </c>
      <c r="AJ160" s="81"/>
      <c r="AK160" s="81"/>
      <c r="AL160" s="81"/>
      <c r="AM160" s="81"/>
      <c r="AN160" s="81"/>
      <c r="AO160" s="81"/>
      <c r="AP160" s="81"/>
      <c r="AQ160" s="81"/>
      <c r="AR160" s="81"/>
      <c r="AS160" s="81"/>
      <c r="AT160" s="81"/>
      <c r="AU160" s="81"/>
      <c r="AV160" s="86" t="str">
        <f>HYPERLINK("https://pbs.twimg.com/profile_images/884110390493425664/HGSOS2S8_normal.jpg")</f>
        <v>https://pbs.twimg.com/profile_images/884110390493425664/HGSOS2S8_normal.jpg</v>
      </c>
      <c r="AW160" s="84" t="s">
        <v>823</v>
      </c>
      <c r="AX160" s="84" t="s">
        <v>823</v>
      </c>
      <c r="AY160" s="81"/>
      <c r="AZ160" s="84" t="s">
        <v>879</v>
      </c>
      <c r="BA160" s="84" t="s">
        <v>825</v>
      </c>
      <c r="BB160" s="84" t="s">
        <v>879</v>
      </c>
      <c r="BC160" s="84" t="s">
        <v>825</v>
      </c>
      <c r="BD160" s="81">
        <v>744265436</v>
      </c>
      <c r="BE160" s="81"/>
      <c r="BF160" s="81"/>
      <c r="BG160" s="81"/>
      <c r="BH160" s="81"/>
      <c r="BI160" s="81"/>
      <c r="BJ160">
        <v>1</v>
      </c>
      <c r="BK160" s="80" t="str">
        <f>REPLACE(INDEX(GroupVertices[Group], MATCH("~"&amp;Edges[[#This Row],[Vertex 1]],GroupVertices[Vertex],0)),1,1,"")</f>
        <v>6</v>
      </c>
      <c r="BL160" s="80" t="str">
        <f>REPLACE(INDEX(GroupVertices[Group], MATCH("~"&amp;Edges[[#This Row],[Vertex 2]],GroupVertices[Vertex],0)),1,1,"")</f>
        <v>1</v>
      </c>
      <c r="BM160" s="49"/>
      <c r="BN160" s="50"/>
      <c r="BO160" s="49"/>
      <c r="BP160" s="50"/>
      <c r="BQ160" s="49"/>
      <c r="BR160" s="50"/>
      <c r="BS160" s="49"/>
      <c r="BT160" s="50"/>
      <c r="BU160" s="49"/>
    </row>
    <row r="161" spans="1:73" x14ac:dyDescent="0.25">
      <c r="A161" s="65" t="s">
        <v>282</v>
      </c>
      <c r="B161" s="65" t="s">
        <v>268</v>
      </c>
      <c r="C161" s="66" t="s">
        <v>10073</v>
      </c>
      <c r="D161" s="67">
        <v>3</v>
      </c>
      <c r="E161" s="68" t="s">
        <v>132</v>
      </c>
      <c r="F161" s="69">
        <v>35</v>
      </c>
      <c r="G161" s="66"/>
      <c r="H161" s="70"/>
      <c r="I161" s="71"/>
      <c r="J161" s="71"/>
      <c r="K161" s="35" t="s">
        <v>65</v>
      </c>
      <c r="L161" s="79">
        <v>161</v>
      </c>
      <c r="M161" s="79"/>
      <c r="N161" s="73"/>
      <c r="O161" s="81" t="s">
        <v>365</v>
      </c>
      <c r="P161" s="83">
        <v>45229.842824074076</v>
      </c>
      <c r="Q161" s="81" t="s">
        <v>439</v>
      </c>
      <c r="R161" s="81">
        <v>7</v>
      </c>
      <c r="S161" s="81">
        <v>0</v>
      </c>
      <c r="T161" s="81">
        <v>0</v>
      </c>
      <c r="U161" s="81">
        <v>0</v>
      </c>
      <c r="V161" s="81"/>
      <c r="W161" s="81"/>
      <c r="X161" s="81"/>
      <c r="Y161" s="81"/>
      <c r="Z161" s="81" t="s">
        <v>268</v>
      </c>
      <c r="AA161" s="81"/>
      <c r="AB161" s="81"/>
      <c r="AC161" s="84" t="s">
        <v>582</v>
      </c>
      <c r="AD161" s="81" t="s">
        <v>588</v>
      </c>
      <c r="AE161" s="86" t="str">
        <f>HYPERLINK("https://twitter.com/aejmc_nond/status/1719085181271933174")</f>
        <v>https://twitter.com/aejmc_nond/status/1719085181271933174</v>
      </c>
      <c r="AF161" s="83">
        <v>45229.842824074076</v>
      </c>
      <c r="AG161" s="89">
        <v>45229</v>
      </c>
      <c r="AH161" s="84" t="s">
        <v>673</v>
      </c>
      <c r="AI161" s="81"/>
      <c r="AJ161" s="81"/>
      <c r="AK161" s="81"/>
      <c r="AL161" s="81"/>
      <c r="AM161" s="81"/>
      <c r="AN161" s="81"/>
      <c r="AO161" s="81"/>
      <c r="AP161" s="81"/>
      <c r="AQ161" s="81"/>
      <c r="AR161" s="81"/>
      <c r="AS161" s="81"/>
      <c r="AT161" s="81"/>
      <c r="AU161" s="81"/>
      <c r="AV161" s="86" t="str">
        <f>HYPERLINK("https://pbs.twimg.com/profile_images/884110390493425664/HGSOS2S8_normal.jpg")</f>
        <v>https://pbs.twimg.com/profile_images/884110390493425664/HGSOS2S8_normal.jpg</v>
      </c>
      <c r="AW161" s="84" t="s">
        <v>827</v>
      </c>
      <c r="AX161" s="84" t="s">
        <v>827</v>
      </c>
      <c r="AY161" s="81"/>
      <c r="AZ161" s="84" t="s">
        <v>879</v>
      </c>
      <c r="BA161" s="84" t="s">
        <v>879</v>
      </c>
      <c r="BB161" s="84" t="s">
        <v>865</v>
      </c>
      <c r="BC161" s="84" t="s">
        <v>865</v>
      </c>
      <c r="BD161" s="81">
        <v>744265436</v>
      </c>
      <c r="BE161" s="81"/>
      <c r="BF161" s="81"/>
      <c r="BG161" s="81"/>
      <c r="BH161" s="81"/>
      <c r="BI161" s="81"/>
      <c r="BJ161">
        <v>1</v>
      </c>
      <c r="BK161" s="80" t="str">
        <f>REPLACE(INDEX(GroupVertices[Group], MATCH("~"&amp;Edges[[#This Row],[Vertex 1]],GroupVertices[Vertex],0)),1,1,"")</f>
        <v>6</v>
      </c>
      <c r="BL161" s="80" t="str">
        <f>REPLACE(INDEX(GroupVertices[Group], MATCH("~"&amp;Edges[[#This Row],[Vertex 2]],GroupVertices[Vertex],0)),1,1,"")</f>
        <v>1</v>
      </c>
      <c r="BM161" s="49">
        <v>1</v>
      </c>
      <c r="BN161" s="50">
        <v>4.5454545454545459</v>
      </c>
      <c r="BO161" s="49">
        <v>0</v>
      </c>
      <c r="BP161" s="50">
        <v>0</v>
      </c>
      <c r="BQ161" s="49">
        <v>0</v>
      </c>
      <c r="BR161" s="50">
        <v>0</v>
      </c>
      <c r="BS161" s="49">
        <v>11</v>
      </c>
      <c r="BT161" s="50">
        <v>50</v>
      </c>
      <c r="BU161" s="49">
        <v>22</v>
      </c>
    </row>
    <row r="162" spans="1:73" x14ac:dyDescent="0.25">
      <c r="A162" s="65" t="s">
        <v>281</v>
      </c>
      <c r="B162" s="65" t="s">
        <v>282</v>
      </c>
      <c r="C162" s="66" t="s">
        <v>10073</v>
      </c>
      <c r="D162" s="67">
        <v>3</v>
      </c>
      <c r="E162" s="68" t="s">
        <v>132</v>
      </c>
      <c r="F162" s="69">
        <v>35</v>
      </c>
      <c r="G162" s="66"/>
      <c r="H162" s="70"/>
      <c r="I162" s="71"/>
      <c r="J162" s="71"/>
      <c r="K162" s="35" t="s">
        <v>65</v>
      </c>
      <c r="L162" s="79">
        <v>162</v>
      </c>
      <c r="M162" s="79"/>
      <c r="N162" s="73"/>
      <c r="O162" s="81" t="s">
        <v>365</v>
      </c>
      <c r="P162" s="83">
        <v>45229.844351851854</v>
      </c>
      <c r="Q162" s="81" t="s">
        <v>438</v>
      </c>
      <c r="R162" s="81">
        <v>2</v>
      </c>
      <c r="S162" s="81">
        <v>0</v>
      </c>
      <c r="T162" s="81">
        <v>0</v>
      </c>
      <c r="U162" s="81">
        <v>0</v>
      </c>
      <c r="V162" s="81"/>
      <c r="W162" s="81"/>
      <c r="X162" s="81"/>
      <c r="Y162" s="81"/>
      <c r="Z162" s="81" t="s">
        <v>544</v>
      </c>
      <c r="AA162" s="81"/>
      <c r="AB162" s="81"/>
      <c r="AC162" s="84" t="s">
        <v>583</v>
      </c>
      <c r="AD162" s="81" t="s">
        <v>588</v>
      </c>
      <c r="AE162" s="86" t="str">
        <f>HYPERLINK("https://twitter.com/gregperreault/status/1719085731149226334")</f>
        <v>https://twitter.com/gregperreault/status/1719085731149226334</v>
      </c>
      <c r="AF162" s="83">
        <v>45229.844351851854</v>
      </c>
      <c r="AG162" s="89">
        <v>45229</v>
      </c>
      <c r="AH162" s="84" t="s">
        <v>672</v>
      </c>
      <c r="AI162" s="81"/>
      <c r="AJ162" s="81"/>
      <c r="AK162" s="81"/>
      <c r="AL162" s="81"/>
      <c r="AM162" s="81"/>
      <c r="AN162" s="81"/>
      <c r="AO162" s="81"/>
      <c r="AP162" s="81"/>
      <c r="AQ162" s="81"/>
      <c r="AR162" s="81"/>
      <c r="AS162" s="81"/>
      <c r="AT162" s="81"/>
      <c r="AU162" s="81"/>
      <c r="AV162" s="86" t="str">
        <f>HYPERLINK("https://pbs.twimg.com/profile_images/1411054146111873024/g2JD9Gqs_normal.jpg")</f>
        <v>https://pbs.twimg.com/profile_images/1411054146111873024/g2JD9Gqs_normal.jpg</v>
      </c>
      <c r="AW162" s="84" t="s">
        <v>826</v>
      </c>
      <c r="AX162" s="84" t="s">
        <v>826</v>
      </c>
      <c r="AY162" s="81"/>
      <c r="AZ162" s="84" t="s">
        <v>879</v>
      </c>
      <c r="BA162" s="84" t="s">
        <v>825</v>
      </c>
      <c r="BB162" s="84" t="s">
        <v>823</v>
      </c>
      <c r="BC162" s="84" t="s">
        <v>823</v>
      </c>
      <c r="BD162" s="81">
        <v>19065198</v>
      </c>
      <c r="BE162" s="81"/>
      <c r="BF162" s="81"/>
      <c r="BG162" s="81"/>
      <c r="BH162" s="81"/>
      <c r="BI162" s="81"/>
      <c r="BJ162">
        <v>1</v>
      </c>
      <c r="BK162" s="80" t="str">
        <f>REPLACE(INDEX(GroupVertices[Group], MATCH("~"&amp;Edges[[#This Row],[Vertex 1]],GroupVertices[Vertex],0)),1,1,"")</f>
        <v>6</v>
      </c>
      <c r="BL162" s="80" t="str">
        <f>REPLACE(INDEX(GroupVertices[Group], MATCH("~"&amp;Edges[[#This Row],[Vertex 2]],GroupVertices[Vertex],0)),1,1,"")</f>
        <v>6</v>
      </c>
      <c r="BM162" s="49"/>
      <c r="BN162" s="50"/>
      <c r="BO162" s="49"/>
      <c r="BP162" s="50"/>
      <c r="BQ162" s="49"/>
      <c r="BR162" s="50"/>
      <c r="BS162" s="49"/>
      <c r="BT162" s="50"/>
      <c r="BU162" s="49"/>
    </row>
    <row r="163" spans="1:73" x14ac:dyDescent="0.25">
      <c r="A163" s="65" t="s">
        <v>249</v>
      </c>
      <c r="B163" s="65" t="s">
        <v>281</v>
      </c>
      <c r="C163" s="66" t="s">
        <v>10073</v>
      </c>
      <c r="D163" s="67">
        <v>3</v>
      </c>
      <c r="E163" s="68" t="s">
        <v>132</v>
      </c>
      <c r="F163" s="69">
        <v>35</v>
      </c>
      <c r="G163" s="66"/>
      <c r="H163" s="70"/>
      <c r="I163" s="71"/>
      <c r="J163" s="71"/>
      <c r="K163" s="35" t="s">
        <v>66</v>
      </c>
      <c r="L163" s="79">
        <v>163</v>
      </c>
      <c r="M163" s="79"/>
      <c r="N163" s="73"/>
      <c r="O163" s="81" t="s">
        <v>367</v>
      </c>
      <c r="P163" s="83">
        <v>45233.717175925929</v>
      </c>
      <c r="Q163" s="81" t="s">
        <v>407</v>
      </c>
      <c r="R163" s="81">
        <v>1</v>
      </c>
      <c r="S163" s="81">
        <v>32</v>
      </c>
      <c r="T163" s="81">
        <v>4</v>
      </c>
      <c r="U163" s="81">
        <v>4</v>
      </c>
      <c r="V163" s="81">
        <v>3086</v>
      </c>
      <c r="W163" s="81"/>
      <c r="X163" s="81"/>
      <c r="Y163" s="81"/>
      <c r="Z163" s="81" t="s">
        <v>536</v>
      </c>
      <c r="AA163" s="81" t="s">
        <v>564</v>
      </c>
      <c r="AB163" s="81" t="s">
        <v>575</v>
      </c>
      <c r="AC163" s="84" t="s">
        <v>582</v>
      </c>
      <c r="AD163" s="81" t="s">
        <v>588</v>
      </c>
      <c r="AE163" s="86" t="str">
        <f>HYPERLINK("https://twitter.com/jmcquarterly/status/1720489199554486686")</f>
        <v>https://twitter.com/jmcquarterly/status/1720489199554486686</v>
      </c>
      <c r="AF163" s="83">
        <v>45233.717175925929</v>
      </c>
      <c r="AG163" s="89">
        <v>45233</v>
      </c>
      <c r="AH163" s="84" t="s">
        <v>632</v>
      </c>
      <c r="AI163" s="81" t="b">
        <v>0</v>
      </c>
      <c r="AJ163" s="81"/>
      <c r="AK163" s="81"/>
      <c r="AL163" s="81"/>
      <c r="AM163" s="81"/>
      <c r="AN163" s="81"/>
      <c r="AO163" s="81"/>
      <c r="AP163" s="81"/>
      <c r="AQ163" s="81" t="s">
        <v>733</v>
      </c>
      <c r="AR163" s="81"/>
      <c r="AS163" s="81"/>
      <c r="AT163" s="81"/>
      <c r="AU163" s="81"/>
      <c r="AV163" s="86" t="str">
        <f>HYPERLINK("https://pbs.twimg.com/media/F-BnCAIXwAA6-2j.jpg")</f>
        <v>https://pbs.twimg.com/media/F-BnCAIXwAA6-2j.jpg</v>
      </c>
      <c r="AW163" s="84" t="s">
        <v>786</v>
      </c>
      <c r="AX163" s="84" t="s">
        <v>786</v>
      </c>
      <c r="AY163" s="81"/>
      <c r="AZ163" s="84" t="s">
        <v>879</v>
      </c>
      <c r="BA163" s="84" t="s">
        <v>879</v>
      </c>
      <c r="BB163" s="84" t="s">
        <v>879</v>
      </c>
      <c r="BC163" s="84" t="s">
        <v>786</v>
      </c>
      <c r="BD163" s="84" t="s">
        <v>876</v>
      </c>
      <c r="BE163" s="81"/>
      <c r="BF163" s="81"/>
      <c r="BG163" s="81"/>
      <c r="BH163" s="81"/>
      <c r="BI163" s="81"/>
      <c r="BJ163">
        <v>1</v>
      </c>
      <c r="BK163" s="80" t="str">
        <f>REPLACE(INDEX(GroupVertices[Group], MATCH("~"&amp;Edges[[#This Row],[Vertex 1]],GroupVertices[Vertex],0)),1,1,"")</f>
        <v>3</v>
      </c>
      <c r="BL163" s="80" t="str">
        <f>REPLACE(INDEX(GroupVertices[Group], MATCH("~"&amp;Edges[[#This Row],[Vertex 2]],GroupVertices[Vertex],0)),1,1,"")</f>
        <v>6</v>
      </c>
      <c r="BM163" s="49">
        <v>2</v>
      </c>
      <c r="BN163" s="50">
        <v>6.25</v>
      </c>
      <c r="BO163" s="49">
        <v>0</v>
      </c>
      <c r="BP163" s="50">
        <v>0</v>
      </c>
      <c r="BQ163" s="49">
        <v>0</v>
      </c>
      <c r="BR163" s="50">
        <v>0</v>
      </c>
      <c r="BS163" s="49">
        <v>24</v>
      </c>
      <c r="BT163" s="50">
        <v>75</v>
      </c>
      <c r="BU163" s="49">
        <v>32</v>
      </c>
    </row>
    <row r="164" spans="1:73" x14ac:dyDescent="0.25">
      <c r="A164" s="65" t="s">
        <v>268</v>
      </c>
      <c r="B164" s="65" t="s">
        <v>281</v>
      </c>
      <c r="C164" s="66" t="s">
        <v>10073</v>
      </c>
      <c r="D164" s="67">
        <v>3</v>
      </c>
      <c r="E164" s="68" t="s">
        <v>132</v>
      </c>
      <c r="F164" s="69">
        <v>35</v>
      </c>
      <c r="G164" s="66"/>
      <c r="H164" s="70"/>
      <c r="I164" s="71"/>
      <c r="J164" s="71"/>
      <c r="K164" s="35" t="s">
        <v>66</v>
      </c>
      <c r="L164" s="79">
        <v>164</v>
      </c>
      <c r="M164" s="79"/>
      <c r="N164" s="73"/>
      <c r="O164" s="81" t="s">
        <v>365</v>
      </c>
      <c r="P164" s="83">
        <v>45229.645069444443</v>
      </c>
      <c r="Q164" s="81" t="s">
        <v>440</v>
      </c>
      <c r="R164" s="81">
        <v>1</v>
      </c>
      <c r="S164" s="81">
        <v>0</v>
      </c>
      <c r="T164" s="81">
        <v>0</v>
      </c>
      <c r="U164" s="81">
        <v>0</v>
      </c>
      <c r="V164" s="81"/>
      <c r="W164" s="84" t="s">
        <v>491</v>
      </c>
      <c r="X164" s="81"/>
      <c r="Y164" s="81"/>
      <c r="Z164" s="81" t="s">
        <v>281</v>
      </c>
      <c r="AA164" s="81"/>
      <c r="AB164" s="81"/>
      <c r="AC164" s="84" t="s">
        <v>582</v>
      </c>
      <c r="AD164" s="81" t="s">
        <v>588</v>
      </c>
      <c r="AE164" s="86" t="str">
        <f>HYPERLINK("https://twitter.com/aejmc/status/1719013516298862668")</f>
        <v>https://twitter.com/aejmc/status/1719013516298862668</v>
      </c>
      <c r="AF164" s="83">
        <v>45229.645069444443</v>
      </c>
      <c r="AG164" s="89">
        <v>45229</v>
      </c>
      <c r="AH164" s="84" t="s">
        <v>674</v>
      </c>
      <c r="AI164" s="81" t="b">
        <v>0</v>
      </c>
      <c r="AJ164" s="81"/>
      <c r="AK164" s="81"/>
      <c r="AL164" s="81"/>
      <c r="AM164" s="81"/>
      <c r="AN164" s="81"/>
      <c r="AO164" s="81"/>
      <c r="AP164" s="81"/>
      <c r="AQ164" s="81"/>
      <c r="AR164" s="81"/>
      <c r="AS164" s="81"/>
      <c r="AT164" s="81"/>
      <c r="AU164" s="81"/>
      <c r="AV164" s="86" t="str">
        <f>HYPERLINK("https://pbs.twimg.com/profile_images/1559584982439444482/vOVkFGh3_normal.png")</f>
        <v>https://pbs.twimg.com/profile_images/1559584982439444482/vOVkFGh3_normal.png</v>
      </c>
      <c r="AW164" s="84" t="s">
        <v>828</v>
      </c>
      <c r="AX164" s="84" t="s">
        <v>828</v>
      </c>
      <c r="AY164" s="81"/>
      <c r="AZ164" s="84" t="s">
        <v>879</v>
      </c>
      <c r="BA164" s="84" t="s">
        <v>879</v>
      </c>
      <c r="BB164" s="84" t="s">
        <v>822</v>
      </c>
      <c r="BC164" s="84" t="s">
        <v>822</v>
      </c>
      <c r="BD164" s="81">
        <v>8442592</v>
      </c>
      <c r="BE164" s="81"/>
      <c r="BF164" s="81"/>
      <c r="BG164" s="81"/>
      <c r="BH164" s="81"/>
      <c r="BI164" s="81"/>
      <c r="BJ164">
        <v>1</v>
      </c>
      <c r="BK164" s="80" t="str">
        <f>REPLACE(INDEX(GroupVertices[Group], MATCH("~"&amp;Edges[[#This Row],[Vertex 1]],GroupVertices[Vertex],0)),1,1,"")</f>
        <v>1</v>
      </c>
      <c r="BL164" s="80" t="str">
        <f>REPLACE(INDEX(GroupVertices[Group], MATCH("~"&amp;Edges[[#This Row],[Vertex 2]],GroupVertices[Vertex],0)),1,1,"")</f>
        <v>6</v>
      </c>
      <c r="BM164" s="49">
        <v>0</v>
      </c>
      <c r="BN164" s="50">
        <v>0</v>
      </c>
      <c r="BO164" s="49">
        <v>0</v>
      </c>
      <c r="BP164" s="50">
        <v>0</v>
      </c>
      <c r="BQ164" s="49">
        <v>0</v>
      </c>
      <c r="BR164" s="50">
        <v>0</v>
      </c>
      <c r="BS164" s="49">
        <v>11</v>
      </c>
      <c r="BT164" s="50">
        <v>45.833333333333336</v>
      </c>
      <c r="BU164" s="49">
        <v>24</v>
      </c>
    </row>
    <row r="165" spans="1:73" x14ac:dyDescent="0.25">
      <c r="A165" s="65" t="s">
        <v>268</v>
      </c>
      <c r="B165" s="65" t="s">
        <v>281</v>
      </c>
      <c r="C165" s="66" t="s">
        <v>10073</v>
      </c>
      <c r="D165" s="67">
        <v>3</v>
      </c>
      <c r="E165" s="68" t="s">
        <v>132</v>
      </c>
      <c r="F165" s="69">
        <v>35</v>
      </c>
      <c r="G165" s="66"/>
      <c r="H165" s="70"/>
      <c r="I165" s="71"/>
      <c r="J165" s="71"/>
      <c r="K165" s="35" t="s">
        <v>66</v>
      </c>
      <c r="L165" s="79">
        <v>165</v>
      </c>
      <c r="M165" s="79"/>
      <c r="N165" s="73"/>
      <c r="O165" s="81" t="s">
        <v>368</v>
      </c>
      <c r="P165" s="83">
        <v>45233.740937499999</v>
      </c>
      <c r="Q165" s="81" t="s">
        <v>408</v>
      </c>
      <c r="R165" s="81">
        <v>0</v>
      </c>
      <c r="S165" s="81">
        <v>2</v>
      </c>
      <c r="T165" s="81">
        <v>0</v>
      </c>
      <c r="U165" s="81">
        <v>0</v>
      </c>
      <c r="V165" s="81">
        <v>80</v>
      </c>
      <c r="W165" s="81"/>
      <c r="X165" s="81"/>
      <c r="Y165" s="81"/>
      <c r="Z165" s="81" t="s">
        <v>536</v>
      </c>
      <c r="AA165" s="81"/>
      <c r="AB165" s="81"/>
      <c r="AC165" s="84" t="s">
        <v>582</v>
      </c>
      <c r="AD165" s="81" t="s">
        <v>589</v>
      </c>
      <c r="AE165" s="86" t="str">
        <f>HYPERLINK("https://twitter.com/aejmc/status/1720497808719942028")</f>
        <v>https://twitter.com/aejmc/status/1720497808719942028</v>
      </c>
      <c r="AF165" s="83">
        <v>45233.740937499999</v>
      </c>
      <c r="AG165" s="89">
        <v>45233</v>
      </c>
      <c r="AH165" s="84" t="s">
        <v>633</v>
      </c>
      <c r="AI165" s="81"/>
      <c r="AJ165" s="81"/>
      <c r="AK165" s="81"/>
      <c r="AL165" s="81"/>
      <c r="AM165" s="81"/>
      <c r="AN165" s="81"/>
      <c r="AO165" s="81"/>
      <c r="AP165" s="81"/>
      <c r="AQ165" s="81"/>
      <c r="AR165" s="81"/>
      <c r="AS165" s="81"/>
      <c r="AT165" s="81"/>
      <c r="AU165" s="81"/>
      <c r="AV165" s="86" t="str">
        <f>HYPERLINK("https://pbs.twimg.com/profile_images/1559584982439444482/vOVkFGh3_normal.png")</f>
        <v>https://pbs.twimg.com/profile_images/1559584982439444482/vOVkFGh3_normal.png</v>
      </c>
      <c r="AW165" s="84" t="s">
        <v>787</v>
      </c>
      <c r="AX165" s="84" t="s">
        <v>786</v>
      </c>
      <c r="AY165" s="84" t="s">
        <v>876</v>
      </c>
      <c r="AZ165" s="84" t="s">
        <v>786</v>
      </c>
      <c r="BA165" s="84" t="s">
        <v>879</v>
      </c>
      <c r="BB165" s="84" t="s">
        <v>879</v>
      </c>
      <c r="BC165" s="84" t="s">
        <v>786</v>
      </c>
      <c r="BD165" s="81">
        <v>8442592</v>
      </c>
      <c r="BE165" s="81"/>
      <c r="BF165" s="81"/>
      <c r="BG165" s="81"/>
      <c r="BH165" s="81"/>
      <c r="BI165" s="81"/>
      <c r="BJ165">
        <v>1</v>
      </c>
      <c r="BK165" s="80" t="str">
        <f>REPLACE(INDEX(GroupVertices[Group], MATCH("~"&amp;Edges[[#This Row],[Vertex 1]],GroupVertices[Vertex],0)),1,1,"")</f>
        <v>1</v>
      </c>
      <c r="BL165" s="80" t="str">
        <f>REPLACE(INDEX(GroupVertices[Group], MATCH("~"&amp;Edges[[#This Row],[Vertex 2]],GroupVertices[Vertex],0)),1,1,"")</f>
        <v>6</v>
      </c>
      <c r="BM165" s="49">
        <v>0</v>
      </c>
      <c r="BN165" s="50">
        <v>0</v>
      </c>
      <c r="BO165" s="49">
        <v>0</v>
      </c>
      <c r="BP165" s="50">
        <v>0</v>
      </c>
      <c r="BQ165" s="49">
        <v>0</v>
      </c>
      <c r="BR165" s="50">
        <v>0</v>
      </c>
      <c r="BS165" s="49">
        <v>5</v>
      </c>
      <c r="BT165" s="50">
        <v>100</v>
      </c>
      <c r="BU165" s="49">
        <v>5</v>
      </c>
    </row>
    <row r="166" spans="1:73" x14ac:dyDescent="0.25">
      <c r="A166" s="65" t="s">
        <v>281</v>
      </c>
      <c r="B166" s="65" t="s">
        <v>268</v>
      </c>
      <c r="C166" s="66" t="s">
        <v>10074</v>
      </c>
      <c r="D166" s="67">
        <v>6.5</v>
      </c>
      <c r="E166" s="68" t="s">
        <v>132</v>
      </c>
      <c r="F166" s="69">
        <v>23.5</v>
      </c>
      <c r="G166" s="66"/>
      <c r="H166" s="70"/>
      <c r="I166" s="71"/>
      <c r="J166" s="71"/>
      <c r="K166" s="35" t="s">
        <v>66</v>
      </c>
      <c r="L166" s="79">
        <v>166</v>
      </c>
      <c r="M166" s="79"/>
      <c r="N166" s="73"/>
      <c r="O166" s="81" t="s">
        <v>365</v>
      </c>
      <c r="P166" s="83">
        <v>45229.843819444446</v>
      </c>
      <c r="Q166" s="81" t="s">
        <v>439</v>
      </c>
      <c r="R166" s="81">
        <v>7</v>
      </c>
      <c r="S166" s="81">
        <v>0</v>
      </c>
      <c r="T166" s="81">
        <v>0</v>
      </c>
      <c r="U166" s="81">
        <v>0</v>
      </c>
      <c r="V166" s="81"/>
      <c r="W166" s="81"/>
      <c r="X166" s="81"/>
      <c r="Y166" s="81"/>
      <c r="Z166" s="81" t="s">
        <v>268</v>
      </c>
      <c r="AA166" s="81"/>
      <c r="AB166" s="81"/>
      <c r="AC166" s="84" t="s">
        <v>583</v>
      </c>
      <c r="AD166" s="81" t="s">
        <v>588</v>
      </c>
      <c r="AE166" s="86" t="str">
        <f>HYPERLINK("https://twitter.com/gregperreault/status/1719085538118979812")</f>
        <v>https://twitter.com/gregperreault/status/1719085538118979812</v>
      </c>
      <c r="AF166" s="83">
        <v>45229.843819444446</v>
      </c>
      <c r="AG166" s="89">
        <v>45229</v>
      </c>
      <c r="AH166" s="84" t="s">
        <v>675</v>
      </c>
      <c r="AI166" s="81"/>
      <c r="AJ166" s="81"/>
      <c r="AK166" s="81"/>
      <c r="AL166" s="81"/>
      <c r="AM166" s="81"/>
      <c r="AN166" s="81"/>
      <c r="AO166" s="81"/>
      <c r="AP166" s="81"/>
      <c r="AQ166" s="81"/>
      <c r="AR166" s="81"/>
      <c r="AS166" s="81"/>
      <c r="AT166" s="81"/>
      <c r="AU166" s="81"/>
      <c r="AV166" s="86" t="str">
        <f>HYPERLINK("https://pbs.twimg.com/profile_images/1411054146111873024/g2JD9Gqs_normal.jpg")</f>
        <v>https://pbs.twimg.com/profile_images/1411054146111873024/g2JD9Gqs_normal.jpg</v>
      </c>
      <c r="AW166" s="84" t="s">
        <v>829</v>
      </c>
      <c r="AX166" s="84" t="s">
        <v>829</v>
      </c>
      <c r="AY166" s="81"/>
      <c r="AZ166" s="84" t="s">
        <v>879</v>
      </c>
      <c r="BA166" s="84" t="s">
        <v>879</v>
      </c>
      <c r="BB166" s="84" t="s">
        <v>865</v>
      </c>
      <c r="BC166" s="84" t="s">
        <v>865</v>
      </c>
      <c r="BD166" s="81">
        <v>19065198</v>
      </c>
      <c r="BE166" s="81"/>
      <c r="BF166" s="81"/>
      <c r="BG166" s="81"/>
      <c r="BH166" s="81"/>
      <c r="BI166" s="81"/>
      <c r="BJ166">
        <v>2</v>
      </c>
      <c r="BK166" s="80" t="str">
        <f>REPLACE(INDEX(GroupVertices[Group], MATCH("~"&amp;Edges[[#This Row],[Vertex 1]],GroupVertices[Vertex],0)),1,1,"")</f>
        <v>6</v>
      </c>
      <c r="BL166" s="80" t="str">
        <f>REPLACE(INDEX(GroupVertices[Group], MATCH("~"&amp;Edges[[#This Row],[Vertex 2]],GroupVertices[Vertex],0)),1,1,"")</f>
        <v>1</v>
      </c>
      <c r="BM166" s="49">
        <v>1</v>
      </c>
      <c r="BN166" s="50">
        <v>4.5454545454545459</v>
      </c>
      <c r="BO166" s="49">
        <v>0</v>
      </c>
      <c r="BP166" s="50">
        <v>0</v>
      </c>
      <c r="BQ166" s="49">
        <v>0</v>
      </c>
      <c r="BR166" s="50">
        <v>0</v>
      </c>
      <c r="BS166" s="49">
        <v>11</v>
      </c>
      <c r="BT166" s="50">
        <v>50</v>
      </c>
      <c r="BU166" s="49">
        <v>22</v>
      </c>
    </row>
    <row r="167" spans="1:73" x14ac:dyDescent="0.25">
      <c r="A167" s="65" t="s">
        <v>281</v>
      </c>
      <c r="B167" s="65" t="s">
        <v>268</v>
      </c>
      <c r="C167" s="66" t="s">
        <v>10073</v>
      </c>
      <c r="D167" s="67">
        <v>3</v>
      </c>
      <c r="E167" s="68" t="s">
        <v>132</v>
      </c>
      <c r="F167" s="69">
        <v>35</v>
      </c>
      <c r="G167" s="66"/>
      <c r="H167" s="70"/>
      <c r="I167" s="71"/>
      <c r="J167" s="71"/>
      <c r="K167" s="35" t="s">
        <v>66</v>
      </c>
      <c r="L167" s="79">
        <v>167</v>
      </c>
      <c r="M167" s="79"/>
      <c r="N167" s="73"/>
      <c r="O167" s="81" t="s">
        <v>367</v>
      </c>
      <c r="P167" s="83">
        <v>45226.699976851851</v>
      </c>
      <c r="Q167" s="81" t="s">
        <v>434</v>
      </c>
      <c r="R167" s="81">
        <v>1</v>
      </c>
      <c r="S167" s="81">
        <v>8</v>
      </c>
      <c r="T167" s="81">
        <v>0</v>
      </c>
      <c r="U167" s="81">
        <v>0</v>
      </c>
      <c r="V167" s="81">
        <v>858</v>
      </c>
      <c r="W167" s="84" t="s">
        <v>491</v>
      </c>
      <c r="X167" s="86" t="str">
        <f>HYPERLINK("https://journals.sagepub.com/doi/10.1177/10776990231206366")</f>
        <v>https://journals.sagepub.com/doi/10.1177/10776990231206366</v>
      </c>
      <c r="Y167" s="81" t="s">
        <v>506</v>
      </c>
      <c r="Z167" s="81" t="s">
        <v>542</v>
      </c>
      <c r="AA167" s="81"/>
      <c r="AB167" s="81"/>
      <c r="AC167" s="84" t="s">
        <v>582</v>
      </c>
      <c r="AD167" s="81" t="s">
        <v>588</v>
      </c>
      <c r="AE167" s="86" t="str">
        <f>HYPERLINK("https://twitter.com/gregperreault/status/1717946250757378369")</f>
        <v>https://twitter.com/gregperreault/status/1717946250757378369</v>
      </c>
      <c r="AF167" s="83">
        <v>45226.699976851851</v>
      </c>
      <c r="AG167" s="89">
        <v>45226</v>
      </c>
      <c r="AH167" s="84" t="s">
        <v>668</v>
      </c>
      <c r="AI167" s="81" t="b">
        <v>0</v>
      </c>
      <c r="AJ167" s="81"/>
      <c r="AK167" s="81"/>
      <c r="AL167" s="81"/>
      <c r="AM167" s="81"/>
      <c r="AN167" s="81"/>
      <c r="AO167" s="81"/>
      <c r="AP167" s="81"/>
      <c r="AQ167" s="81"/>
      <c r="AR167" s="81"/>
      <c r="AS167" s="81"/>
      <c r="AT167" s="81"/>
      <c r="AU167" s="81"/>
      <c r="AV167" s="86" t="str">
        <f>HYPERLINK("https://pbs.twimg.com/profile_images/1411054146111873024/g2JD9Gqs_normal.jpg")</f>
        <v>https://pbs.twimg.com/profile_images/1411054146111873024/g2JD9Gqs_normal.jpg</v>
      </c>
      <c r="AW167" s="84" t="s">
        <v>822</v>
      </c>
      <c r="AX167" s="84" t="s">
        <v>822</v>
      </c>
      <c r="AY167" s="81"/>
      <c r="AZ167" s="84" t="s">
        <v>879</v>
      </c>
      <c r="BA167" s="84" t="s">
        <v>879</v>
      </c>
      <c r="BB167" s="84" t="s">
        <v>879</v>
      </c>
      <c r="BC167" s="84" t="s">
        <v>822</v>
      </c>
      <c r="BD167" s="81">
        <v>19065198</v>
      </c>
      <c r="BE167" s="81"/>
      <c r="BF167" s="81"/>
      <c r="BG167" s="81"/>
      <c r="BH167" s="81"/>
      <c r="BI167" s="81"/>
      <c r="BJ167">
        <v>1</v>
      </c>
      <c r="BK167" s="80" t="str">
        <f>REPLACE(INDEX(GroupVertices[Group], MATCH("~"&amp;Edges[[#This Row],[Vertex 1]],GroupVertices[Vertex],0)),1,1,"")</f>
        <v>6</v>
      </c>
      <c r="BL167" s="80" t="str">
        <f>REPLACE(INDEX(GroupVertices[Group], MATCH("~"&amp;Edges[[#This Row],[Vertex 2]],GroupVertices[Vertex],0)),1,1,"")</f>
        <v>1</v>
      </c>
      <c r="BM167" s="49"/>
      <c r="BN167" s="50"/>
      <c r="BO167" s="49"/>
      <c r="BP167" s="50"/>
      <c r="BQ167" s="49"/>
      <c r="BR167" s="50"/>
      <c r="BS167" s="49"/>
      <c r="BT167" s="50"/>
      <c r="BU167" s="49"/>
    </row>
    <row r="168" spans="1:73" x14ac:dyDescent="0.25">
      <c r="A168" s="65" t="s">
        <v>281</v>
      </c>
      <c r="B168" s="65" t="s">
        <v>294</v>
      </c>
      <c r="C168" s="66" t="s">
        <v>10073</v>
      </c>
      <c r="D168" s="67">
        <v>3</v>
      </c>
      <c r="E168" s="68" t="s">
        <v>132</v>
      </c>
      <c r="F168" s="69">
        <v>35</v>
      </c>
      <c r="G168" s="66"/>
      <c r="H168" s="70"/>
      <c r="I168" s="71"/>
      <c r="J168" s="71"/>
      <c r="K168" s="35" t="s">
        <v>65</v>
      </c>
      <c r="L168" s="79">
        <v>168</v>
      </c>
      <c r="M168" s="79"/>
      <c r="N168" s="73"/>
      <c r="O168" s="81" t="s">
        <v>367</v>
      </c>
      <c r="P168" s="83">
        <v>45226.699976851851</v>
      </c>
      <c r="Q168" s="81" t="s">
        <v>434</v>
      </c>
      <c r="R168" s="81">
        <v>1</v>
      </c>
      <c r="S168" s="81">
        <v>8</v>
      </c>
      <c r="T168" s="81">
        <v>0</v>
      </c>
      <c r="U168" s="81">
        <v>0</v>
      </c>
      <c r="V168" s="81">
        <v>858</v>
      </c>
      <c r="W168" s="84" t="s">
        <v>491</v>
      </c>
      <c r="X168" s="86" t="str">
        <f>HYPERLINK("https://journals.sagepub.com/doi/10.1177/10776990231206366")</f>
        <v>https://journals.sagepub.com/doi/10.1177/10776990231206366</v>
      </c>
      <c r="Y168" s="81" t="s">
        <v>506</v>
      </c>
      <c r="Z168" s="81" t="s">
        <v>542</v>
      </c>
      <c r="AA168" s="81"/>
      <c r="AB168" s="81"/>
      <c r="AC168" s="84" t="s">
        <v>582</v>
      </c>
      <c r="AD168" s="81" t="s">
        <v>588</v>
      </c>
      <c r="AE168" s="86" t="str">
        <f>HYPERLINK("https://twitter.com/gregperreault/status/1717946250757378369")</f>
        <v>https://twitter.com/gregperreault/status/1717946250757378369</v>
      </c>
      <c r="AF168" s="83">
        <v>45226.699976851851</v>
      </c>
      <c r="AG168" s="89">
        <v>45226</v>
      </c>
      <c r="AH168" s="84" t="s">
        <v>668</v>
      </c>
      <c r="AI168" s="81" t="b">
        <v>0</v>
      </c>
      <c r="AJ168" s="81"/>
      <c r="AK168" s="81"/>
      <c r="AL168" s="81"/>
      <c r="AM168" s="81"/>
      <c r="AN168" s="81"/>
      <c r="AO168" s="81"/>
      <c r="AP168" s="81"/>
      <c r="AQ168" s="81"/>
      <c r="AR168" s="81"/>
      <c r="AS168" s="81"/>
      <c r="AT168" s="81"/>
      <c r="AU168" s="81"/>
      <c r="AV168" s="86" t="str">
        <f>HYPERLINK("https://pbs.twimg.com/profile_images/1411054146111873024/g2JD9Gqs_normal.jpg")</f>
        <v>https://pbs.twimg.com/profile_images/1411054146111873024/g2JD9Gqs_normal.jpg</v>
      </c>
      <c r="AW168" s="84" t="s">
        <v>822</v>
      </c>
      <c r="AX168" s="84" t="s">
        <v>822</v>
      </c>
      <c r="AY168" s="81"/>
      <c r="AZ168" s="84" t="s">
        <v>879</v>
      </c>
      <c r="BA168" s="84" t="s">
        <v>879</v>
      </c>
      <c r="BB168" s="84" t="s">
        <v>879</v>
      </c>
      <c r="BC168" s="84" t="s">
        <v>822</v>
      </c>
      <c r="BD168" s="81">
        <v>19065198</v>
      </c>
      <c r="BE168" s="81"/>
      <c r="BF168" s="81"/>
      <c r="BG168" s="81"/>
      <c r="BH168" s="81"/>
      <c r="BI168" s="81"/>
      <c r="BJ168">
        <v>1</v>
      </c>
      <c r="BK168" s="80" t="str">
        <f>REPLACE(INDEX(GroupVertices[Group], MATCH("~"&amp;Edges[[#This Row],[Vertex 1]],GroupVertices[Vertex],0)),1,1,"")</f>
        <v>6</v>
      </c>
      <c r="BL168" s="80" t="str">
        <f>REPLACE(INDEX(GroupVertices[Group], MATCH("~"&amp;Edges[[#This Row],[Vertex 2]],GroupVertices[Vertex],0)),1,1,"")</f>
        <v>6</v>
      </c>
      <c r="BM168" s="49">
        <v>0</v>
      </c>
      <c r="BN168" s="50">
        <v>0</v>
      </c>
      <c r="BO168" s="49">
        <v>0</v>
      </c>
      <c r="BP168" s="50">
        <v>0</v>
      </c>
      <c r="BQ168" s="49">
        <v>0</v>
      </c>
      <c r="BR168" s="50">
        <v>0</v>
      </c>
      <c r="BS168" s="49">
        <v>21</v>
      </c>
      <c r="BT168" s="50">
        <v>58.333333333333336</v>
      </c>
      <c r="BU168" s="49">
        <v>36</v>
      </c>
    </row>
    <row r="169" spans="1:73" x14ac:dyDescent="0.25">
      <c r="A169" s="65" t="s">
        <v>281</v>
      </c>
      <c r="B169" s="65" t="s">
        <v>249</v>
      </c>
      <c r="C169" s="66" t="s">
        <v>10073</v>
      </c>
      <c r="D169" s="67">
        <v>3</v>
      </c>
      <c r="E169" s="68" t="s">
        <v>132</v>
      </c>
      <c r="F169" s="69">
        <v>35</v>
      </c>
      <c r="G169" s="66"/>
      <c r="H169" s="70"/>
      <c r="I169" s="71"/>
      <c r="J169" s="71"/>
      <c r="K169" s="35" t="s">
        <v>66</v>
      </c>
      <c r="L169" s="79">
        <v>169</v>
      </c>
      <c r="M169" s="79"/>
      <c r="N169" s="73"/>
      <c r="O169" s="81" t="s">
        <v>367</v>
      </c>
      <c r="P169" s="83">
        <v>45226.699976851851</v>
      </c>
      <c r="Q169" s="81" t="s">
        <v>434</v>
      </c>
      <c r="R169" s="81">
        <v>1</v>
      </c>
      <c r="S169" s="81">
        <v>8</v>
      </c>
      <c r="T169" s="81">
        <v>0</v>
      </c>
      <c r="U169" s="81">
        <v>0</v>
      </c>
      <c r="V169" s="81">
        <v>858</v>
      </c>
      <c r="W169" s="84" t="s">
        <v>491</v>
      </c>
      <c r="X169" s="86" t="str">
        <f>HYPERLINK("https://journals.sagepub.com/doi/10.1177/10776990231206366")</f>
        <v>https://journals.sagepub.com/doi/10.1177/10776990231206366</v>
      </c>
      <c r="Y169" s="81" t="s">
        <v>506</v>
      </c>
      <c r="Z169" s="81" t="s">
        <v>542</v>
      </c>
      <c r="AA169" s="81"/>
      <c r="AB169" s="81"/>
      <c r="AC169" s="84" t="s">
        <v>582</v>
      </c>
      <c r="AD169" s="81" t="s">
        <v>588</v>
      </c>
      <c r="AE169" s="86" t="str">
        <f>HYPERLINK("https://twitter.com/gregperreault/status/1717946250757378369")</f>
        <v>https://twitter.com/gregperreault/status/1717946250757378369</v>
      </c>
      <c r="AF169" s="83">
        <v>45226.699976851851</v>
      </c>
      <c r="AG169" s="89">
        <v>45226</v>
      </c>
      <c r="AH169" s="84" t="s">
        <v>668</v>
      </c>
      <c r="AI169" s="81" t="b">
        <v>0</v>
      </c>
      <c r="AJ169" s="81"/>
      <c r="AK169" s="81"/>
      <c r="AL169" s="81"/>
      <c r="AM169" s="81"/>
      <c r="AN169" s="81"/>
      <c r="AO169" s="81"/>
      <c r="AP169" s="81"/>
      <c r="AQ169" s="81"/>
      <c r="AR169" s="81"/>
      <c r="AS169" s="81"/>
      <c r="AT169" s="81"/>
      <c r="AU169" s="81"/>
      <c r="AV169" s="86" t="str">
        <f>HYPERLINK("https://pbs.twimg.com/profile_images/1411054146111873024/g2JD9Gqs_normal.jpg")</f>
        <v>https://pbs.twimg.com/profile_images/1411054146111873024/g2JD9Gqs_normal.jpg</v>
      </c>
      <c r="AW169" s="84" t="s">
        <v>822</v>
      </c>
      <c r="AX169" s="84" t="s">
        <v>822</v>
      </c>
      <c r="AY169" s="81"/>
      <c r="AZ169" s="84" t="s">
        <v>879</v>
      </c>
      <c r="BA169" s="84" t="s">
        <v>879</v>
      </c>
      <c r="BB169" s="84" t="s">
        <v>879</v>
      </c>
      <c r="BC169" s="84" t="s">
        <v>822</v>
      </c>
      <c r="BD169" s="81">
        <v>19065198</v>
      </c>
      <c r="BE169" s="81"/>
      <c r="BF169" s="81"/>
      <c r="BG169" s="81"/>
      <c r="BH169" s="81"/>
      <c r="BI169" s="81"/>
      <c r="BJ169">
        <v>1</v>
      </c>
      <c r="BK169" s="80" t="str">
        <f>REPLACE(INDEX(GroupVertices[Group], MATCH("~"&amp;Edges[[#This Row],[Vertex 1]],GroupVertices[Vertex],0)),1,1,"")</f>
        <v>6</v>
      </c>
      <c r="BL169" s="80" t="str">
        <f>REPLACE(INDEX(GroupVertices[Group], MATCH("~"&amp;Edges[[#This Row],[Vertex 2]],GroupVertices[Vertex],0)),1,1,"")</f>
        <v>3</v>
      </c>
      <c r="BM169" s="49"/>
      <c r="BN169" s="50"/>
      <c r="BO169" s="49"/>
      <c r="BP169" s="50"/>
      <c r="BQ169" s="49"/>
      <c r="BR169" s="50"/>
      <c r="BS169" s="49"/>
      <c r="BT169" s="50"/>
      <c r="BU169" s="49"/>
    </row>
    <row r="170" spans="1:73" x14ac:dyDescent="0.25">
      <c r="A170" s="65" t="s">
        <v>281</v>
      </c>
      <c r="B170" s="65" t="s">
        <v>268</v>
      </c>
      <c r="C170" s="66" t="s">
        <v>10074</v>
      </c>
      <c r="D170" s="67">
        <v>6.5</v>
      </c>
      <c r="E170" s="68" t="s">
        <v>132</v>
      </c>
      <c r="F170" s="69">
        <v>23.5</v>
      </c>
      <c r="G170" s="66"/>
      <c r="H170" s="70"/>
      <c r="I170" s="71"/>
      <c r="J170" s="71"/>
      <c r="K170" s="35" t="s">
        <v>66</v>
      </c>
      <c r="L170" s="79">
        <v>170</v>
      </c>
      <c r="M170" s="79"/>
      <c r="N170" s="73"/>
      <c r="O170" s="81" t="s">
        <v>365</v>
      </c>
      <c r="P170" s="83">
        <v>45233.748668981483</v>
      </c>
      <c r="Q170" s="81" t="s">
        <v>406</v>
      </c>
      <c r="R170" s="81">
        <v>3</v>
      </c>
      <c r="S170" s="81">
        <v>0</v>
      </c>
      <c r="T170" s="81">
        <v>0</v>
      </c>
      <c r="U170" s="81">
        <v>0</v>
      </c>
      <c r="V170" s="81"/>
      <c r="W170" s="81"/>
      <c r="X170" s="81"/>
      <c r="Y170" s="81"/>
      <c r="Z170" s="81" t="s">
        <v>268</v>
      </c>
      <c r="AA170" s="81"/>
      <c r="AB170" s="81"/>
      <c r="AC170" s="84" t="s">
        <v>580</v>
      </c>
      <c r="AD170" s="81" t="s">
        <v>588</v>
      </c>
      <c r="AE170" s="86" t="str">
        <f>HYPERLINK("https://twitter.com/gregperreault/status/1720500610754097661")</f>
        <v>https://twitter.com/gregperreault/status/1720500610754097661</v>
      </c>
      <c r="AF170" s="83">
        <v>45233.748668981483</v>
      </c>
      <c r="AG170" s="89">
        <v>45233</v>
      </c>
      <c r="AH170" s="84" t="s">
        <v>676</v>
      </c>
      <c r="AI170" s="81"/>
      <c r="AJ170" s="81"/>
      <c r="AK170" s="81"/>
      <c r="AL170" s="81"/>
      <c r="AM170" s="81"/>
      <c r="AN170" s="81"/>
      <c r="AO170" s="81"/>
      <c r="AP170" s="81"/>
      <c r="AQ170" s="81"/>
      <c r="AR170" s="81"/>
      <c r="AS170" s="81"/>
      <c r="AT170" s="81"/>
      <c r="AU170" s="81"/>
      <c r="AV170" s="86" t="str">
        <f>HYPERLINK("https://pbs.twimg.com/profile_images/1411054146111873024/g2JD9Gqs_normal.jpg")</f>
        <v>https://pbs.twimg.com/profile_images/1411054146111873024/g2JD9Gqs_normal.jpg</v>
      </c>
      <c r="AW170" s="84" t="s">
        <v>830</v>
      </c>
      <c r="AX170" s="84" t="s">
        <v>830</v>
      </c>
      <c r="AY170" s="81"/>
      <c r="AZ170" s="84" t="s">
        <v>879</v>
      </c>
      <c r="BA170" s="84" t="s">
        <v>879</v>
      </c>
      <c r="BB170" s="84" t="s">
        <v>862</v>
      </c>
      <c r="BC170" s="84" t="s">
        <v>862</v>
      </c>
      <c r="BD170" s="81">
        <v>19065198</v>
      </c>
      <c r="BE170" s="81"/>
      <c r="BF170" s="81"/>
      <c r="BG170" s="81"/>
      <c r="BH170" s="81"/>
      <c r="BI170" s="81"/>
      <c r="BJ170">
        <v>2</v>
      </c>
      <c r="BK170" s="80" t="str">
        <f>REPLACE(INDEX(GroupVertices[Group], MATCH("~"&amp;Edges[[#This Row],[Vertex 1]],GroupVertices[Vertex],0)),1,1,"")</f>
        <v>6</v>
      </c>
      <c r="BL170" s="80" t="str">
        <f>REPLACE(INDEX(GroupVertices[Group], MATCH("~"&amp;Edges[[#This Row],[Vertex 2]],GroupVertices[Vertex],0)),1,1,"")</f>
        <v>1</v>
      </c>
      <c r="BM170" s="49">
        <v>2</v>
      </c>
      <c r="BN170" s="50">
        <v>9.0909090909090917</v>
      </c>
      <c r="BO170" s="49">
        <v>0</v>
      </c>
      <c r="BP170" s="50">
        <v>0</v>
      </c>
      <c r="BQ170" s="49">
        <v>0</v>
      </c>
      <c r="BR170" s="50">
        <v>0</v>
      </c>
      <c r="BS170" s="49">
        <v>12</v>
      </c>
      <c r="BT170" s="50">
        <v>54.545454545454547</v>
      </c>
      <c r="BU170" s="49">
        <v>22</v>
      </c>
    </row>
    <row r="171" spans="1:73" x14ac:dyDescent="0.25">
      <c r="A171" s="65" t="s">
        <v>281</v>
      </c>
      <c r="B171" s="65" t="s">
        <v>249</v>
      </c>
      <c r="C171" s="66" t="s">
        <v>10073</v>
      </c>
      <c r="D171" s="67">
        <v>3</v>
      </c>
      <c r="E171" s="68" t="s">
        <v>132</v>
      </c>
      <c r="F171" s="69">
        <v>35</v>
      </c>
      <c r="G171" s="66"/>
      <c r="H171" s="70"/>
      <c r="I171" s="71"/>
      <c r="J171" s="71"/>
      <c r="K171" s="35" t="s">
        <v>66</v>
      </c>
      <c r="L171" s="79">
        <v>171</v>
      </c>
      <c r="M171" s="79"/>
      <c r="N171" s="73"/>
      <c r="O171" s="81" t="s">
        <v>365</v>
      </c>
      <c r="P171" s="83">
        <v>45233.740729166668</v>
      </c>
      <c r="Q171" s="81" t="s">
        <v>374</v>
      </c>
      <c r="R171" s="81">
        <v>4</v>
      </c>
      <c r="S171" s="81">
        <v>0</v>
      </c>
      <c r="T171" s="81">
        <v>0</v>
      </c>
      <c r="U171" s="81">
        <v>0</v>
      </c>
      <c r="V171" s="81"/>
      <c r="W171" s="84" t="s">
        <v>470</v>
      </c>
      <c r="X171" s="81"/>
      <c r="Y171" s="81"/>
      <c r="Z171" s="81" t="s">
        <v>249</v>
      </c>
      <c r="AA171" s="81"/>
      <c r="AB171" s="81"/>
      <c r="AC171" s="84" t="s">
        <v>580</v>
      </c>
      <c r="AD171" s="81" t="s">
        <v>588</v>
      </c>
      <c r="AE171" s="86" t="str">
        <f>HYPERLINK("https://twitter.com/gregperreault/status/1720497732803084389")</f>
        <v>https://twitter.com/gregperreault/status/1720497732803084389</v>
      </c>
      <c r="AF171" s="83">
        <v>45233.740729166668</v>
      </c>
      <c r="AG171" s="89">
        <v>45233</v>
      </c>
      <c r="AH171" s="84" t="s">
        <v>677</v>
      </c>
      <c r="AI171" s="81"/>
      <c r="AJ171" s="81"/>
      <c r="AK171" s="81"/>
      <c r="AL171" s="81"/>
      <c r="AM171" s="81"/>
      <c r="AN171" s="81"/>
      <c r="AO171" s="81"/>
      <c r="AP171" s="81"/>
      <c r="AQ171" s="81"/>
      <c r="AR171" s="81"/>
      <c r="AS171" s="81"/>
      <c r="AT171" s="81"/>
      <c r="AU171" s="81"/>
      <c r="AV171" s="86" t="str">
        <f>HYPERLINK("https://pbs.twimg.com/profile_images/1411054146111873024/g2JD9Gqs_normal.jpg")</f>
        <v>https://pbs.twimg.com/profile_images/1411054146111873024/g2JD9Gqs_normal.jpg</v>
      </c>
      <c r="AW171" s="84" t="s">
        <v>831</v>
      </c>
      <c r="AX171" s="84" t="s">
        <v>831</v>
      </c>
      <c r="AY171" s="81"/>
      <c r="AZ171" s="84" t="s">
        <v>879</v>
      </c>
      <c r="BA171" s="84" t="s">
        <v>879</v>
      </c>
      <c r="BB171" s="84" t="s">
        <v>754</v>
      </c>
      <c r="BC171" s="84" t="s">
        <v>754</v>
      </c>
      <c r="BD171" s="81">
        <v>19065198</v>
      </c>
      <c r="BE171" s="81"/>
      <c r="BF171" s="81"/>
      <c r="BG171" s="81"/>
      <c r="BH171" s="81"/>
      <c r="BI171" s="81"/>
      <c r="BJ171">
        <v>1</v>
      </c>
      <c r="BK171" s="80" t="str">
        <f>REPLACE(INDEX(GroupVertices[Group], MATCH("~"&amp;Edges[[#This Row],[Vertex 1]],GroupVertices[Vertex],0)),1,1,"")</f>
        <v>6</v>
      </c>
      <c r="BL171" s="80" t="str">
        <f>REPLACE(INDEX(GroupVertices[Group], MATCH("~"&amp;Edges[[#This Row],[Vertex 2]],GroupVertices[Vertex],0)),1,1,"")</f>
        <v>3</v>
      </c>
      <c r="BM171" s="49">
        <v>3</v>
      </c>
      <c r="BN171" s="50">
        <v>12.5</v>
      </c>
      <c r="BO171" s="49">
        <v>0</v>
      </c>
      <c r="BP171" s="50">
        <v>0</v>
      </c>
      <c r="BQ171" s="49">
        <v>0</v>
      </c>
      <c r="BR171" s="50">
        <v>0</v>
      </c>
      <c r="BS171" s="49">
        <v>9</v>
      </c>
      <c r="BT171" s="50">
        <v>37.5</v>
      </c>
      <c r="BU171" s="49">
        <v>24</v>
      </c>
    </row>
    <row r="172" spans="1:73" x14ac:dyDescent="0.25">
      <c r="A172" s="65" t="s">
        <v>281</v>
      </c>
      <c r="B172" s="65" t="s">
        <v>268</v>
      </c>
      <c r="C172" s="66" t="s">
        <v>10073</v>
      </c>
      <c r="D172" s="67">
        <v>3</v>
      </c>
      <c r="E172" s="68" t="s">
        <v>132</v>
      </c>
      <c r="F172" s="69">
        <v>35</v>
      </c>
      <c r="G172" s="66"/>
      <c r="H172" s="70"/>
      <c r="I172" s="71"/>
      <c r="J172" s="71"/>
      <c r="K172" s="35" t="s">
        <v>66</v>
      </c>
      <c r="L172" s="79">
        <v>172</v>
      </c>
      <c r="M172" s="79"/>
      <c r="N172" s="73"/>
      <c r="O172" s="81" t="s">
        <v>366</v>
      </c>
      <c r="P172" s="83">
        <v>45229.844351851854</v>
      </c>
      <c r="Q172" s="81" t="s">
        <v>438</v>
      </c>
      <c r="R172" s="81">
        <v>2</v>
      </c>
      <c r="S172" s="81">
        <v>0</v>
      </c>
      <c r="T172" s="81">
        <v>0</v>
      </c>
      <c r="U172" s="81">
        <v>0</v>
      </c>
      <c r="V172" s="81"/>
      <c r="W172" s="81"/>
      <c r="X172" s="81"/>
      <c r="Y172" s="81"/>
      <c r="Z172" s="81" t="s">
        <v>544</v>
      </c>
      <c r="AA172" s="81"/>
      <c r="AB172" s="81"/>
      <c r="AC172" s="84" t="s">
        <v>583</v>
      </c>
      <c r="AD172" s="81" t="s">
        <v>588</v>
      </c>
      <c r="AE172" s="86" t="str">
        <f>HYPERLINK("https://twitter.com/gregperreault/status/1719085731149226334")</f>
        <v>https://twitter.com/gregperreault/status/1719085731149226334</v>
      </c>
      <c r="AF172" s="83">
        <v>45229.844351851854</v>
      </c>
      <c r="AG172" s="89">
        <v>45229</v>
      </c>
      <c r="AH172" s="84" t="s">
        <v>672</v>
      </c>
      <c r="AI172" s="81"/>
      <c r="AJ172" s="81"/>
      <c r="AK172" s="81"/>
      <c r="AL172" s="81"/>
      <c r="AM172" s="81"/>
      <c r="AN172" s="81"/>
      <c r="AO172" s="81"/>
      <c r="AP172" s="81"/>
      <c r="AQ172" s="81"/>
      <c r="AR172" s="81"/>
      <c r="AS172" s="81"/>
      <c r="AT172" s="81"/>
      <c r="AU172" s="81"/>
      <c r="AV172" s="86" t="str">
        <f>HYPERLINK("https://pbs.twimg.com/profile_images/1411054146111873024/g2JD9Gqs_normal.jpg")</f>
        <v>https://pbs.twimg.com/profile_images/1411054146111873024/g2JD9Gqs_normal.jpg</v>
      </c>
      <c r="AW172" s="84" t="s">
        <v>826</v>
      </c>
      <c r="AX172" s="84" t="s">
        <v>826</v>
      </c>
      <c r="AY172" s="81"/>
      <c r="AZ172" s="84" t="s">
        <v>879</v>
      </c>
      <c r="BA172" s="84" t="s">
        <v>825</v>
      </c>
      <c r="BB172" s="84" t="s">
        <v>823</v>
      </c>
      <c r="BC172" s="84" t="s">
        <v>823</v>
      </c>
      <c r="BD172" s="81">
        <v>19065198</v>
      </c>
      <c r="BE172" s="81"/>
      <c r="BF172" s="81"/>
      <c r="BG172" s="81"/>
      <c r="BH172" s="81"/>
      <c r="BI172" s="81"/>
      <c r="BJ172">
        <v>1</v>
      </c>
      <c r="BK172" s="80" t="str">
        <f>REPLACE(INDEX(GroupVertices[Group], MATCH("~"&amp;Edges[[#This Row],[Vertex 1]],GroupVertices[Vertex],0)),1,1,"")</f>
        <v>6</v>
      </c>
      <c r="BL172" s="80" t="str">
        <f>REPLACE(INDEX(GroupVertices[Group], MATCH("~"&amp;Edges[[#This Row],[Vertex 2]],GroupVertices[Vertex],0)),1,1,"")</f>
        <v>1</v>
      </c>
      <c r="BM172" s="49"/>
      <c r="BN172" s="50"/>
      <c r="BO172" s="49"/>
      <c r="BP172" s="50"/>
      <c r="BQ172" s="49"/>
      <c r="BR172" s="50"/>
      <c r="BS172" s="49"/>
      <c r="BT172" s="50"/>
      <c r="BU172" s="49"/>
    </row>
    <row r="173" spans="1:73" x14ac:dyDescent="0.25">
      <c r="A173" s="65" t="s">
        <v>283</v>
      </c>
      <c r="B173" s="65" t="s">
        <v>268</v>
      </c>
      <c r="C173" s="66" t="s">
        <v>10073</v>
      </c>
      <c r="D173" s="67">
        <v>3</v>
      </c>
      <c r="E173" s="68" t="s">
        <v>132</v>
      </c>
      <c r="F173" s="69">
        <v>35</v>
      </c>
      <c r="G173" s="66"/>
      <c r="H173" s="70"/>
      <c r="I173" s="71"/>
      <c r="J173" s="71"/>
      <c r="K173" s="35" t="s">
        <v>65</v>
      </c>
      <c r="L173" s="79">
        <v>173</v>
      </c>
      <c r="M173" s="79"/>
      <c r="N173" s="73"/>
      <c r="O173" s="81" t="s">
        <v>365</v>
      </c>
      <c r="P173" s="83">
        <v>45234.54184027778</v>
      </c>
      <c r="Q173" s="81" t="s">
        <v>406</v>
      </c>
      <c r="R173" s="81">
        <v>3</v>
      </c>
      <c r="S173" s="81">
        <v>0</v>
      </c>
      <c r="T173" s="81">
        <v>0</v>
      </c>
      <c r="U173" s="81">
        <v>0</v>
      </c>
      <c r="V173" s="81"/>
      <c r="W173" s="81"/>
      <c r="X173" s="81"/>
      <c r="Y173" s="81"/>
      <c r="Z173" s="81" t="s">
        <v>268</v>
      </c>
      <c r="AA173" s="81"/>
      <c r="AB173" s="81"/>
      <c r="AC173" s="84" t="s">
        <v>580</v>
      </c>
      <c r="AD173" s="81" t="s">
        <v>588</v>
      </c>
      <c r="AE173" s="86" t="str">
        <f>HYPERLINK("https://twitter.com/hdeniswu/status/1720788047682326679")</f>
        <v>https://twitter.com/hdeniswu/status/1720788047682326679</v>
      </c>
      <c r="AF173" s="83">
        <v>45234.54184027778</v>
      </c>
      <c r="AG173" s="89">
        <v>45234</v>
      </c>
      <c r="AH173" s="84" t="s">
        <v>678</v>
      </c>
      <c r="AI173" s="81"/>
      <c r="AJ173" s="81"/>
      <c r="AK173" s="81"/>
      <c r="AL173" s="81"/>
      <c r="AM173" s="81"/>
      <c r="AN173" s="81"/>
      <c r="AO173" s="81"/>
      <c r="AP173" s="81"/>
      <c r="AQ173" s="81"/>
      <c r="AR173" s="81"/>
      <c r="AS173" s="81"/>
      <c r="AT173" s="81"/>
      <c r="AU173" s="81"/>
      <c r="AV173" s="86" t="str">
        <f>HYPERLINK("https://pbs.twimg.com/profile_images/1627050137070755847/LYNRis13_normal.jpg")</f>
        <v>https://pbs.twimg.com/profile_images/1627050137070755847/LYNRis13_normal.jpg</v>
      </c>
      <c r="AW173" s="84" t="s">
        <v>832</v>
      </c>
      <c r="AX173" s="84" t="s">
        <v>832</v>
      </c>
      <c r="AY173" s="81"/>
      <c r="AZ173" s="84" t="s">
        <v>879</v>
      </c>
      <c r="BA173" s="84" t="s">
        <v>879</v>
      </c>
      <c r="BB173" s="84" t="s">
        <v>862</v>
      </c>
      <c r="BC173" s="84" t="s">
        <v>862</v>
      </c>
      <c r="BD173" s="81">
        <v>3193013278</v>
      </c>
      <c r="BE173" s="81"/>
      <c r="BF173" s="81"/>
      <c r="BG173" s="81"/>
      <c r="BH173" s="81"/>
      <c r="BI173" s="81"/>
      <c r="BJ173">
        <v>1</v>
      </c>
      <c r="BK173" s="80" t="str">
        <f>REPLACE(INDEX(GroupVertices[Group], MATCH("~"&amp;Edges[[#This Row],[Vertex 1]],GroupVertices[Vertex],0)),1,1,"")</f>
        <v>1</v>
      </c>
      <c r="BL173" s="80" t="str">
        <f>REPLACE(INDEX(GroupVertices[Group], MATCH("~"&amp;Edges[[#This Row],[Vertex 2]],GroupVertices[Vertex],0)),1,1,"")</f>
        <v>1</v>
      </c>
      <c r="BM173" s="49">
        <v>2</v>
      </c>
      <c r="BN173" s="50">
        <v>9.0909090909090917</v>
      </c>
      <c r="BO173" s="49">
        <v>0</v>
      </c>
      <c r="BP173" s="50">
        <v>0</v>
      </c>
      <c r="BQ173" s="49">
        <v>0</v>
      </c>
      <c r="BR173" s="50">
        <v>0</v>
      </c>
      <c r="BS173" s="49">
        <v>12</v>
      </c>
      <c r="BT173" s="50">
        <v>54.545454545454547</v>
      </c>
      <c r="BU173" s="49">
        <v>22</v>
      </c>
    </row>
    <row r="174" spans="1:73" x14ac:dyDescent="0.25">
      <c r="A174" s="65" t="s">
        <v>284</v>
      </c>
      <c r="B174" s="65" t="s">
        <v>337</v>
      </c>
      <c r="C174" s="66" t="s">
        <v>10073</v>
      </c>
      <c r="D174" s="67">
        <v>3</v>
      </c>
      <c r="E174" s="68" t="s">
        <v>132</v>
      </c>
      <c r="F174" s="69">
        <v>35</v>
      </c>
      <c r="G174" s="66"/>
      <c r="H174" s="70"/>
      <c r="I174" s="71"/>
      <c r="J174" s="71"/>
      <c r="K174" s="35" t="s">
        <v>65</v>
      </c>
      <c r="L174" s="79">
        <v>174</v>
      </c>
      <c r="M174" s="79"/>
      <c r="N174" s="73"/>
      <c r="O174" s="81" t="s">
        <v>367</v>
      </c>
      <c r="P174" s="83">
        <v>45230.554849537039</v>
      </c>
      <c r="Q174" s="81" t="s">
        <v>441</v>
      </c>
      <c r="R174" s="81">
        <v>1</v>
      </c>
      <c r="S174" s="81">
        <v>1</v>
      </c>
      <c r="T174" s="81">
        <v>0</v>
      </c>
      <c r="U174" s="81">
        <v>0</v>
      </c>
      <c r="V174" s="81">
        <v>313</v>
      </c>
      <c r="W174" s="81"/>
      <c r="X174" s="86" t="str">
        <f>HYPERLINK("https://www.celt.iastate.edu/event/a-culture-of-gratitude-best-practices-for-promotion-and-tenure/")</f>
        <v>https://www.celt.iastate.edu/event/a-culture-of-gratitude-best-practices-for-promotion-and-tenure/</v>
      </c>
      <c r="Y174" s="81" t="s">
        <v>511</v>
      </c>
      <c r="Z174" s="81" t="s">
        <v>545</v>
      </c>
      <c r="AA174" s="81"/>
      <c r="AB174" s="81"/>
      <c r="AC174" s="84" t="s">
        <v>582</v>
      </c>
      <c r="AD174" s="81" t="s">
        <v>588</v>
      </c>
      <c r="AE174" s="86" t="str">
        <f>HYPERLINK("https://twitter.com/michael_bugeja/status/1719343210949124292")</f>
        <v>https://twitter.com/michael_bugeja/status/1719343210949124292</v>
      </c>
      <c r="AF174" s="83">
        <v>45230.554849537039</v>
      </c>
      <c r="AG174" s="89">
        <v>45230</v>
      </c>
      <c r="AH174" s="84" t="s">
        <v>679</v>
      </c>
      <c r="AI174" s="81" t="b">
        <v>0</v>
      </c>
      <c r="AJ174" s="81"/>
      <c r="AK174" s="81"/>
      <c r="AL174" s="81"/>
      <c r="AM174" s="81"/>
      <c r="AN174" s="81"/>
      <c r="AO174" s="81"/>
      <c r="AP174" s="81"/>
      <c r="AQ174" s="81"/>
      <c r="AR174" s="81"/>
      <c r="AS174" s="81"/>
      <c r="AT174" s="81"/>
      <c r="AU174" s="81"/>
      <c r="AV174" s="86" t="str">
        <f>HYPERLINK("https://pbs.twimg.com/profile_images/1060299959570849793/ZJPqNMgP_normal.jpg")</f>
        <v>https://pbs.twimg.com/profile_images/1060299959570849793/ZJPqNMgP_normal.jpg</v>
      </c>
      <c r="AW174" s="84" t="s">
        <v>833</v>
      </c>
      <c r="AX174" s="84" t="s">
        <v>833</v>
      </c>
      <c r="AY174" s="81"/>
      <c r="AZ174" s="84" t="s">
        <v>879</v>
      </c>
      <c r="BA174" s="84" t="s">
        <v>879</v>
      </c>
      <c r="BB174" s="84" t="s">
        <v>879</v>
      </c>
      <c r="BC174" s="84" t="s">
        <v>833</v>
      </c>
      <c r="BD174" s="81">
        <v>80869971</v>
      </c>
      <c r="BE174" s="81"/>
      <c r="BF174" s="81"/>
      <c r="BG174" s="81"/>
      <c r="BH174" s="81"/>
      <c r="BI174" s="81"/>
      <c r="BJ174">
        <v>1</v>
      </c>
      <c r="BK174" s="80" t="str">
        <f>REPLACE(INDEX(GroupVertices[Group], MATCH("~"&amp;Edges[[#This Row],[Vertex 1]],GroupVertices[Vertex],0)),1,1,"")</f>
        <v>9</v>
      </c>
      <c r="BL174" s="80" t="str">
        <f>REPLACE(INDEX(GroupVertices[Group], MATCH("~"&amp;Edges[[#This Row],[Vertex 2]],GroupVertices[Vertex],0)),1,1,"")</f>
        <v>9</v>
      </c>
      <c r="BM174" s="49"/>
      <c r="BN174" s="50"/>
      <c r="BO174" s="49"/>
      <c r="BP174" s="50"/>
      <c r="BQ174" s="49"/>
      <c r="BR174" s="50"/>
      <c r="BS174" s="49"/>
      <c r="BT174" s="50"/>
      <c r="BU174" s="49"/>
    </row>
    <row r="175" spans="1:73" x14ac:dyDescent="0.25">
      <c r="A175" s="65" t="s">
        <v>258</v>
      </c>
      <c r="B175" s="65" t="s">
        <v>258</v>
      </c>
      <c r="C175" s="66" t="s">
        <v>10073</v>
      </c>
      <c r="D175" s="67">
        <v>3</v>
      </c>
      <c r="E175" s="68" t="s">
        <v>132</v>
      </c>
      <c r="F175" s="69">
        <v>35</v>
      </c>
      <c r="G175" s="66"/>
      <c r="H175" s="70"/>
      <c r="I175" s="71"/>
      <c r="J175" s="71"/>
      <c r="K175" s="35" t="s">
        <v>65</v>
      </c>
      <c r="L175" s="79">
        <v>175</v>
      </c>
      <c r="M175" s="79"/>
      <c r="N175" s="73"/>
      <c r="O175" s="81" t="s">
        <v>366</v>
      </c>
      <c r="P175" s="83">
        <v>45229.559571759259</v>
      </c>
      <c r="Q175" s="81" t="s">
        <v>390</v>
      </c>
      <c r="R175" s="81">
        <v>2</v>
      </c>
      <c r="S175" s="81">
        <v>0</v>
      </c>
      <c r="T175" s="81">
        <v>0</v>
      </c>
      <c r="U175" s="81">
        <v>0</v>
      </c>
      <c r="V175" s="81"/>
      <c r="W175" s="81"/>
      <c r="X175" s="81"/>
      <c r="Y175" s="81"/>
      <c r="Z175" s="81" t="s">
        <v>532</v>
      </c>
      <c r="AA175" s="81"/>
      <c r="AB175" s="81"/>
      <c r="AC175" s="84" t="s">
        <v>582</v>
      </c>
      <c r="AD175" s="81" t="s">
        <v>588</v>
      </c>
      <c r="AE175" s="86" t="str">
        <f>HYPERLINK("https://twitter.com/isu_gsjc/status/1718982530567913695")</f>
        <v>https://twitter.com/isu_gsjc/status/1718982530567913695</v>
      </c>
      <c r="AF175" s="83">
        <v>45229.559571759259</v>
      </c>
      <c r="AG175" s="89">
        <v>45229</v>
      </c>
      <c r="AH175" s="84" t="s">
        <v>610</v>
      </c>
      <c r="AI175" s="81"/>
      <c r="AJ175" s="81"/>
      <c r="AK175" s="81"/>
      <c r="AL175" s="81"/>
      <c r="AM175" s="81"/>
      <c r="AN175" s="81"/>
      <c r="AO175" s="81"/>
      <c r="AP175" s="81"/>
      <c r="AQ175" s="81"/>
      <c r="AR175" s="81"/>
      <c r="AS175" s="81"/>
      <c r="AT175" s="81"/>
      <c r="AU175" s="81"/>
      <c r="AV175" s="86" t="str">
        <f>HYPERLINK("https://pbs.twimg.com/profile_images/1222976911833321472/d_rRF3Kl_normal.jpg")</f>
        <v>https://pbs.twimg.com/profile_images/1222976911833321472/d_rRF3Kl_normal.jpg</v>
      </c>
      <c r="AW175" s="84" t="s">
        <v>764</v>
      </c>
      <c r="AX175" s="84" t="s">
        <v>764</v>
      </c>
      <c r="AY175" s="81"/>
      <c r="AZ175" s="84" t="s">
        <v>879</v>
      </c>
      <c r="BA175" s="84" t="s">
        <v>879</v>
      </c>
      <c r="BB175" s="84" t="s">
        <v>763</v>
      </c>
      <c r="BC175" s="84" t="s">
        <v>763</v>
      </c>
      <c r="BD175" s="81">
        <v>2542104865</v>
      </c>
      <c r="BE175" s="81"/>
      <c r="BF175" s="81"/>
      <c r="BG175" s="81"/>
      <c r="BH175" s="81"/>
      <c r="BI175" s="81"/>
      <c r="BJ175">
        <v>1</v>
      </c>
      <c r="BK175" s="80" t="str">
        <f>REPLACE(INDEX(GroupVertices[Group], MATCH("~"&amp;Edges[[#This Row],[Vertex 1]],GroupVertices[Vertex],0)),1,1,"")</f>
        <v>2</v>
      </c>
      <c r="BL175" s="80" t="str">
        <f>REPLACE(INDEX(GroupVertices[Group], MATCH("~"&amp;Edges[[#This Row],[Vertex 2]],GroupVertices[Vertex],0)),1,1,"")</f>
        <v>2</v>
      </c>
      <c r="BM175" s="49"/>
      <c r="BN175" s="50"/>
      <c r="BO175" s="49"/>
      <c r="BP175" s="50"/>
      <c r="BQ175" s="49"/>
      <c r="BR175" s="50"/>
      <c r="BS175" s="49"/>
      <c r="BT175" s="50"/>
      <c r="BU175" s="49"/>
    </row>
    <row r="176" spans="1:73" x14ac:dyDescent="0.25">
      <c r="A176" s="65" t="s">
        <v>258</v>
      </c>
      <c r="B176" s="65" t="s">
        <v>268</v>
      </c>
      <c r="C176" s="66" t="s">
        <v>10073</v>
      </c>
      <c r="D176" s="67">
        <v>3</v>
      </c>
      <c r="E176" s="68" t="s">
        <v>132</v>
      </c>
      <c r="F176" s="69">
        <v>35</v>
      </c>
      <c r="G176" s="66"/>
      <c r="H176" s="70"/>
      <c r="I176" s="71"/>
      <c r="J176" s="71"/>
      <c r="K176" s="35" t="s">
        <v>65</v>
      </c>
      <c r="L176" s="79">
        <v>176</v>
      </c>
      <c r="M176" s="79"/>
      <c r="N176" s="73"/>
      <c r="O176" s="81" t="s">
        <v>366</v>
      </c>
      <c r="P176" s="83">
        <v>45229.559571759259</v>
      </c>
      <c r="Q176" s="81" t="s">
        <v>390</v>
      </c>
      <c r="R176" s="81">
        <v>2</v>
      </c>
      <c r="S176" s="81">
        <v>0</v>
      </c>
      <c r="T176" s="81">
        <v>0</v>
      </c>
      <c r="U176" s="81">
        <v>0</v>
      </c>
      <c r="V176" s="81"/>
      <c r="W176" s="81"/>
      <c r="X176" s="81"/>
      <c r="Y176" s="81"/>
      <c r="Z176" s="81" t="s">
        <v>532</v>
      </c>
      <c r="AA176" s="81"/>
      <c r="AB176" s="81"/>
      <c r="AC176" s="84" t="s">
        <v>582</v>
      </c>
      <c r="AD176" s="81" t="s">
        <v>588</v>
      </c>
      <c r="AE176" s="86" t="str">
        <f>HYPERLINK("https://twitter.com/isu_gsjc/status/1718982530567913695")</f>
        <v>https://twitter.com/isu_gsjc/status/1718982530567913695</v>
      </c>
      <c r="AF176" s="83">
        <v>45229.559571759259</v>
      </c>
      <c r="AG176" s="89">
        <v>45229</v>
      </c>
      <c r="AH176" s="84" t="s">
        <v>610</v>
      </c>
      <c r="AI176" s="81"/>
      <c r="AJ176" s="81"/>
      <c r="AK176" s="81"/>
      <c r="AL176" s="81"/>
      <c r="AM176" s="81"/>
      <c r="AN176" s="81"/>
      <c r="AO176" s="81"/>
      <c r="AP176" s="81"/>
      <c r="AQ176" s="81"/>
      <c r="AR176" s="81"/>
      <c r="AS176" s="81"/>
      <c r="AT176" s="81"/>
      <c r="AU176" s="81"/>
      <c r="AV176" s="86" t="str">
        <f>HYPERLINK("https://pbs.twimg.com/profile_images/1222976911833321472/d_rRF3Kl_normal.jpg")</f>
        <v>https://pbs.twimg.com/profile_images/1222976911833321472/d_rRF3Kl_normal.jpg</v>
      </c>
      <c r="AW176" s="84" t="s">
        <v>764</v>
      </c>
      <c r="AX176" s="84" t="s">
        <v>764</v>
      </c>
      <c r="AY176" s="81"/>
      <c r="AZ176" s="84" t="s">
        <v>879</v>
      </c>
      <c r="BA176" s="84" t="s">
        <v>879</v>
      </c>
      <c r="BB176" s="84" t="s">
        <v>763</v>
      </c>
      <c r="BC176" s="84" t="s">
        <v>763</v>
      </c>
      <c r="BD176" s="81">
        <v>2542104865</v>
      </c>
      <c r="BE176" s="81"/>
      <c r="BF176" s="81"/>
      <c r="BG176" s="81"/>
      <c r="BH176" s="81"/>
      <c r="BI176" s="81"/>
      <c r="BJ176">
        <v>1</v>
      </c>
      <c r="BK176" s="80" t="str">
        <f>REPLACE(INDEX(GroupVertices[Group], MATCH("~"&amp;Edges[[#This Row],[Vertex 1]],GroupVertices[Vertex],0)),1,1,"")</f>
        <v>2</v>
      </c>
      <c r="BL176" s="80" t="str">
        <f>REPLACE(INDEX(GroupVertices[Group], MATCH("~"&amp;Edges[[#This Row],[Vertex 2]],GroupVertices[Vertex],0)),1,1,"")</f>
        <v>1</v>
      </c>
      <c r="BM176" s="49">
        <v>0</v>
      </c>
      <c r="BN176" s="50">
        <v>0</v>
      </c>
      <c r="BO176" s="49">
        <v>0</v>
      </c>
      <c r="BP176" s="50">
        <v>0</v>
      </c>
      <c r="BQ176" s="49">
        <v>0</v>
      </c>
      <c r="BR176" s="50">
        <v>0</v>
      </c>
      <c r="BS176" s="49">
        <v>14</v>
      </c>
      <c r="BT176" s="50">
        <v>63.636363636363633</v>
      </c>
      <c r="BU176" s="49">
        <v>22</v>
      </c>
    </row>
    <row r="177" spans="1:73" x14ac:dyDescent="0.25">
      <c r="A177" s="65" t="s">
        <v>284</v>
      </c>
      <c r="B177" s="65" t="s">
        <v>258</v>
      </c>
      <c r="C177" s="66" t="s">
        <v>10073</v>
      </c>
      <c r="D177" s="67">
        <v>3</v>
      </c>
      <c r="E177" s="68" t="s">
        <v>132</v>
      </c>
      <c r="F177" s="69">
        <v>35</v>
      </c>
      <c r="G177" s="66"/>
      <c r="H177" s="70"/>
      <c r="I177" s="71"/>
      <c r="J177" s="71"/>
      <c r="K177" s="35" t="s">
        <v>65</v>
      </c>
      <c r="L177" s="79">
        <v>177</v>
      </c>
      <c r="M177" s="79"/>
      <c r="N177" s="73"/>
      <c r="O177" s="81" t="s">
        <v>367</v>
      </c>
      <c r="P177" s="83">
        <v>45230.554849537039</v>
      </c>
      <c r="Q177" s="81" t="s">
        <v>441</v>
      </c>
      <c r="R177" s="81">
        <v>1</v>
      </c>
      <c r="S177" s="81">
        <v>1</v>
      </c>
      <c r="T177" s="81">
        <v>0</v>
      </c>
      <c r="U177" s="81">
        <v>0</v>
      </c>
      <c r="V177" s="81">
        <v>313</v>
      </c>
      <c r="W177" s="81"/>
      <c r="X177" s="86" t="str">
        <f>HYPERLINK("https://www.celt.iastate.edu/event/a-culture-of-gratitude-best-practices-for-promotion-and-tenure/")</f>
        <v>https://www.celt.iastate.edu/event/a-culture-of-gratitude-best-practices-for-promotion-and-tenure/</v>
      </c>
      <c r="Y177" s="81" t="s">
        <v>511</v>
      </c>
      <c r="Z177" s="81" t="s">
        <v>545</v>
      </c>
      <c r="AA177" s="81"/>
      <c r="AB177" s="81"/>
      <c r="AC177" s="84" t="s">
        <v>582</v>
      </c>
      <c r="AD177" s="81" t="s">
        <v>588</v>
      </c>
      <c r="AE177" s="86" t="str">
        <f>HYPERLINK("https://twitter.com/michael_bugeja/status/1719343210949124292")</f>
        <v>https://twitter.com/michael_bugeja/status/1719343210949124292</v>
      </c>
      <c r="AF177" s="83">
        <v>45230.554849537039</v>
      </c>
      <c r="AG177" s="89">
        <v>45230</v>
      </c>
      <c r="AH177" s="84" t="s">
        <v>679</v>
      </c>
      <c r="AI177" s="81" t="b">
        <v>0</v>
      </c>
      <c r="AJ177" s="81"/>
      <c r="AK177" s="81"/>
      <c r="AL177" s="81"/>
      <c r="AM177" s="81"/>
      <c r="AN177" s="81"/>
      <c r="AO177" s="81"/>
      <c r="AP177" s="81"/>
      <c r="AQ177" s="81"/>
      <c r="AR177" s="81"/>
      <c r="AS177" s="81"/>
      <c r="AT177" s="81"/>
      <c r="AU177" s="81"/>
      <c r="AV177" s="86" t="str">
        <f>HYPERLINK("https://pbs.twimg.com/profile_images/1060299959570849793/ZJPqNMgP_normal.jpg")</f>
        <v>https://pbs.twimg.com/profile_images/1060299959570849793/ZJPqNMgP_normal.jpg</v>
      </c>
      <c r="AW177" s="84" t="s">
        <v>833</v>
      </c>
      <c r="AX177" s="84" t="s">
        <v>833</v>
      </c>
      <c r="AY177" s="81"/>
      <c r="AZ177" s="84" t="s">
        <v>879</v>
      </c>
      <c r="BA177" s="84" t="s">
        <v>879</v>
      </c>
      <c r="BB177" s="84" t="s">
        <v>879</v>
      </c>
      <c r="BC177" s="84" t="s">
        <v>833</v>
      </c>
      <c r="BD177" s="81">
        <v>80869971</v>
      </c>
      <c r="BE177" s="81"/>
      <c r="BF177" s="81"/>
      <c r="BG177" s="81"/>
      <c r="BH177" s="81"/>
      <c r="BI177" s="81"/>
      <c r="BJ177">
        <v>1</v>
      </c>
      <c r="BK177" s="80" t="str">
        <f>REPLACE(INDEX(GroupVertices[Group], MATCH("~"&amp;Edges[[#This Row],[Vertex 1]],GroupVertices[Vertex],0)),1,1,"")</f>
        <v>9</v>
      </c>
      <c r="BL177" s="80" t="str">
        <f>REPLACE(INDEX(GroupVertices[Group], MATCH("~"&amp;Edges[[#This Row],[Vertex 2]],GroupVertices[Vertex],0)),1,1,"")</f>
        <v>2</v>
      </c>
      <c r="BM177" s="49"/>
      <c r="BN177" s="50"/>
      <c r="BO177" s="49"/>
      <c r="BP177" s="50"/>
      <c r="BQ177" s="49"/>
      <c r="BR177" s="50"/>
      <c r="BS177" s="49"/>
      <c r="BT177" s="50"/>
      <c r="BU177" s="49"/>
    </row>
    <row r="178" spans="1:73" x14ac:dyDescent="0.25">
      <c r="A178" s="65" t="s">
        <v>284</v>
      </c>
      <c r="B178" s="65" t="s">
        <v>338</v>
      </c>
      <c r="C178" s="66" t="s">
        <v>10073</v>
      </c>
      <c r="D178" s="67">
        <v>3</v>
      </c>
      <c r="E178" s="68" t="s">
        <v>132</v>
      </c>
      <c r="F178" s="69">
        <v>35</v>
      </c>
      <c r="G178" s="66"/>
      <c r="H178" s="70"/>
      <c r="I178" s="71"/>
      <c r="J178" s="71"/>
      <c r="K178" s="35" t="s">
        <v>65</v>
      </c>
      <c r="L178" s="79">
        <v>178</v>
      </c>
      <c r="M178" s="79"/>
      <c r="N178" s="73"/>
      <c r="O178" s="81" t="s">
        <v>367</v>
      </c>
      <c r="P178" s="83">
        <v>45230.554849537039</v>
      </c>
      <c r="Q178" s="81" t="s">
        <v>441</v>
      </c>
      <c r="R178" s="81">
        <v>1</v>
      </c>
      <c r="S178" s="81">
        <v>1</v>
      </c>
      <c r="T178" s="81">
        <v>0</v>
      </c>
      <c r="U178" s="81">
        <v>0</v>
      </c>
      <c r="V178" s="81">
        <v>313</v>
      </c>
      <c r="W178" s="81"/>
      <c r="X178" s="86" t="str">
        <f>HYPERLINK("https://www.celt.iastate.edu/event/a-culture-of-gratitude-best-practices-for-promotion-and-tenure/")</f>
        <v>https://www.celt.iastate.edu/event/a-culture-of-gratitude-best-practices-for-promotion-and-tenure/</v>
      </c>
      <c r="Y178" s="81" t="s">
        <v>511</v>
      </c>
      <c r="Z178" s="81" t="s">
        <v>545</v>
      </c>
      <c r="AA178" s="81"/>
      <c r="AB178" s="81"/>
      <c r="AC178" s="84" t="s">
        <v>582</v>
      </c>
      <c r="AD178" s="81" t="s">
        <v>588</v>
      </c>
      <c r="AE178" s="86" t="str">
        <f>HYPERLINK("https://twitter.com/michael_bugeja/status/1719343210949124292")</f>
        <v>https://twitter.com/michael_bugeja/status/1719343210949124292</v>
      </c>
      <c r="AF178" s="83">
        <v>45230.554849537039</v>
      </c>
      <c r="AG178" s="89">
        <v>45230</v>
      </c>
      <c r="AH178" s="84" t="s">
        <v>679</v>
      </c>
      <c r="AI178" s="81" t="b">
        <v>0</v>
      </c>
      <c r="AJ178" s="81"/>
      <c r="AK178" s="81"/>
      <c r="AL178" s="81"/>
      <c r="AM178" s="81"/>
      <c r="AN178" s="81"/>
      <c r="AO178" s="81"/>
      <c r="AP178" s="81"/>
      <c r="AQ178" s="81"/>
      <c r="AR178" s="81"/>
      <c r="AS178" s="81"/>
      <c r="AT178" s="81"/>
      <c r="AU178" s="81"/>
      <c r="AV178" s="86" t="str">
        <f>HYPERLINK("https://pbs.twimg.com/profile_images/1060299959570849793/ZJPqNMgP_normal.jpg")</f>
        <v>https://pbs.twimg.com/profile_images/1060299959570849793/ZJPqNMgP_normal.jpg</v>
      </c>
      <c r="AW178" s="84" t="s">
        <v>833</v>
      </c>
      <c r="AX178" s="84" t="s">
        <v>833</v>
      </c>
      <c r="AY178" s="81"/>
      <c r="AZ178" s="84" t="s">
        <v>879</v>
      </c>
      <c r="BA178" s="84" t="s">
        <v>879</v>
      </c>
      <c r="BB178" s="84" t="s">
        <v>879</v>
      </c>
      <c r="BC178" s="84" t="s">
        <v>833</v>
      </c>
      <c r="BD178" s="81">
        <v>80869971</v>
      </c>
      <c r="BE178" s="81"/>
      <c r="BF178" s="81"/>
      <c r="BG178" s="81"/>
      <c r="BH178" s="81"/>
      <c r="BI178" s="81"/>
      <c r="BJ178">
        <v>1</v>
      </c>
      <c r="BK178" s="80" t="str">
        <f>REPLACE(INDEX(GroupVertices[Group], MATCH("~"&amp;Edges[[#This Row],[Vertex 1]],GroupVertices[Vertex],0)),1,1,"")</f>
        <v>9</v>
      </c>
      <c r="BL178" s="80" t="str">
        <f>REPLACE(INDEX(GroupVertices[Group], MATCH("~"&amp;Edges[[#This Row],[Vertex 2]],GroupVertices[Vertex],0)),1,1,"")</f>
        <v>9</v>
      </c>
      <c r="BM178" s="49"/>
      <c r="BN178" s="50"/>
      <c r="BO178" s="49"/>
      <c r="BP178" s="50"/>
      <c r="BQ178" s="49"/>
      <c r="BR178" s="50"/>
      <c r="BS178" s="49"/>
      <c r="BT178" s="50"/>
      <c r="BU178" s="49"/>
    </row>
    <row r="179" spans="1:73" x14ac:dyDescent="0.25">
      <c r="A179" s="65" t="s">
        <v>285</v>
      </c>
      <c r="B179" s="65" t="s">
        <v>339</v>
      </c>
      <c r="C179" s="66" t="s">
        <v>10073</v>
      </c>
      <c r="D179" s="67">
        <v>3</v>
      </c>
      <c r="E179" s="68" t="s">
        <v>132</v>
      </c>
      <c r="F179" s="69">
        <v>35</v>
      </c>
      <c r="G179" s="66"/>
      <c r="H179" s="70"/>
      <c r="I179" s="71"/>
      <c r="J179" s="71"/>
      <c r="K179" s="35" t="s">
        <v>65</v>
      </c>
      <c r="L179" s="79">
        <v>179</v>
      </c>
      <c r="M179" s="79"/>
      <c r="N179" s="73"/>
      <c r="O179" s="81" t="s">
        <v>369</v>
      </c>
      <c r="P179" s="83">
        <v>45233.745243055557</v>
      </c>
      <c r="Q179" s="81" t="s">
        <v>442</v>
      </c>
      <c r="R179" s="81">
        <v>0</v>
      </c>
      <c r="S179" s="81">
        <v>1</v>
      </c>
      <c r="T179" s="81">
        <v>0</v>
      </c>
      <c r="U179" s="81">
        <v>0</v>
      </c>
      <c r="V179" s="81">
        <v>27</v>
      </c>
      <c r="W179" s="81"/>
      <c r="X179" s="81"/>
      <c r="Y179" s="81"/>
      <c r="Z179" s="81" t="s">
        <v>339</v>
      </c>
      <c r="AA179" s="81"/>
      <c r="AB179" s="81"/>
      <c r="AC179" s="84" t="s">
        <v>582</v>
      </c>
      <c r="AD179" s="81" t="s">
        <v>588</v>
      </c>
      <c r="AE179" s="86" t="str">
        <f>HYPERLINK("https://twitter.com/mjfuhlhage/status/1720499366845088233")</f>
        <v>https://twitter.com/mjfuhlhage/status/1720499366845088233</v>
      </c>
      <c r="AF179" s="83">
        <v>45233.745243055557</v>
      </c>
      <c r="AG179" s="89">
        <v>45233</v>
      </c>
      <c r="AH179" s="84" t="s">
        <v>680</v>
      </c>
      <c r="AI179" s="81"/>
      <c r="AJ179" s="81"/>
      <c r="AK179" s="81"/>
      <c r="AL179" s="81"/>
      <c r="AM179" s="81"/>
      <c r="AN179" s="81"/>
      <c r="AO179" s="81"/>
      <c r="AP179" s="81"/>
      <c r="AQ179" s="81"/>
      <c r="AR179" s="81"/>
      <c r="AS179" s="81"/>
      <c r="AT179" s="81"/>
      <c r="AU179" s="81"/>
      <c r="AV179" s="86" t="str">
        <f>HYPERLINK("https://pbs.twimg.com/profile_images/1434178901991960580/rcQbpYJ1_normal.jpg")</f>
        <v>https://pbs.twimg.com/profile_images/1434178901991960580/rcQbpYJ1_normal.jpg</v>
      </c>
      <c r="AW179" s="84" t="s">
        <v>834</v>
      </c>
      <c r="AX179" s="84" t="s">
        <v>874</v>
      </c>
      <c r="AY179" s="84" t="s">
        <v>878</v>
      </c>
      <c r="AZ179" s="84" t="s">
        <v>874</v>
      </c>
      <c r="BA179" s="84" t="s">
        <v>879</v>
      </c>
      <c r="BB179" s="84" t="s">
        <v>879</v>
      </c>
      <c r="BC179" s="84" t="s">
        <v>874</v>
      </c>
      <c r="BD179" s="81">
        <v>213867085</v>
      </c>
      <c r="BE179" s="81"/>
      <c r="BF179" s="81"/>
      <c r="BG179" s="81"/>
      <c r="BH179" s="81"/>
      <c r="BI179" s="81"/>
      <c r="BJ179">
        <v>1</v>
      </c>
      <c r="BK179" s="80" t="str">
        <f>REPLACE(INDEX(GroupVertices[Group], MATCH("~"&amp;Edges[[#This Row],[Vertex 1]],GroupVertices[Vertex],0)),1,1,"")</f>
        <v>14</v>
      </c>
      <c r="BL179" s="80" t="str">
        <f>REPLACE(INDEX(GroupVertices[Group], MATCH("~"&amp;Edges[[#This Row],[Vertex 2]],GroupVertices[Vertex],0)),1,1,"")</f>
        <v>14</v>
      </c>
      <c r="BM179" s="49">
        <v>1</v>
      </c>
      <c r="BN179" s="50">
        <v>5.882352941176471</v>
      </c>
      <c r="BO179" s="49">
        <v>0</v>
      </c>
      <c r="BP179" s="50">
        <v>0</v>
      </c>
      <c r="BQ179" s="49">
        <v>0</v>
      </c>
      <c r="BR179" s="50">
        <v>0</v>
      </c>
      <c r="BS179" s="49">
        <v>8</v>
      </c>
      <c r="BT179" s="50">
        <v>47.058823529411768</v>
      </c>
      <c r="BU179" s="49">
        <v>17</v>
      </c>
    </row>
    <row r="180" spans="1:73" x14ac:dyDescent="0.25">
      <c r="A180" s="65" t="s">
        <v>286</v>
      </c>
      <c r="B180" s="65" t="s">
        <v>306</v>
      </c>
      <c r="C180" s="66" t="s">
        <v>10073</v>
      </c>
      <c r="D180" s="67">
        <v>3</v>
      </c>
      <c r="E180" s="68" t="s">
        <v>132</v>
      </c>
      <c r="F180" s="69">
        <v>35</v>
      </c>
      <c r="G180" s="66"/>
      <c r="H180" s="70"/>
      <c r="I180" s="71"/>
      <c r="J180" s="71"/>
      <c r="K180" s="35" t="s">
        <v>65</v>
      </c>
      <c r="L180" s="79">
        <v>180</v>
      </c>
      <c r="M180" s="79"/>
      <c r="N180" s="73"/>
      <c r="O180" s="81" t="s">
        <v>365</v>
      </c>
      <c r="P180" s="83">
        <v>45234.978321759256</v>
      </c>
      <c r="Q180" s="81" t="s">
        <v>383</v>
      </c>
      <c r="R180" s="81">
        <v>4</v>
      </c>
      <c r="S180" s="81">
        <v>0</v>
      </c>
      <c r="T180" s="81">
        <v>0</v>
      </c>
      <c r="U180" s="81">
        <v>0</v>
      </c>
      <c r="V180" s="81"/>
      <c r="W180" s="81"/>
      <c r="X180" s="81"/>
      <c r="Y180" s="81"/>
      <c r="Z180" s="81" t="s">
        <v>306</v>
      </c>
      <c r="AA180" s="81"/>
      <c r="AB180" s="81"/>
      <c r="AC180" s="84" t="s">
        <v>580</v>
      </c>
      <c r="AD180" s="81" t="s">
        <v>588</v>
      </c>
      <c r="AE180" s="86" t="str">
        <f>HYPERLINK("https://twitter.com/chensibo/status/1720946220435210470")</f>
        <v>https://twitter.com/chensibo/status/1720946220435210470</v>
      </c>
      <c r="AF180" s="83">
        <v>45234.978321759256</v>
      </c>
      <c r="AG180" s="89">
        <v>45234</v>
      </c>
      <c r="AH180" s="84" t="s">
        <v>681</v>
      </c>
      <c r="AI180" s="81"/>
      <c r="AJ180" s="81"/>
      <c r="AK180" s="81"/>
      <c r="AL180" s="81"/>
      <c r="AM180" s="81"/>
      <c r="AN180" s="81"/>
      <c r="AO180" s="81"/>
      <c r="AP180" s="81"/>
      <c r="AQ180" s="81"/>
      <c r="AR180" s="81"/>
      <c r="AS180" s="81"/>
      <c r="AT180" s="81"/>
      <c r="AU180" s="81"/>
      <c r="AV180" s="86" t="str">
        <f>HYPERLINK("https://pbs.twimg.com/profile_images/1222958034990829568/O3XAgaHo_normal.jpg")</f>
        <v>https://pbs.twimg.com/profile_images/1222958034990829568/O3XAgaHo_normal.jpg</v>
      </c>
      <c r="AW180" s="84" t="s">
        <v>835</v>
      </c>
      <c r="AX180" s="84" t="s">
        <v>835</v>
      </c>
      <c r="AY180" s="81"/>
      <c r="AZ180" s="84" t="s">
        <v>879</v>
      </c>
      <c r="BA180" s="84" t="s">
        <v>879</v>
      </c>
      <c r="BB180" s="84" t="s">
        <v>870</v>
      </c>
      <c r="BC180" s="84" t="s">
        <v>870</v>
      </c>
      <c r="BD180" s="81">
        <v>374929582</v>
      </c>
      <c r="BE180" s="81"/>
      <c r="BF180" s="81"/>
      <c r="BG180" s="81"/>
      <c r="BH180" s="81"/>
      <c r="BI180" s="81"/>
      <c r="BJ180">
        <v>1</v>
      </c>
      <c r="BK180" s="80" t="str">
        <f>REPLACE(INDEX(GroupVertices[Group], MATCH("~"&amp;Edges[[#This Row],[Vertex 1]],GroupVertices[Vertex],0)),1,1,"")</f>
        <v>7</v>
      </c>
      <c r="BL180" s="80" t="str">
        <f>REPLACE(INDEX(GroupVertices[Group], MATCH("~"&amp;Edges[[#This Row],[Vertex 2]],GroupVertices[Vertex],0)),1,1,"")</f>
        <v>7</v>
      </c>
      <c r="BM180" s="49">
        <v>1</v>
      </c>
      <c r="BN180" s="50">
        <v>4.5454545454545459</v>
      </c>
      <c r="BO180" s="49">
        <v>0</v>
      </c>
      <c r="BP180" s="50">
        <v>0</v>
      </c>
      <c r="BQ180" s="49">
        <v>0</v>
      </c>
      <c r="BR180" s="50">
        <v>0</v>
      </c>
      <c r="BS180" s="49">
        <v>14</v>
      </c>
      <c r="BT180" s="50">
        <v>63.636363636363633</v>
      </c>
      <c r="BU180" s="49">
        <v>22</v>
      </c>
    </row>
    <row r="181" spans="1:73" x14ac:dyDescent="0.25">
      <c r="A181" s="65" t="s">
        <v>287</v>
      </c>
      <c r="B181" s="65" t="s">
        <v>340</v>
      </c>
      <c r="C181" s="66" t="s">
        <v>10073</v>
      </c>
      <c r="D181" s="67">
        <v>3</v>
      </c>
      <c r="E181" s="68" t="s">
        <v>132</v>
      </c>
      <c r="F181" s="69">
        <v>35</v>
      </c>
      <c r="G181" s="66"/>
      <c r="H181" s="70"/>
      <c r="I181" s="71"/>
      <c r="J181" s="71"/>
      <c r="K181" s="35" t="s">
        <v>65</v>
      </c>
      <c r="L181" s="79">
        <v>181</v>
      </c>
      <c r="M181" s="79"/>
      <c r="N181" s="73"/>
      <c r="O181" s="81" t="s">
        <v>367</v>
      </c>
      <c r="P181" s="83">
        <v>45226.818807870368</v>
      </c>
      <c r="Q181" s="81" t="s">
        <v>443</v>
      </c>
      <c r="R181" s="81">
        <v>2</v>
      </c>
      <c r="S181" s="81">
        <v>1</v>
      </c>
      <c r="T181" s="81">
        <v>0</v>
      </c>
      <c r="U181" s="81">
        <v>0</v>
      </c>
      <c r="V181" s="81">
        <v>255</v>
      </c>
      <c r="W181" s="81"/>
      <c r="X181" s="86" t="str">
        <f>HYPERLINK("https://ow.ly/JyA050PZrHG")</f>
        <v>https://ow.ly/JyA050PZrHG</v>
      </c>
      <c r="Y181" s="81" t="s">
        <v>512</v>
      </c>
      <c r="Z181" s="81" t="s">
        <v>546</v>
      </c>
      <c r="AA181" s="81" t="s">
        <v>570</v>
      </c>
      <c r="AB181" s="81" t="s">
        <v>575</v>
      </c>
      <c r="AC181" s="84" t="s">
        <v>585</v>
      </c>
      <c r="AD181" s="81" t="s">
        <v>588</v>
      </c>
      <c r="AE181" s="86" t="str">
        <f>HYPERLINK("https://twitter.com/rlpgbooks/status/1717989312514412961")</f>
        <v>https://twitter.com/rlpgbooks/status/1717989312514412961</v>
      </c>
      <c r="AF181" s="83">
        <v>45226.818807870368</v>
      </c>
      <c r="AG181" s="89">
        <v>45226</v>
      </c>
      <c r="AH181" s="84" t="s">
        <v>682</v>
      </c>
      <c r="AI181" s="81" t="b">
        <v>0</v>
      </c>
      <c r="AJ181" s="81"/>
      <c r="AK181" s="81"/>
      <c r="AL181" s="81"/>
      <c r="AM181" s="81"/>
      <c r="AN181" s="81"/>
      <c r="AO181" s="81"/>
      <c r="AP181" s="81"/>
      <c r="AQ181" s="81" t="s">
        <v>739</v>
      </c>
      <c r="AR181" s="81"/>
      <c r="AS181" s="81"/>
      <c r="AT181" s="81"/>
      <c r="AU181" s="81"/>
      <c r="AV181" s="86" t="str">
        <f>HYPERLINK("https://pbs.twimg.com/media/F9eGLPPW4AAuhpV.jpg")</f>
        <v>https://pbs.twimg.com/media/F9eGLPPW4AAuhpV.jpg</v>
      </c>
      <c r="AW181" s="84" t="s">
        <v>836</v>
      </c>
      <c r="AX181" s="84" t="s">
        <v>836</v>
      </c>
      <c r="AY181" s="81"/>
      <c r="AZ181" s="84" t="s">
        <v>879</v>
      </c>
      <c r="BA181" s="84" t="s">
        <v>879</v>
      </c>
      <c r="BB181" s="84" t="s">
        <v>879</v>
      </c>
      <c r="BC181" s="84" t="s">
        <v>836</v>
      </c>
      <c r="BD181" s="81">
        <v>81992242</v>
      </c>
      <c r="BE181" s="81"/>
      <c r="BF181" s="81"/>
      <c r="BG181" s="81"/>
      <c r="BH181" s="81"/>
      <c r="BI181" s="81"/>
      <c r="BJ181">
        <v>1</v>
      </c>
      <c r="BK181" s="80" t="str">
        <f>REPLACE(INDEX(GroupVertices[Group], MATCH("~"&amp;Edges[[#This Row],[Vertex 1]],GroupVertices[Vertex],0)),1,1,"")</f>
        <v>4</v>
      </c>
      <c r="BL181" s="80" t="str">
        <f>REPLACE(INDEX(GroupVertices[Group], MATCH("~"&amp;Edges[[#This Row],[Vertex 2]],GroupVertices[Vertex],0)),1,1,"")</f>
        <v>4</v>
      </c>
      <c r="BM181" s="49"/>
      <c r="BN181" s="50"/>
      <c r="BO181" s="49"/>
      <c r="BP181" s="50"/>
      <c r="BQ181" s="49"/>
      <c r="BR181" s="50"/>
      <c r="BS181" s="49"/>
      <c r="BT181" s="50"/>
      <c r="BU181" s="49"/>
    </row>
    <row r="182" spans="1:73" x14ac:dyDescent="0.25">
      <c r="A182" s="65" t="s">
        <v>287</v>
      </c>
      <c r="B182" s="65" t="s">
        <v>341</v>
      </c>
      <c r="C182" s="66" t="s">
        <v>10073</v>
      </c>
      <c r="D182" s="67">
        <v>3</v>
      </c>
      <c r="E182" s="68" t="s">
        <v>132</v>
      </c>
      <c r="F182" s="69">
        <v>35</v>
      </c>
      <c r="G182" s="66"/>
      <c r="H182" s="70"/>
      <c r="I182" s="71"/>
      <c r="J182" s="71"/>
      <c r="K182" s="35" t="s">
        <v>65</v>
      </c>
      <c r="L182" s="79">
        <v>182</v>
      </c>
      <c r="M182" s="79"/>
      <c r="N182" s="73"/>
      <c r="O182" s="81" t="s">
        <v>367</v>
      </c>
      <c r="P182" s="83">
        <v>45226.818807870368</v>
      </c>
      <c r="Q182" s="81" t="s">
        <v>443</v>
      </c>
      <c r="R182" s="81">
        <v>2</v>
      </c>
      <c r="S182" s="81">
        <v>1</v>
      </c>
      <c r="T182" s="81">
        <v>0</v>
      </c>
      <c r="U182" s="81">
        <v>0</v>
      </c>
      <c r="V182" s="81">
        <v>255</v>
      </c>
      <c r="W182" s="81"/>
      <c r="X182" s="86" t="str">
        <f>HYPERLINK("https://ow.ly/JyA050PZrHG")</f>
        <v>https://ow.ly/JyA050PZrHG</v>
      </c>
      <c r="Y182" s="81" t="s">
        <v>512</v>
      </c>
      <c r="Z182" s="81" t="s">
        <v>546</v>
      </c>
      <c r="AA182" s="81" t="s">
        <v>570</v>
      </c>
      <c r="AB182" s="81" t="s">
        <v>575</v>
      </c>
      <c r="AC182" s="84" t="s">
        <v>585</v>
      </c>
      <c r="AD182" s="81" t="s">
        <v>588</v>
      </c>
      <c r="AE182" s="86" t="str">
        <f>HYPERLINK("https://twitter.com/rlpgbooks/status/1717989312514412961")</f>
        <v>https://twitter.com/rlpgbooks/status/1717989312514412961</v>
      </c>
      <c r="AF182" s="83">
        <v>45226.818807870368</v>
      </c>
      <c r="AG182" s="89">
        <v>45226</v>
      </c>
      <c r="AH182" s="84" t="s">
        <v>682</v>
      </c>
      <c r="AI182" s="81" t="b">
        <v>0</v>
      </c>
      <c r="AJ182" s="81"/>
      <c r="AK182" s="81"/>
      <c r="AL182" s="81"/>
      <c r="AM182" s="81"/>
      <c r="AN182" s="81"/>
      <c r="AO182" s="81"/>
      <c r="AP182" s="81"/>
      <c r="AQ182" s="81" t="s">
        <v>739</v>
      </c>
      <c r="AR182" s="81"/>
      <c r="AS182" s="81"/>
      <c r="AT182" s="81"/>
      <c r="AU182" s="81"/>
      <c r="AV182" s="86" t="str">
        <f>HYPERLINK("https://pbs.twimg.com/media/F9eGLPPW4AAuhpV.jpg")</f>
        <v>https://pbs.twimg.com/media/F9eGLPPW4AAuhpV.jpg</v>
      </c>
      <c r="AW182" s="84" t="s">
        <v>836</v>
      </c>
      <c r="AX182" s="84" t="s">
        <v>836</v>
      </c>
      <c r="AY182" s="81"/>
      <c r="AZ182" s="84" t="s">
        <v>879</v>
      </c>
      <c r="BA182" s="84" t="s">
        <v>879</v>
      </c>
      <c r="BB182" s="84" t="s">
        <v>879</v>
      </c>
      <c r="BC182" s="84" t="s">
        <v>836</v>
      </c>
      <c r="BD182" s="81">
        <v>81992242</v>
      </c>
      <c r="BE182" s="81"/>
      <c r="BF182" s="81"/>
      <c r="BG182" s="81"/>
      <c r="BH182" s="81"/>
      <c r="BI182" s="81"/>
      <c r="BJ182">
        <v>1</v>
      </c>
      <c r="BK182" s="80" t="str">
        <f>REPLACE(INDEX(GroupVertices[Group], MATCH("~"&amp;Edges[[#This Row],[Vertex 1]],GroupVertices[Vertex],0)),1,1,"")</f>
        <v>4</v>
      </c>
      <c r="BL182" s="80" t="str">
        <f>REPLACE(INDEX(GroupVertices[Group], MATCH("~"&amp;Edges[[#This Row],[Vertex 2]],GroupVertices[Vertex],0)),1,1,"")</f>
        <v>4</v>
      </c>
      <c r="BM182" s="49"/>
      <c r="BN182" s="50"/>
      <c r="BO182" s="49"/>
      <c r="BP182" s="50"/>
      <c r="BQ182" s="49"/>
      <c r="BR182" s="50"/>
      <c r="BS182" s="49"/>
      <c r="BT182" s="50"/>
      <c r="BU182" s="49"/>
    </row>
    <row r="183" spans="1:73" x14ac:dyDescent="0.25">
      <c r="A183" s="65" t="s">
        <v>287</v>
      </c>
      <c r="B183" s="65" t="s">
        <v>342</v>
      </c>
      <c r="C183" s="66" t="s">
        <v>10073</v>
      </c>
      <c r="D183" s="67">
        <v>3</v>
      </c>
      <c r="E183" s="68" t="s">
        <v>132</v>
      </c>
      <c r="F183" s="69">
        <v>35</v>
      </c>
      <c r="G183" s="66"/>
      <c r="H183" s="70"/>
      <c r="I183" s="71"/>
      <c r="J183" s="71"/>
      <c r="K183" s="35" t="s">
        <v>65</v>
      </c>
      <c r="L183" s="79">
        <v>183</v>
      </c>
      <c r="M183" s="79"/>
      <c r="N183" s="73"/>
      <c r="O183" s="81" t="s">
        <v>367</v>
      </c>
      <c r="P183" s="83">
        <v>45226.818807870368</v>
      </c>
      <c r="Q183" s="81" t="s">
        <v>443</v>
      </c>
      <c r="R183" s="81">
        <v>2</v>
      </c>
      <c r="S183" s="81">
        <v>1</v>
      </c>
      <c r="T183" s="81">
        <v>0</v>
      </c>
      <c r="U183" s="81">
        <v>0</v>
      </c>
      <c r="V183" s="81">
        <v>255</v>
      </c>
      <c r="W183" s="81"/>
      <c r="X183" s="86" t="str">
        <f>HYPERLINK("https://ow.ly/JyA050PZrHG")</f>
        <v>https://ow.ly/JyA050PZrHG</v>
      </c>
      <c r="Y183" s="81" t="s">
        <v>512</v>
      </c>
      <c r="Z183" s="81" t="s">
        <v>546</v>
      </c>
      <c r="AA183" s="81" t="s">
        <v>570</v>
      </c>
      <c r="AB183" s="81" t="s">
        <v>575</v>
      </c>
      <c r="AC183" s="84" t="s">
        <v>585</v>
      </c>
      <c r="AD183" s="81" t="s">
        <v>588</v>
      </c>
      <c r="AE183" s="86" t="str">
        <f>HYPERLINK("https://twitter.com/rlpgbooks/status/1717989312514412961")</f>
        <v>https://twitter.com/rlpgbooks/status/1717989312514412961</v>
      </c>
      <c r="AF183" s="83">
        <v>45226.818807870368</v>
      </c>
      <c r="AG183" s="89">
        <v>45226</v>
      </c>
      <c r="AH183" s="84" t="s">
        <v>682</v>
      </c>
      <c r="AI183" s="81" t="b">
        <v>0</v>
      </c>
      <c r="AJ183" s="81"/>
      <c r="AK183" s="81"/>
      <c r="AL183" s="81"/>
      <c r="AM183" s="81"/>
      <c r="AN183" s="81"/>
      <c r="AO183" s="81"/>
      <c r="AP183" s="81"/>
      <c r="AQ183" s="81" t="s">
        <v>739</v>
      </c>
      <c r="AR183" s="81"/>
      <c r="AS183" s="81"/>
      <c r="AT183" s="81"/>
      <c r="AU183" s="81"/>
      <c r="AV183" s="86" t="str">
        <f>HYPERLINK("https://pbs.twimg.com/media/F9eGLPPW4AAuhpV.jpg")</f>
        <v>https://pbs.twimg.com/media/F9eGLPPW4AAuhpV.jpg</v>
      </c>
      <c r="AW183" s="84" t="s">
        <v>836</v>
      </c>
      <c r="AX183" s="84" t="s">
        <v>836</v>
      </c>
      <c r="AY183" s="81"/>
      <c r="AZ183" s="84" t="s">
        <v>879</v>
      </c>
      <c r="BA183" s="84" t="s">
        <v>879</v>
      </c>
      <c r="BB183" s="84" t="s">
        <v>879</v>
      </c>
      <c r="BC183" s="84" t="s">
        <v>836</v>
      </c>
      <c r="BD183" s="81">
        <v>81992242</v>
      </c>
      <c r="BE183" s="81"/>
      <c r="BF183" s="81"/>
      <c r="BG183" s="81"/>
      <c r="BH183" s="81"/>
      <c r="BI183" s="81"/>
      <c r="BJ183">
        <v>1</v>
      </c>
      <c r="BK183" s="80" t="str">
        <f>REPLACE(INDEX(GroupVertices[Group], MATCH("~"&amp;Edges[[#This Row],[Vertex 1]],GroupVertices[Vertex],0)),1,1,"")</f>
        <v>4</v>
      </c>
      <c r="BL183" s="80" t="str">
        <f>REPLACE(INDEX(GroupVertices[Group], MATCH("~"&amp;Edges[[#This Row],[Vertex 2]],GroupVertices[Vertex],0)),1,1,"")</f>
        <v>4</v>
      </c>
      <c r="BM183" s="49"/>
      <c r="BN183" s="50"/>
      <c r="BO183" s="49"/>
      <c r="BP183" s="50"/>
      <c r="BQ183" s="49"/>
      <c r="BR183" s="50"/>
      <c r="BS183" s="49"/>
      <c r="BT183" s="50"/>
      <c r="BU183" s="49"/>
    </row>
    <row r="184" spans="1:73" x14ac:dyDescent="0.25">
      <c r="A184" s="65" t="s">
        <v>287</v>
      </c>
      <c r="B184" s="65" t="s">
        <v>343</v>
      </c>
      <c r="C184" s="66" t="s">
        <v>10073</v>
      </c>
      <c r="D184" s="67">
        <v>3</v>
      </c>
      <c r="E184" s="68" t="s">
        <v>132</v>
      </c>
      <c r="F184" s="69">
        <v>35</v>
      </c>
      <c r="G184" s="66"/>
      <c r="H184" s="70"/>
      <c r="I184" s="71"/>
      <c r="J184" s="71"/>
      <c r="K184" s="35" t="s">
        <v>65</v>
      </c>
      <c r="L184" s="79">
        <v>184</v>
      </c>
      <c r="M184" s="79"/>
      <c r="N184" s="73"/>
      <c r="O184" s="81" t="s">
        <v>367</v>
      </c>
      <c r="P184" s="83">
        <v>45226.818807870368</v>
      </c>
      <c r="Q184" s="81" t="s">
        <v>443</v>
      </c>
      <c r="R184" s="81">
        <v>2</v>
      </c>
      <c r="S184" s="81">
        <v>1</v>
      </c>
      <c r="T184" s="81">
        <v>0</v>
      </c>
      <c r="U184" s="81">
        <v>0</v>
      </c>
      <c r="V184" s="81">
        <v>255</v>
      </c>
      <c r="W184" s="81"/>
      <c r="X184" s="86" t="str">
        <f>HYPERLINK("https://ow.ly/JyA050PZrHG")</f>
        <v>https://ow.ly/JyA050PZrHG</v>
      </c>
      <c r="Y184" s="81" t="s">
        <v>512</v>
      </c>
      <c r="Z184" s="81" t="s">
        <v>546</v>
      </c>
      <c r="AA184" s="81" t="s">
        <v>570</v>
      </c>
      <c r="AB184" s="81" t="s">
        <v>575</v>
      </c>
      <c r="AC184" s="84" t="s">
        <v>585</v>
      </c>
      <c r="AD184" s="81" t="s">
        <v>588</v>
      </c>
      <c r="AE184" s="86" t="str">
        <f>HYPERLINK("https://twitter.com/rlpgbooks/status/1717989312514412961")</f>
        <v>https://twitter.com/rlpgbooks/status/1717989312514412961</v>
      </c>
      <c r="AF184" s="83">
        <v>45226.818807870368</v>
      </c>
      <c r="AG184" s="89">
        <v>45226</v>
      </c>
      <c r="AH184" s="84" t="s">
        <v>682</v>
      </c>
      <c r="AI184" s="81" t="b">
        <v>0</v>
      </c>
      <c r="AJ184" s="81"/>
      <c r="AK184" s="81"/>
      <c r="AL184" s="81"/>
      <c r="AM184" s="81"/>
      <c r="AN184" s="81"/>
      <c r="AO184" s="81"/>
      <c r="AP184" s="81"/>
      <c r="AQ184" s="81" t="s">
        <v>739</v>
      </c>
      <c r="AR184" s="81"/>
      <c r="AS184" s="81"/>
      <c r="AT184" s="81"/>
      <c r="AU184" s="81"/>
      <c r="AV184" s="86" t="str">
        <f>HYPERLINK("https://pbs.twimg.com/media/F9eGLPPW4AAuhpV.jpg")</f>
        <v>https://pbs.twimg.com/media/F9eGLPPW4AAuhpV.jpg</v>
      </c>
      <c r="AW184" s="84" t="s">
        <v>836</v>
      </c>
      <c r="AX184" s="84" t="s">
        <v>836</v>
      </c>
      <c r="AY184" s="81"/>
      <c r="AZ184" s="84" t="s">
        <v>879</v>
      </c>
      <c r="BA184" s="84" t="s">
        <v>879</v>
      </c>
      <c r="BB184" s="84" t="s">
        <v>879</v>
      </c>
      <c r="BC184" s="84" t="s">
        <v>836</v>
      </c>
      <c r="BD184" s="81">
        <v>81992242</v>
      </c>
      <c r="BE184" s="81"/>
      <c r="BF184" s="81"/>
      <c r="BG184" s="81"/>
      <c r="BH184" s="81"/>
      <c r="BI184" s="81"/>
      <c r="BJ184">
        <v>1</v>
      </c>
      <c r="BK184" s="80" t="str">
        <f>REPLACE(INDEX(GroupVertices[Group], MATCH("~"&amp;Edges[[#This Row],[Vertex 1]],GroupVertices[Vertex],0)),1,1,"")</f>
        <v>4</v>
      </c>
      <c r="BL184" s="80" t="str">
        <f>REPLACE(INDEX(GroupVertices[Group], MATCH("~"&amp;Edges[[#This Row],[Vertex 2]],GroupVertices[Vertex],0)),1,1,"")</f>
        <v>4</v>
      </c>
      <c r="BM184" s="49"/>
      <c r="BN184" s="50"/>
      <c r="BO184" s="49"/>
      <c r="BP184" s="50"/>
      <c r="BQ184" s="49"/>
      <c r="BR184" s="50"/>
      <c r="BS184" s="49"/>
      <c r="BT184" s="50"/>
      <c r="BU184" s="49"/>
    </row>
    <row r="185" spans="1:73" x14ac:dyDescent="0.25">
      <c r="A185" s="65" t="s">
        <v>287</v>
      </c>
      <c r="B185" s="65" t="s">
        <v>344</v>
      </c>
      <c r="C185" s="66" t="s">
        <v>10073</v>
      </c>
      <c r="D185" s="67">
        <v>3</v>
      </c>
      <c r="E185" s="68" t="s">
        <v>132</v>
      </c>
      <c r="F185" s="69">
        <v>35</v>
      </c>
      <c r="G185" s="66"/>
      <c r="H185" s="70"/>
      <c r="I185" s="71"/>
      <c r="J185" s="71"/>
      <c r="K185" s="35" t="s">
        <v>65</v>
      </c>
      <c r="L185" s="79">
        <v>185</v>
      </c>
      <c r="M185" s="79"/>
      <c r="N185" s="73"/>
      <c r="O185" s="81" t="s">
        <v>367</v>
      </c>
      <c r="P185" s="83">
        <v>45226.818807870368</v>
      </c>
      <c r="Q185" s="81" t="s">
        <v>443</v>
      </c>
      <c r="R185" s="81">
        <v>2</v>
      </c>
      <c r="S185" s="81">
        <v>1</v>
      </c>
      <c r="T185" s="81">
        <v>0</v>
      </c>
      <c r="U185" s="81">
        <v>0</v>
      </c>
      <c r="V185" s="81">
        <v>255</v>
      </c>
      <c r="W185" s="81"/>
      <c r="X185" s="86" t="str">
        <f>HYPERLINK("https://ow.ly/JyA050PZrHG")</f>
        <v>https://ow.ly/JyA050PZrHG</v>
      </c>
      <c r="Y185" s="81" t="s">
        <v>512</v>
      </c>
      <c r="Z185" s="81" t="s">
        <v>546</v>
      </c>
      <c r="AA185" s="81" t="s">
        <v>570</v>
      </c>
      <c r="AB185" s="81" t="s">
        <v>575</v>
      </c>
      <c r="AC185" s="84" t="s">
        <v>585</v>
      </c>
      <c r="AD185" s="81" t="s">
        <v>588</v>
      </c>
      <c r="AE185" s="86" t="str">
        <f>HYPERLINK("https://twitter.com/rlpgbooks/status/1717989312514412961")</f>
        <v>https://twitter.com/rlpgbooks/status/1717989312514412961</v>
      </c>
      <c r="AF185" s="83">
        <v>45226.818807870368</v>
      </c>
      <c r="AG185" s="89">
        <v>45226</v>
      </c>
      <c r="AH185" s="84" t="s">
        <v>682</v>
      </c>
      <c r="AI185" s="81" t="b">
        <v>0</v>
      </c>
      <c r="AJ185" s="81"/>
      <c r="AK185" s="81"/>
      <c r="AL185" s="81"/>
      <c r="AM185" s="81"/>
      <c r="AN185" s="81"/>
      <c r="AO185" s="81"/>
      <c r="AP185" s="81"/>
      <c r="AQ185" s="81" t="s">
        <v>739</v>
      </c>
      <c r="AR185" s="81"/>
      <c r="AS185" s="81"/>
      <c r="AT185" s="81"/>
      <c r="AU185" s="81"/>
      <c r="AV185" s="86" t="str">
        <f>HYPERLINK("https://pbs.twimg.com/media/F9eGLPPW4AAuhpV.jpg")</f>
        <v>https://pbs.twimg.com/media/F9eGLPPW4AAuhpV.jpg</v>
      </c>
      <c r="AW185" s="84" t="s">
        <v>836</v>
      </c>
      <c r="AX185" s="84" t="s">
        <v>836</v>
      </c>
      <c r="AY185" s="81"/>
      <c r="AZ185" s="84" t="s">
        <v>879</v>
      </c>
      <c r="BA185" s="84" t="s">
        <v>879</v>
      </c>
      <c r="BB185" s="84" t="s">
        <v>879</v>
      </c>
      <c r="BC185" s="84" t="s">
        <v>836</v>
      </c>
      <c r="BD185" s="81">
        <v>81992242</v>
      </c>
      <c r="BE185" s="81"/>
      <c r="BF185" s="81"/>
      <c r="BG185" s="81"/>
      <c r="BH185" s="81"/>
      <c r="BI185" s="81"/>
      <c r="BJ185">
        <v>1</v>
      </c>
      <c r="BK185" s="80" t="str">
        <f>REPLACE(INDEX(GroupVertices[Group], MATCH("~"&amp;Edges[[#This Row],[Vertex 1]],GroupVertices[Vertex],0)),1,1,"")</f>
        <v>4</v>
      </c>
      <c r="BL185" s="80" t="str">
        <f>REPLACE(INDEX(GroupVertices[Group], MATCH("~"&amp;Edges[[#This Row],[Vertex 2]],GroupVertices[Vertex],0)),1,1,"")</f>
        <v>4</v>
      </c>
      <c r="BM185" s="49">
        <v>0</v>
      </c>
      <c r="BN185" s="50">
        <v>0</v>
      </c>
      <c r="BO185" s="49">
        <v>0</v>
      </c>
      <c r="BP185" s="50">
        <v>0</v>
      </c>
      <c r="BQ185" s="49">
        <v>0</v>
      </c>
      <c r="BR185" s="50">
        <v>0</v>
      </c>
      <c r="BS185" s="49">
        <v>23</v>
      </c>
      <c r="BT185" s="50">
        <v>71.875</v>
      </c>
      <c r="BU185" s="49">
        <v>32</v>
      </c>
    </row>
    <row r="186" spans="1:73" x14ac:dyDescent="0.25">
      <c r="A186" s="65" t="s">
        <v>268</v>
      </c>
      <c r="B186" s="65" t="s">
        <v>280</v>
      </c>
      <c r="C186" s="66" t="s">
        <v>10073</v>
      </c>
      <c r="D186" s="67">
        <v>3</v>
      </c>
      <c r="E186" s="68" t="s">
        <v>132</v>
      </c>
      <c r="F186" s="69">
        <v>35</v>
      </c>
      <c r="G186" s="66"/>
      <c r="H186" s="70"/>
      <c r="I186" s="71"/>
      <c r="J186" s="71"/>
      <c r="K186" s="35" t="s">
        <v>65</v>
      </c>
      <c r="L186" s="79">
        <v>186</v>
      </c>
      <c r="M186" s="79"/>
      <c r="N186" s="73"/>
      <c r="O186" s="81" t="s">
        <v>366</v>
      </c>
      <c r="P186" s="83">
        <v>45230.819780092592</v>
      </c>
      <c r="Q186" s="81" t="s">
        <v>431</v>
      </c>
      <c r="R186" s="81">
        <v>2</v>
      </c>
      <c r="S186" s="81">
        <v>0</v>
      </c>
      <c r="T186" s="81">
        <v>0</v>
      </c>
      <c r="U186" s="81">
        <v>0</v>
      </c>
      <c r="V186" s="81"/>
      <c r="W186" s="84" t="s">
        <v>490</v>
      </c>
      <c r="X186" s="81"/>
      <c r="Y186" s="81"/>
      <c r="Z186" s="81" t="s">
        <v>540</v>
      </c>
      <c r="AA186" s="81"/>
      <c r="AB186" s="81"/>
      <c r="AC186" s="84" t="s">
        <v>582</v>
      </c>
      <c r="AD186" s="81" t="s">
        <v>588</v>
      </c>
      <c r="AE186" s="86" t="str">
        <f>HYPERLINK("https://twitter.com/aejmc/status/1719439218492035292")</f>
        <v>https://twitter.com/aejmc/status/1719439218492035292</v>
      </c>
      <c r="AF186" s="83">
        <v>45230.819780092592</v>
      </c>
      <c r="AG186" s="89">
        <v>45230</v>
      </c>
      <c r="AH186" s="84" t="s">
        <v>664</v>
      </c>
      <c r="AI186" s="81"/>
      <c r="AJ186" s="81"/>
      <c r="AK186" s="81"/>
      <c r="AL186" s="81"/>
      <c r="AM186" s="81"/>
      <c r="AN186" s="81"/>
      <c r="AO186" s="81"/>
      <c r="AP186" s="81"/>
      <c r="AQ186" s="81"/>
      <c r="AR186" s="81"/>
      <c r="AS186" s="81"/>
      <c r="AT186" s="81"/>
      <c r="AU186" s="81"/>
      <c r="AV186" s="86" t="str">
        <f>HYPERLINK("https://pbs.twimg.com/profile_images/1559584982439444482/vOVkFGh3_normal.png")</f>
        <v>https://pbs.twimg.com/profile_images/1559584982439444482/vOVkFGh3_normal.png</v>
      </c>
      <c r="AW186" s="84" t="s">
        <v>818</v>
      </c>
      <c r="AX186" s="84" t="s">
        <v>818</v>
      </c>
      <c r="AY186" s="81"/>
      <c r="AZ186" s="84" t="s">
        <v>879</v>
      </c>
      <c r="BA186" s="84" t="s">
        <v>820</v>
      </c>
      <c r="BB186" s="84" t="s">
        <v>817</v>
      </c>
      <c r="BC186" s="84" t="s">
        <v>817</v>
      </c>
      <c r="BD186" s="81">
        <v>8442592</v>
      </c>
      <c r="BE186" s="81"/>
      <c r="BF186" s="81"/>
      <c r="BG186" s="81"/>
      <c r="BH186" s="81"/>
      <c r="BI186" s="81"/>
      <c r="BJ186">
        <v>1</v>
      </c>
      <c r="BK186" s="80" t="str">
        <f>REPLACE(INDEX(GroupVertices[Group], MATCH("~"&amp;Edges[[#This Row],[Vertex 1]],GroupVertices[Vertex],0)),1,1,"")</f>
        <v>1</v>
      </c>
      <c r="BL186" s="80" t="str">
        <f>REPLACE(INDEX(GroupVertices[Group], MATCH("~"&amp;Edges[[#This Row],[Vertex 2]],GroupVertices[Vertex],0)),1,1,"")</f>
        <v>4</v>
      </c>
      <c r="BM186" s="49">
        <v>0</v>
      </c>
      <c r="BN186" s="50">
        <v>0</v>
      </c>
      <c r="BO186" s="49">
        <v>1</v>
      </c>
      <c r="BP186" s="50">
        <v>5.882352941176471</v>
      </c>
      <c r="BQ186" s="49">
        <v>0</v>
      </c>
      <c r="BR186" s="50">
        <v>0</v>
      </c>
      <c r="BS186" s="49">
        <v>11</v>
      </c>
      <c r="BT186" s="50">
        <v>64.705882352941174</v>
      </c>
      <c r="BU186" s="49">
        <v>17</v>
      </c>
    </row>
    <row r="187" spans="1:73" x14ac:dyDescent="0.25">
      <c r="A187" s="65" t="s">
        <v>280</v>
      </c>
      <c r="B187" s="65" t="s">
        <v>280</v>
      </c>
      <c r="C187" s="66" t="s">
        <v>10074</v>
      </c>
      <c r="D187" s="67">
        <v>6.5</v>
      </c>
      <c r="E187" s="68" t="s">
        <v>132</v>
      </c>
      <c r="F187" s="69">
        <v>23.5</v>
      </c>
      <c r="G187" s="66"/>
      <c r="H187" s="70"/>
      <c r="I187" s="71"/>
      <c r="J187" s="71"/>
      <c r="K187" s="35" t="s">
        <v>65</v>
      </c>
      <c r="L187" s="79">
        <v>187</v>
      </c>
      <c r="M187" s="79"/>
      <c r="N187" s="73"/>
      <c r="O187" s="81" t="s">
        <v>367</v>
      </c>
      <c r="P187" s="83">
        <v>45222.637326388889</v>
      </c>
      <c r="Q187" s="81" t="s">
        <v>432</v>
      </c>
      <c r="R187" s="81">
        <v>10</v>
      </c>
      <c r="S187" s="81">
        <v>14</v>
      </c>
      <c r="T187" s="81">
        <v>0</v>
      </c>
      <c r="U187" s="81">
        <v>2</v>
      </c>
      <c r="V187" s="81">
        <v>1621</v>
      </c>
      <c r="W187" s="84" t="s">
        <v>490</v>
      </c>
      <c r="X187" s="86" t="str">
        <f>HYPERLINK("https://bostonu.zoom.us/meeting/register/tJAkc-Gsqj8qGNfbayeDGxjSAisWKFmTXJAs")</f>
        <v>https://bostonu.zoom.us/meeting/register/tJAkc-Gsqj8qGNfbayeDGxjSAisWKFmTXJAs</v>
      </c>
      <c r="Y187" s="81" t="s">
        <v>502</v>
      </c>
      <c r="Z187" s="81" t="s">
        <v>541</v>
      </c>
      <c r="AA187" s="81" t="s">
        <v>568</v>
      </c>
      <c r="AB187" s="81" t="s">
        <v>575</v>
      </c>
      <c r="AC187" s="84" t="s">
        <v>582</v>
      </c>
      <c r="AD187" s="81" t="s">
        <v>588</v>
      </c>
      <c r="AE187" s="86" t="str">
        <f>HYPERLINK("https://twitter.com/csgeaejmc/status/1716473993249645024")</f>
        <v>https://twitter.com/csgeaejmc/status/1716473993249645024</v>
      </c>
      <c r="AF187" s="83">
        <v>45222.637326388889</v>
      </c>
      <c r="AG187" s="89">
        <v>45222</v>
      </c>
      <c r="AH187" s="84" t="s">
        <v>666</v>
      </c>
      <c r="AI187" s="81" t="b">
        <v>0</v>
      </c>
      <c r="AJ187" s="81"/>
      <c r="AK187" s="81"/>
      <c r="AL187" s="81"/>
      <c r="AM187" s="81"/>
      <c r="AN187" s="81"/>
      <c r="AO187" s="81"/>
      <c r="AP187" s="81"/>
      <c r="AQ187" s="81" t="s">
        <v>737</v>
      </c>
      <c r="AR187" s="81"/>
      <c r="AS187" s="81"/>
      <c r="AT187" s="81"/>
      <c r="AU187" s="81"/>
      <c r="AV187" s="86" t="str">
        <f>HYPERLINK("https://pbs.twimg.com/media/F9IjUUkXAAAIObs.png")</f>
        <v>https://pbs.twimg.com/media/F9IjUUkXAAAIObs.png</v>
      </c>
      <c r="AW187" s="84" t="s">
        <v>820</v>
      </c>
      <c r="AX187" s="84" t="s">
        <v>820</v>
      </c>
      <c r="AY187" s="81"/>
      <c r="AZ187" s="84" t="s">
        <v>879</v>
      </c>
      <c r="BA187" s="84" t="s">
        <v>879</v>
      </c>
      <c r="BB187" s="84" t="s">
        <v>879</v>
      </c>
      <c r="BC187" s="84" t="s">
        <v>820</v>
      </c>
      <c r="BD187" s="84" t="s">
        <v>890</v>
      </c>
      <c r="BE187" s="81"/>
      <c r="BF187" s="81"/>
      <c r="BG187" s="81"/>
      <c r="BH187" s="81"/>
      <c r="BI187" s="81"/>
      <c r="BJ187">
        <v>2</v>
      </c>
      <c r="BK187" s="80" t="str">
        <f>REPLACE(INDEX(GroupVertices[Group], MATCH("~"&amp;Edges[[#This Row],[Vertex 1]],GroupVertices[Vertex],0)),1,1,"")</f>
        <v>4</v>
      </c>
      <c r="BL187" s="80" t="str">
        <f>REPLACE(INDEX(GroupVertices[Group], MATCH("~"&amp;Edges[[#This Row],[Vertex 2]],GroupVertices[Vertex],0)),1,1,"")</f>
        <v>4</v>
      </c>
      <c r="BM187" s="49"/>
      <c r="BN187" s="50"/>
      <c r="BO187" s="49"/>
      <c r="BP187" s="50"/>
      <c r="BQ187" s="49"/>
      <c r="BR187" s="50"/>
      <c r="BS187" s="49"/>
      <c r="BT187" s="50"/>
      <c r="BU187" s="49"/>
    </row>
    <row r="188" spans="1:73" x14ac:dyDescent="0.25">
      <c r="A188" s="65" t="s">
        <v>280</v>
      </c>
      <c r="B188" s="65" t="s">
        <v>280</v>
      </c>
      <c r="C188" s="66" t="s">
        <v>10073</v>
      </c>
      <c r="D188" s="67">
        <v>3</v>
      </c>
      <c r="E188" s="68" t="s">
        <v>132</v>
      </c>
      <c r="F188" s="69">
        <v>35</v>
      </c>
      <c r="G188" s="66"/>
      <c r="H188" s="70"/>
      <c r="I188" s="71"/>
      <c r="J188" s="71"/>
      <c r="K188" s="35" t="s">
        <v>65</v>
      </c>
      <c r="L188" s="79">
        <v>188</v>
      </c>
      <c r="M188" s="79"/>
      <c r="N188" s="73"/>
      <c r="O188" s="81" t="s">
        <v>366</v>
      </c>
      <c r="P188" s="83">
        <v>45230.817835648151</v>
      </c>
      <c r="Q188" s="81" t="s">
        <v>431</v>
      </c>
      <c r="R188" s="81">
        <v>2</v>
      </c>
      <c r="S188" s="81">
        <v>0</v>
      </c>
      <c r="T188" s="81">
        <v>0</v>
      </c>
      <c r="U188" s="81">
        <v>0</v>
      </c>
      <c r="V188" s="81"/>
      <c r="W188" s="84" t="s">
        <v>490</v>
      </c>
      <c r="X188" s="81"/>
      <c r="Y188" s="81"/>
      <c r="Z188" s="81" t="s">
        <v>540</v>
      </c>
      <c r="AA188" s="81"/>
      <c r="AB188" s="81"/>
      <c r="AC188" s="84" t="s">
        <v>580</v>
      </c>
      <c r="AD188" s="81" t="s">
        <v>588</v>
      </c>
      <c r="AE188" s="86" t="str">
        <f>HYPERLINK("https://twitter.com/csgeaejmc/status/1719438511349137778")</f>
        <v>https://twitter.com/csgeaejmc/status/1719438511349137778</v>
      </c>
      <c r="AF188" s="83">
        <v>45230.817835648151</v>
      </c>
      <c r="AG188" s="89">
        <v>45230</v>
      </c>
      <c r="AH188" s="84" t="s">
        <v>665</v>
      </c>
      <c r="AI188" s="81"/>
      <c r="AJ188" s="81"/>
      <c r="AK188" s="81"/>
      <c r="AL188" s="81"/>
      <c r="AM188" s="81"/>
      <c r="AN188" s="81"/>
      <c r="AO188" s="81"/>
      <c r="AP188" s="81"/>
      <c r="AQ188" s="81"/>
      <c r="AR188" s="81"/>
      <c r="AS188" s="81"/>
      <c r="AT188" s="81"/>
      <c r="AU188" s="81"/>
      <c r="AV188" s="86" t="str">
        <f>HYPERLINK("https://pbs.twimg.com/profile_images/1631068834768515072/LdDIOISa_normal.jpg")</f>
        <v>https://pbs.twimg.com/profile_images/1631068834768515072/LdDIOISa_normal.jpg</v>
      </c>
      <c r="AW188" s="84" t="s">
        <v>819</v>
      </c>
      <c r="AX188" s="84" t="s">
        <v>819</v>
      </c>
      <c r="AY188" s="81"/>
      <c r="AZ188" s="84" t="s">
        <v>879</v>
      </c>
      <c r="BA188" s="84" t="s">
        <v>820</v>
      </c>
      <c r="BB188" s="84" t="s">
        <v>817</v>
      </c>
      <c r="BC188" s="84" t="s">
        <v>817</v>
      </c>
      <c r="BD188" s="84" t="s">
        <v>890</v>
      </c>
      <c r="BE188" s="81"/>
      <c r="BF188" s="81"/>
      <c r="BG188" s="81"/>
      <c r="BH188" s="81"/>
      <c r="BI188" s="81"/>
      <c r="BJ188">
        <v>1</v>
      </c>
      <c r="BK188" s="80" t="str">
        <f>REPLACE(INDEX(GroupVertices[Group], MATCH("~"&amp;Edges[[#This Row],[Vertex 1]],GroupVertices[Vertex],0)),1,1,"")</f>
        <v>4</v>
      </c>
      <c r="BL188" s="80" t="str">
        <f>REPLACE(INDEX(GroupVertices[Group], MATCH("~"&amp;Edges[[#This Row],[Vertex 2]],GroupVertices[Vertex],0)),1,1,"")</f>
        <v>4</v>
      </c>
      <c r="BM188" s="49">
        <v>0</v>
      </c>
      <c r="BN188" s="50">
        <v>0</v>
      </c>
      <c r="BO188" s="49">
        <v>1</v>
      </c>
      <c r="BP188" s="50">
        <v>5.882352941176471</v>
      </c>
      <c r="BQ188" s="49">
        <v>0</v>
      </c>
      <c r="BR188" s="50">
        <v>0</v>
      </c>
      <c r="BS188" s="49">
        <v>11</v>
      </c>
      <c r="BT188" s="50">
        <v>64.705882352941174</v>
      </c>
      <c r="BU188" s="49">
        <v>17</v>
      </c>
    </row>
    <row r="189" spans="1:73" x14ac:dyDescent="0.25">
      <c r="A189" s="65" t="s">
        <v>280</v>
      </c>
      <c r="B189" s="65" t="s">
        <v>287</v>
      </c>
      <c r="C189" s="66" t="s">
        <v>10073</v>
      </c>
      <c r="D189" s="67">
        <v>3</v>
      </c>
      <c r="E189" s="68" t="s">
        <v>132</v>
      </c>
      <c r="F189" s="69">
        <v>35</v>
      </c>
      <c r="G189" s="66"/>
      <c r="H189" s="70"/>
      <c r="I189" s="71"/>
      <c r="J189" s="71"/>
      <c r="K189" s="35" t="s">
        <v>66</v>
      </c>
      <c r="L189" s="79">
        <v>189</v>
      </c>
      <c r="M189" s="79"/>
      <c r="N189" s="73"/>
      <c r="O189" s="81" t="s">
        <v>365</v>
      </c>
      <c r="P189" s="83">
        <v>45230.817754629628</v>
      </c>
      <c r="Q189" s="81" t="s">
        <v>444</v>
      </c>
      <c r="R189" s="81">
        <v>2</v>
      </c>
      <c r="S189" s="81">
        <v>0</v>
      </c>
      <c r="T189" s="81">
        <v>0</v>
      </c>
      <c r="U189" s="81">
        <v>0</v>
      </c>
      <c r="V189" s="81"/>
      <c r="W189" s="81"/>
      <c r="X189" s="81"/>
      <c r="Y189" s="81"/>
      <c r="Z189" s="81" t="s">
        <v>287</v>
      </c>
      <c r="AA189" s="81"/>
      <c r="AB189" s="81"/>
      <c r="AC189" s="84" t="s">
        <v>580</v>
      </c>
      <c r="AD189" s="81" t="s">
        <v>588</v>
      </c>
      <c r="AE189" s="86" t="str">
        <f>HYPERLINK("https://twitter.com/csgeaejmc/status/1719438481913421861")</f>
        <v>https://twitter.com/csgeaejmc/status/1719438481913421861</v>
      </c>
      <c r="AF189" s="83">
        <v>45230.817754629628</v>
      </c>
      <c r="AG189" s="89">
        <v>45230</v>
      </c>
      <c r="AH189" s="84" t="s">
        <v>683</v>
      </c>
      <c r="AI189" s="81"/>
      <c r="AJ189" s="81"/>
      <c r="AK189" s="81"/>
      <c r="AL189" s="81"/>
      <c r="AM189" s="81"/>
      <c r="AN189" s="81"/>
      <c r="AO189" s="81"/>
      <c r="AP189" s="81"/>
      <c r="AQ189" s="81"/>
      <c r="AR189" s="81"/>
      <c r="AS189" s="81"/>
      <c r="AT189" s="81"/>
      <c r="AU189" s="81"/>
      <c r="AV189" s="86" t="str">
        <f>HYPERLINK("https://pbs.twimg.com/profile_images/1631068834768515072/LdDIOISa_normal.jpg")</f>
        <v>https://pbs.twimg.com/profile_images/1631068834768515072/LdDIOISa_normal.jpg</v>
      </c>
      <c r="AW189" s="84" t="s">
        <v>837</v>
      </c>
      <c r="AX189" s="84" t="s">
        <v>837</v>
      </c>
      <c r="AY189" s="81"/>
      <c r="AZ189" s="84" t="s">
        <v>879</v>
      </c>
      <c r="BA189" s="84" t="s">
        <v>879</v>
      </c>
      <c r="BB189" s="84" t="s">
        <v>836</v>
      </c>
      <c r="BC189" s="84" t="s">
        <v>836</v>
      </c>
      <c r="BD189" s="84" t="s">
        <v>890</v>
      </c>
      <c r="BE189" s="81"/>
      <c r="BF189" s="81"/>
      <c r="BG189" s="81"/>
      <c r="BH189" s="81"/>
      <c r="BI189" s="81"/>
      <c r="BJ189">
        <v>1</v>
      </c>
      <c r="BK189" s="80" t="str">
        <f>REPLACE(INDEX(GroupVertices[Group], MATCH("~"&amp;Edges[[#This Row],[Vertex 1]],GroupVertices[Vertex],0)),1,1,"")</f>
        <v>4</v>
      </c>
      <c r="BL189" s="80" t="str">
        <f>REPLACE(INDEX(GroupVertices[Group], MATCH("~"&amp;Edges[[#This Row],[Vertex 2]],GroupVertices[Vertex],0)),1,1,"")</f>
        <v>4</v>
      </c>
      <c r="BM189" s="49">
        <v>1</v>
      </c>
      <c r="BN189" s="50">
        <v>4.3478260869565215</v>
      </c>
      <c r="BO189" s="49">
        <v>0</v>
      </c>
      <c r="BP189" s="50">
        <v>0</v>
      </c>
      <c r="BQ189" s="49">
        <v>0</v>
      </c>
      <c r="BR189" s="50">
        <v>0</v>
      </c>
      <c r="BS189" s="49">
        <v>13</v>
      </c>
      <c r="BT189" s="50">
        <v>56.521739130434781</v>
      </c>
      <c r="BU189" s="49">
        <v>23</v>
      </c>
    </row>
    <row r="190" spans="1:73" x14ac:dyDescent="0.25">
      <c r="A190" s="65" t="s">
        <v>280</v>
      </c>
      <c r="B190" s="65" t="s">
        <v>280</v>
      </c>
      <c r="C190" s="66" t="s">
        <v>10074</v>
      </c>
      <c r="D190" s="67">
        <v>6.5</v>
      </c>
      <c r="E190" s="68" t="s">
        <v>132</v>
      </c>
      <c r="F190" s="69">
        <v>23.5</v>
      </c>
      <c r="G190" s="66"/>
      <c r="H190" s="70"/>
      <c r="I190" s="71"/>
      <c r="J190" s="71"/>
      <c r="K190" s="35" t="s">
        <v>65</v>
      </c>
      <c r="L190" s="79">
        <v>190</v>
      </c>
      <c r="M190" s="79"/>
      <c r="N190" s="73"/>
      <c r="O190" s="81" t="s">
        <v>367</v>
      </c>
      <c r="P190" s="83">
        <v>45233.799398148149</v>
      </c>
      <c r="Q190" s="81" t="s">
        <v>433</v>
      </c>
      <c r="R190" s="81">
        <v>4</v>
      </c>
      <c r="S190" s="81">
        <v>5</v>
      </c>
      <c r="T190" s="81">
        <v>0</v>
      </c>
      <c r="U190" s="81">
        <v>2</v>
      </c>
      <c r="V190" s="81">
        <v>1602</v>
      </c>
      <c r="W190" s="84" t="s">
        <v>490</v>
      </c>
      <c r="X190" s="86" t="str">
        <f>HYPERLINK("https://bostonu.zoom.us/meeting/register/tJAkc-Gsqj8qGNfbayeDGxjSAisWKFmTXJAs")</f>
        <v>https://bostonu.zoom.us/meeting/register/tJAkc-Gsqj8qGNfbayeDGxjSAisWKFmTXJAs</v>
      </c>
      <c r="Y190" s="81" t="s">
        <v>502</v>
      </c>
      <c r="Z190" s="81" t="s">
        <v>541</v>
      </c>
      <c r="AA190" s="81" t="s">
        <v>569</v>
      </c>
      <c r="AB190" s="81" t="s">
        <v>577</v>
      </c>
      <c r="AC190" s="84" t="s">
        <v>582</v>
      </c>
      <c r="AD190" s="81" t="s">
        <v>588</v>
      </c>
      <c r="AE190" s="86" t="str">
        <f>HYPERLINK("https://twitter.com/csgeaejmc/status/1720518995030556846")</f>
        <v>https://twitter.com/csgeaejmc/status/1720518995030556846</v>
      </c>
      <c r="AF190" s="83">
        <v>45233.799398148149</v>
      </c>
      <c r="AG190" s="89">
        <v>45233</v>
      </c>
      <c r="AH190" s="84" t="s">
        <v>667</v>
      </c>
      <c r="AI190" s="81" t="b">
        <v>0</v>
      </c>
      <c r="AJ190" s="81"/>
      <c r="AK190" s="81"/>
      <c r="AL190" s="81"/>
      <c r="AM190" s="81"/>
      <c r="AN190" s="81"/>
      <c r="AO190" s="81"/>
      <c r="AP190" s="81"/>
      <c r="AQ190" s="81" t="s">
        <v>738</v>
      </c>
      <c r="AR190" s="81"/>
      <c r="AS190" s="81"/>
      <c r="AT190" s="81"/>
      <c r="AU190" s="81"/>
      <c r="AV190" s="86" t="str">
        <f>HYPERLINK("https://pbs.twimg.com/tweet_video_thumb/F-CC553agAAW9bb.jpg")</f>
        <v>https://pbs.twimg.com/tweet_video_thumb/F-CC553agAAW9bb.jpg</v>
      </c>
      <c r="AW190" s="84" t="s">
        <v>821</v>
      </c>
      <c r="AX190" s="84" t="s">
        <v>821</v>
      </c>
      <c r="AY190" s="81"/>
      <c r="AZ190" s="84" t="s">
        <v>879</v>
      </c>
      <c r="BA190" s="84" t="s">
        <v>879</v>
      </c>
      <c r="BB190" s="84" t="s">
        <v>879</v>
      </c>
      <c r="BC190" s="84" t="s">
        <v>821</v>
      </c>
      <c r="BD190" s="84" t="s">
        <v>890</v>
      </c>
      <c r="BE190" s="81"/>
      <c r="BF190" s="81"/>
      <c r="BG190" s="81"/>
      <c r="BH190" s="81"/>
      <c r="BI190" s="81"/>
      <c r="BJ190">
        <v>2</v>
      </c>
      <c r="BK190" s="80" t="str">
        <f>REPLACE(INDEX(GroupVertices[Group], MATCH("~"&amp;Edges[[#This Row],[Vertex 1]],GroupVertices[Vertex],0)),1,1,"")</f>
        <v>4</v>
      </c>
      <c r="BL190" s="80" t="str">
        <f>REPLACE(INDEX(GroupVertices[Group], MATCH("~"&amp;Edges[[#This Row],[Vertex 2]],GroupVertices[Vertex],0)),1,1,"")</f>
        <v>4</v>
      </c>
      <c r="BM190" s="49"/>
      <c r="BN190" s="50"/>
      <c r="BO190" s="49"/>
      <c r="BP190" s="50"/>
      <c r="BQ190" s="49"/>
      <c r="BR190" s="50"/>
      <c r="BS190" s="49"/>
      <c r="BT190" s="50"/>
      <c r="BU190" s="49"/>
    </row>
    <row r="191" spans="1:73" x14ac:dyDescent="0.25">
      <c r="A191" s="65" t="s">
        <v>287</v>
      </c>
      <c r="B191" s="65" t="s">
        <v>280</v>
      </c>
      <c r="C191" s="66" t="s">
        <v>10073</v>
      </c>
      <c r="D191" s="67">
        <v>3</v>
      </c>
      <c r="E191" s="68" t="s">
        <v>132</v>
      </c>
      <c r="F191" s="69">
        <v>35</v>
      </c>
      <c r="G191" s="66"/>
      <c r="H191" s="70"/>
      <c r="I191" s="71"/>
      <c r="J191" s="71"/>
      <c r="K191" s="35" t="s">
        <v>66</v>
      </c>
      <c r="L191" s="79">
        <v>191</v>
      </c>
      <c r="M191" s="79"/>
      <c r="N191" s="73"/>
      <c r="O191" s="81" t="s">
        <v>367</v>
      </c>
      <c r="P191" s="83">
        <v>45226.818807870368</v>
      </c>
      <c r="Q191" s="81" t="s">
        <v>443</v>
      </c>
      <c r="R191" s="81">
        <v>2</v>
      </c>
      <c r="S191" s="81">
        <v>1</v>
      </c>
      <c r="T191" s="81">
        <v>0</v>
      </c>
      <c r="U191" s="81">
        <v>0</v>
      </c>
      <c r="V191" s="81">
        <v>255</v>
      </c>
      <c r="W191" s="81"/>
      <c r="X191" s="86" t="str">
        <f>HYPERLINK("https://ow.ly/JyA050PZrHG")</f>
        <v>https://ow.ly/JyA050PZrHG</v>
      </c>
      <c r="Y191" s="81" t="s">
        <v>512</v>
      </c>
      <c r="Z191" s="81" t="s">
        <v>546</v>
      </c>
      <c r="AA191" s="81" t="s">
        <v>570</v>
      </c>
      <c r="AB191" s="81" t="s">
        <v>575</v>
      </c>
      <c r="AC191" s="84" t="s">
        <v>585</v>
      </c>
      <c r="AD191" s="81" t="s">
        <v>588</v>
      </c>
      <c r="AE191" s="86" t="str">
        <f>HYPERLINK("https://twitter.com/rlpgbooks/status/1717989312514412961")</f>
        <v>https://twitter.com/rlpgbooks/status/1717989312514412961</v>
      </c>
      <c r="AF191" s="83">
        <v>45226.818807870368</v>
      </c>
      <c r="AG191" s="89">
        <v>45226</v>
      </c>
      <c r="AH191" s="84" t="s">
        <v>682</v>
      </c>
      <c r="AI191" s="81" t="b">
        <v>0</v>
      </c>
      <c r="AJ191" s="81"/>
      <c r="AK191" s="81"/>
      <c r="AL191" s="81"/>
      <c r="AM191" s="81"/>
      <c r="AN191" s="81"/>
      <c r="AO191" s="81"/>
      <c r="AP191" s="81"/>
      <c r="AQ191" s="81" t="s">
        <v>739</v>
      </c>
      <c r="AR191" s="81"/>
      <c r="AS191" s="81"/>
      <c r="AT191" s="81"/>
      <c r="AU191" s="81"/>
      <c r="AV191" s="86" t="str">
        <f>HYPERLINK("https://pbs.twimg.com/media/F9eGLPPW4AAuhpV.jpg")</f>
        <v>https://pbs.twimg.com/media/F9eGLPPW4AAuhpV.jpg</v>
      </c>
      <c r="AW191" s="84" t="s">
        <v>836</v>
      </c>
      <c r="AX191" s="84" t="s">
        <v>836</v>
      </c>
      <c r="AY191" s="81"/>
      <c r="AZ191" s="84" t="s">
        <v>879</v>
      </c>
      <c r="BA191" s="84" t="s">
        <v>879</v>
      </c>
      <c r="BB191" s="84" t="s">
        <v>879</v>
      </c>
      <c r="BC191" s="84" t="s">
        <v>836</v>
      </c>
      <c r="BD191" s="81">
        <v>81992242</v>
      </c>
      <c r="BE191" s="81"/>
      <c r="BF191" s="81"/>
      <c r="BG191" s="81"/>
      <c r="BH191" s="81"/>
      <c r="BI191" s="81"/>
      <c r="BJ191">
        <v>1</v>
      </c>
      <c r="BK191" s="80" t="str">
        <f>REPLACE(INDEX(GroupVertices[Group], MATCH("~"&amp;Edges[[#This Row],[Vertex 1]],GroupVertices[Vertex],0)),1,1,"")</f>
        <v>4</v>
      </c>
      <c r="BL191" s="80" t="str">
        <f>REPLACE(INDEX(GroupVertices[Group], MATCH("~"&amp;Edges[[#This Row],[Vertex 2]],GroupVertices[Vertex],0)),1,1,"")</f>
        <v>4</v>
      </c>
      <c r="BM191" s="49"/>
      <c r="BN191" s="50"/>
      <c r="BO191" s="49"/>
      <c r="BP191" s="50"/>
      <c r="BQ191" s="49"/>
      <c r="BR191" s="50"/>
      <c r="BS191" s="49"/>
      <c r="BT191" s="50"/>
      <c r="BU191" s="49"/>
    </row>
    <row r="192" spans="1:73" x14ac:dyDescent="0.25">
      <c r="A192" s="65" t="s">
        <v>288</v>
      </c>
      <c r="B192" s="65" t="s">
        <v>345</v>
      </c>
      <c r="C192" s="66" t="s">
        <v>10073</v>
      </c>
      <c r="D192" s="67">
        <v>3</v>
      </c>
      <c r="E192" s="68" t="s">
        <v>132</v>
      </c>
      <c r="F192" s="69">
        <v>35</v>
      </c>
      <c r="G192" s="66"/>
      <c r="H192" s="70"/>
      <c r="I192" s="71"/>
      <c r="J192" s="71"/>
      <c r="K192" s="35" t="s">
        <v>65</v>
      </c>
      <c r="L192" s="79">
        <v>192</v>
      </c>
      <c r="M192" s="79"/>
      <c r="N192" s="73"/>
      <c r="O192" s="81" t="s">
        <v>367</v>
      </c>
      <c r="P192" s="83">
        <v>45226.655486111114</v>
      </c>
      <c r="Q192" s="81" t="s">
        <v>445</v>
      </c>
      <c r="R192" s="81">
        <v>39</v>
      </c>
      <c r="S192" s="81">
        <v>141</v>
      </c>
      <c r="T192" s="81">
        <v>1</v>
      </c>
      <c r="U192" s="81">
        <v>6</v>
      </c>
      <c r="V192" s="81">
        <v>22026</v>
      </c>
      <c r="W192" s="81"/>
      <c r="X192" s="86" t="str">
        <f>HYPERLINK("https://journals.sagepub.com/doi/10.1177/14614448231205893")</f>
        <v>https://journals.sagepub.com/doi/10.1177/14614448231205893</v>
      </c>
      <c r="Y192" s="81" t="s">
        <v>506</v>
      </c>
      <c r="Z192" s="81" t="s">
        <v>547</v>
      </c>
      <c r="AA192" s="81"/>
      <c r="AB192" s="81"/>
      <c r="AC192" s="84" t="s">
        <v>582</v>
      </c>
      <c r="AD192" s="81" t="s">
        <v>588</v>
      </c>
      <c r="AE192" s="86" t="str">
        <f>HYPERLINK("https://twitter.com/pengyilang/status/1717930126736761107")</f>
        <v>https://twitter.com/pengyilang/status/1717930126736761107</v>
      </c>
      <c r="AF192" s="83">
        <v>45226.655486111114</v>
      </c>
      <c r="AG192" s="89">
        <v>45226</v>
      </c>
      <c r="AH192" s="84" t="s">
        <v>684</v>
      </c>
      <c r="AI192" s="81" t="b">
        <v>0</v>
      </c>
      <c r="AJ192" s="81"/>
      <c r="AK192" s="81"/>
      <c r="AL192" s="81"/>
      <c r="AM192" s="81"/>
      <c r="AN192" s="81"/>
      <c r="AO192" s="81"/>
      <c r="AP192" s="81"/>
      <c r="AQ192" s="81"/>
      <c r="AR192" s="81"/>
      <c r="AS192" s="81"/>
      <c r="AT192" s="81"/>
      <c r="AU192" s="81"/>
      <c r="AV192" s="86" t="str">
        <f>HYPERLINK("https://pbs.twimg.com/profile_images/1543843345998483456/C83GM58-_normal.jpg")</f>
        <v>https://pbs.twimg.com/profile_images/1543843345998483456/C83GM58-_normal.jpg</v>
      </c>
      <c r="AW192" s="84" t="s">
        <v>838</v>
      </c>
      <c r="AX192" s="84" t="s">
        <v>838</v>
      </c>
      <c r="AY192" s="81"/>
      <c r="AZ192" s="84" t="s">
        <v>879</v>
      </c>
      <c r="BA192" s="84" t="s">
        <v>879</v>
      </c>
      <c r="BB192" s="84" t="s">
        <v>879</v>
      </c>
      <c r="BC192" s="84" t="s">
        <v>838</v>
      </c>
      <c r="BD192" s="81">
        <v>343340218</v>
      </c>
      <c r="BE192" s="81"/>
      <c r="BF192" s="81"/>
      <c r="BG192" s="81"/>
      <c r="BH192" s="81"/>
      <c r="BI192" s="81"/>
      <c r="BJ192">
        <v>1</v>
      </c>
      <c r="BK192" s="80" t="str">
        <f>REPLACE(INDEX(GroupVertices[Group], MATCH("~"&amp;Edges[[#This Row],[Vertex 1]],GroupVertices[Vertex],0)),1,1,"")</f>
        <v>3</v>
      </c>
      <c r="BL192" s="80" t="str">
        <f>REPLACE(INDEX(GroupVertices[Group], MATCH("~"&amp;Edges[[#This Row],[Vertex 2]],GroupVertices[Vertex],0)),1,1,"")</f>
        <v>3</v>
      </c>
      <c r="BM192" s="49"/>
      <c r="BN192" s="50"/>
      <c r="BO192" s="49"/>
      <c r="BP192" s="50"/>
      <c r="BQ192" s="49"/>
      <c r="BR192" s="50"/>
      <c r="BS192" s="49"/>
      <c r="BT192" s="50"/>
      <c r="BU192" s="49"/>
    </row>
    <row r="193" spans="1:73" x14ac:dyDescent="0.25">
      <c r="A193" s="65" t="s">
        <v>288</v>
      </c>
      <c r="B193" s="65" t="s">
        <v>346</v>
      </c>
      <c r="C193" s="66" t="s">
        <v>10073</v>
      </c>
      <c r="D193" s="67">
        <v>3</v>
      </c>
      <c r="E193" s="68" t="s">
        <v>132</v>
      </c>
      <c r="F193" s="69">
        <v>35</v>
      </c>
      <c r="G193" s="66"/>
      <c r="H193" s="70"/>
      <c r="I193" s="71"/>
      <c r="J193" s="71"/>
      <c r="K193" s="35" t="s">
        <v>65</v>
      </c>
      <c r="L193" s="79">
        <v>193</v>
      </c>
      <c r="M193" s="79"/>
      <c r="N193" s="73"/>
      <c r="O193" s="81" t="s">
        <v>367</v>
      </c>
      <c r="P193" s="83">
        <v>45226.655486111114</v>
      </c>
      <c r="Q193" s="81" t="s">
        <v>445</v>
      </c>
      <c r="R193" s="81">
        <v>39</v>
      </c>
      <c r="S193" s="81">
        <v>141</v>
      </c>
      <c r="T193" s="81">
        <v>1</v>
      </c>
      <c r="U193" s="81">
        <v>6</v>
      </c>
      <c r="V193" s="81">
        <v>22026</v>
      </c>
      <c r="W193" s="81"/>
      <c r="X193" s="86" t="str">
        <f>HYPERLINK("https://journals.sagepub.com/doi/10.1177/14614448231205893")</f>
        <v>https://journals.sagepub.com/doi/10.1177/14614448231205893</v>
      </c>
      <c r="Y193" s="81" t="s">
        <v>506</v>
      </c>
      <c r="Z193" s="81" t="s">
        <v>547</v>
      </c>
      <c r="AA193" s="81"/>
      <c r="AB193" s="81"/>
      <c r="AC193" s="84" t="s">
        <v>582</v>
      </c>
      <c r="AD193" s="81" t="s">
        <v>588</v>
      </c>
      <c r="AE193" s="86" t="str">
        <f>HYPERLINK("https://twitter.com/pengyilang/status/1717930126736761107")</f>
        <v>https://twitter.com/pengyilang/status/1717930126736761107</v>
      </c>
      <c r="AF193" s="83">
        <v>45226.655486111114</v>
      </c>
      <c r="AG193" s="89">
        <v>45226</v>
      </c>
      <c r="AH193" s="84" t="s">
        <v>684</v>
      </c>
      <c r="AI193" s="81" t="b">
        <v>0</v>
      </c>
      <c r="AJ193" s="81"/>
      <c r="AK193" s="81"/>
      <c r="AL193" s="81"/>
      <c r="AM193" s="81"/>
      <c r="AN193" s="81"/>
      <c r="AO193" s="81"/>
      <c r="AP193" s="81"/>
      <c r="AQ193" s="81"/>
      <c r="AR193" s="81"/>
      <c r="AS193" s="81"/>
      <c r="AT193" s="81"/>
      <c r="AU193" s="81"/>
      <c r="AV193" s="86" t="str">
        <f>HYPERLINK("https://pbs.twimg.com/profile_images/1543843345998483456/C83GM58-_normal.jpg")</f>
        <v>https://pbs.twimg.com/profile_images/1543843345998483456/C83GM58-_normal.jpg</v>
      </c>
      <c r="AW193" s="84" t="s">
        <v>838</v>
      </c>
      <c r="AX193" s="84" t="s">
        <v>838</v>
      </c>
      <c r="AY193" s="81"/>
      <c r="AZ193" s="84" t="s">
        <v>879</v>
      </c>
      <c r="BA193" s="84" t="s">
        <v>879</v>
      </c>
      <c r="BB193" s="84" t="s">
        <v>879</v>
      </c>
      <c r="BC193" s="84" t="s">
        <v>838</v>
      </c>
      <c r="BD193" s="81">
        <v>343340218</v>
      </c>
      <c r="BE193" s="81"/>
      <c r="BF193" s="81"/>
      <c r="BG193" s="81"/>
      <c r="BH193" s="81"/>
      <c r="BI193" s="81"/>
      <c r="BJ193">
        <v>1</v>
      </c>
      <c r="BK193" s="80" t="str">
        <f>REPLACE(INDEX(GroupVertices[Group], MATCH("~"&amp;Edges[[#This Row],[Vertex 1]],GroupVertices[Vertex],0)),1,1,"")</f>
        <v>3</v>
      </c>
      <c r="BL193" s="80" t="str">
        <f>REPLACE(INDEX(GroupVertices[Group], MATCH("~"&amp;Edges[[#This Row],[Vertex 2]],GroupVertices[Vertex],0)),1,1,"")</f>
        <v>3</v>
      </c>
      <c r="BM193" s="49">
        <v>3</v>
      </c>
      <c r="BN193" s="50">
        <v>9.375</v>
      </c>
      <c r="BO193" s="49">
        <v>0</v>
      </c>
      <c r="BP193" s="50">
        <v>0</v>
      </c>
      <c r="BQ193" s="49">
        <v>0</v>
      </c>
      <c r="BR193" s="50">
        <v>0</v>
      </c>
      <c r="BS193" s="49">
        <v>15</v>
      </c>
      <c r="BT193" s="50">
        <v>46.875</v>
      </c>
      <c r="BU193" s="49">
        <v>32</v>
      </c>
    </row>
    <row r="194" spans="1:73" x14ac:dyDescent="0.25">
      <c r="A194" s="65" t="s">
        <v>289</v>
      </c>
      <c r="B194" s="65" t="s">
        <v>289</v>
      </c>
      <c r="C194" s="66" t="s">
        <v>10073</v>
      </c>
      <c r="D194" s="67">
        <v>3</v>
      </c>
      <c r="E194" s="68" t="s">
        <v>132</v>
      </c>
      <c r="F194" s="69">
        <v>35</v>
      </c>
      <c r="G194" s="66"/>
      <c r="H194" s="70"/>
      <c r="I194" s="71"/>
      <c r="J194" s="71"/>
      <c r="K194" s="35" t="s">
        <v>65</v>
      </c>
      <c r="L194" s="79">
        <v>194</v>
      </c>
      <c r="M194" s="79"/>
      <c r="N194" s="73"/>
      <c r="O194" s="81" t="s">
        <v>196</v>
      </c>
      <c r="P194" s="83">
        <v>45230.707835648151</v>
      </c>
      <c r="Q194" s="81" t="s">
        <v>446</v>
      </c>
      <c r="R194" s="81">
        <v>5</v>
      </c>
      <c r="S194" s="81">
        <v>3</v>
      </c>
      <c r="T194" s="81">
        <v>0</v>
      </c>
      <c r="U194" s="81">
        <v>0</v>
      </c>
      <c r="V194" s="81">
        <v>754</v>
      </c>
      <c r="W194" s="81"/>
      <c r="X194" s="86" t="str">
        <f>HYPERLINK("https://mmedivision.wordpress.com/2023/10/31/paper-call-aejmc-midwinter-conference/")</f>
        <v>https://mmedivision.wordpress.com/2023/10/31/paper-call-aejmc-midwinter-conference/</v>
      </c>
      <c r="Y194" s="81" t="s">
        <v>513</v>
      </c>
      <c r="Z194" s="81"/>
      <c r="AA194" s="81"/>
      <c r="AB194" s="81"/>
      <c r="AC194" s="84" t="s">
        <v>582</v>
      </c>
      <c r="AD194" s="81" t="s">
        <v>588</v>
      </c>
      <c r="AE194" s="86" t="str">
        <f>HYPERLINK("https://twitter.com/aejmcmmee/status/1719398651049726196")</f>
        <v>https://twitter.com/aejmcmmee/status/1719398651049726196</v>
      </c>
      <c r="AF194" s="83">
        <v>45230.707835648151</v>
      </c>
      <c r="AG194" s="89">
        <v>45230</v>
      </c>
      <c r="AH194" s="84" t="s">
        <v>685</v>
      </c>
      <c r="AI194" s="81" t="b">
        <v>0</v>
      </c>
      <c r="AJ194" s="81"/>
      <c r="AK194" s="81"/>
      <c r="AL194" s="81"/>
      <c r="AM194" s="81"/>
      <c r="AN194" s="81"/>
      <c r="AO194" s="81"/>
      <c r="AP194" s="81"/>
      <c r="AQ194" s="81"/>
      <c r="AR194" s="81"/>
      <c r="AS194" s="81"/>
      <c r="AT194" s="81"/>
      <c r="AU194" s="81"/>
      <c r="AV194" s="86" t="str">
        <f>HYPERLINK("https://pbs.twimg.com/profile_images/1466447527884963840/ZQq_A9e7_normal.jpg")</f>
        <v>https://pbs.twimg.com/profile_images/1466447527884963840/ZQq_A9e7_normal.jpg</v>
      </c>
      <c r="AW194" s="84" t="s">
        <v>839</v>
      </c>
      <c r="AX194" s="84" t="s">
        <v>839</v>
      </c>
      <c r="AY194" s="81"/>
      <c r="AZ194" s="84" t="s">
        <v>879</v>
      </c>
      <c r="BA194" s="84" t="s">
        <v>879</v>
      </c>
      <c r="BB194" s="84" t="s">
        <v>879</v>
      </c>
      <c r="BC194" s="84" t="s">
        <v>839</v>
      </c>
      <c r="BD194" s="81">
        <v>3307384609</v>
      </c>
      <c r="BE194" s="81"/>
      <c r="BF194" s="81"/>
      <c r="BG194" s="81"/>
      <c r="BH194" s="81"/>
      <c r="BI194" s="81"/>
      <c r="BJ194">
        <v>1</v>
      </c>
      <c r="BK194" s="80" t="str">
        <f>REPLACE(INDEX(GroupVertices[Group], MATCH("~"&amp;Edges[[#This Row],[Vertex 1]],GroupVertices[Vertex],0)),1,1,"")</f>
        <v>10</v>
      </c>
      <c r="BL194" s="80" t="str">
        <f>REPLACE(INDEX(GroupVertices[Group], MATCH("~"&amp;Edges[[#This Row],[Vertex 2]],GroupVertices[Vertex],0)),1,1,"")</f>
        <v>10</v>
      </c>
      <c r="BM194" s="49">
        <v>0</v>
      </c>
      <c r="BN194" s="50">
        <v>0</v>
      </c>
      <c r="BO194" s="49">
        <v>0</v>
      </c>
      <c r="BP194" s="50">
        <v>0</v>
      </c>
      <c r="BQ194" s="49">
        <v>0</v>
      </c>
      <c r="BR194" s="50">
        <v>0</v>
      </c>
      <c r="BS194" s="49">
        <v>16</v>
      </c>
      <c r="BT194" s="50">
        <v>61.53846153846154</v>
      </c>
      <c r="BU194" s="49">
        <v>26</v>
      </c>
    </row>
    <row r="195" spans="1:73" x14ac:dyDescent="0.25">
      <c r="A195" s="65" t="s">
        <v>268</v>
      </c>
      <c r="B195" s="65" t="s">
        <v>289</v>
      </c>
      <c r="C195" s="66" t="s">
        <v>10073</v>
      </c>
      <c r="D195" s="67">
        <v>3</v>
      </c>
      <c r="E195" s="68" t="s">
        <v>132</v>
      </c>
      <c r="F195" s="69">
        <v>35</v>
      </c>
      <c r="G195" s="66"/>
      <c r="H195" s="70"/>
      <c r="I195" s="71"/>
      <c r="J195" s="71"/>
      <c r="K195" s="35" t="s">
        <v>65</v>
      </c>
      <c r="L195" s="79">
        <v>195</v>
      </c>
      <c r="M195" s="79"/>
      <c r="N195" s="73"/>
      <c r="O195" s="81" t="s">
        <v>365</v>
      </c>
      <c r="P195" s="83">
        <v>45230.816064814811</v>
      </c>
      <c r="Q195" s="81" t="s">
        <v>372</v>
      </c>
      <c r="R195" s="81">
        <v>5</v>
      </c>
      <c r="S195" s="81">
        <v>0</v>
      </c>
      <c r="T195" s="81">
        <v>0</v>
      </c>
      <c r="U195" s="81">
        <v>0</v>
      </c>
      <c r="V195" s="81"/>
      <c r="W195" s="81"/>
      <c r="X195" s="81"/>
      <c r="Y195" s="81"/>
      <c r="Z195" s="81" t="s">
        <v>289</v>
      </c>
      <c r="AA195" s="81"/>
      <c r="AB195" s="81"/>
      <c r="AC195" s="84" t="s">
        <v>582</v>
      </c>
      <c r="AD195" s="81" t="s">
        <v>588</v>
      </c>
      <c r="AE195" s="86" t="str">
        <f>HYPERLINK("https://twitter.com/aejmc/status/1719437871679971702")</f>
        <v>https://twitter.com/aejmc/status/1719437871679971702</v>
      </c>
      <c r="AF195" s="83">
        <v>45230.816064814811</v>
      </c>
      <c r="AG195" s="89">
        <v>45230</v>
      </c>
      <c r="AH195" s="84" t="s">
        <v>686</v>
      </c>
      <c r="AI195" s="81" t="b">
        <v>0</v>
      </c>
      <c r="AJ195" s="81"/>
      <c r="AK195" s="81"/>
      <c r="AL195" s="81"/>
      <c r="AM195" s="81"/>
      <c r="AN195" s="81"/>
      <c r="AO195" s="81"/>
      <c r="AP195" s="81"/>
      <c r="AQ195" s="81"/>
      <c r="AR195" s="81"/>
      <c r="AS195" s="81"/>
      <c r="AT195" s="81"/>
      <c r="AU195" s="81"/>
      <c r="AV195" s="86" t="str">
        <f>HYPERLINK("https://pbs.twimg.com/profile_images/1559584982439444482/vOVkFGh3_normal.png")</f>
        <v>https://pbs.twimg.com/profile_images/1559584982439444482/vOVkFGh3_normal.png</v>
      </c>
      <c r="AW195" s="84" t="s">
        <v>840</v>
      </c>
      <c r="AX195" s="84" t="s">
        <v>840</v>
      </c>
      <c r="AY195" s="81"/>
      <c r="AZ195" s="84" t="s">
        <v>879</v>
      </c>
      <c r="BA195" s="84" t="s">
        <v>879</v>
      </c>
      <c r="BB195" s="84" t="s">
        <v>839</v>
      </c>
      <c r="BC195" s="84" t="s">
        <v>839</v>
      </c>
      <c r="BD195" s="81">
        <v>8442592</v>
      </c>
      <c r="BE195" s="81"/>
      <c r="BF195" s="81"/>
      <c r="BG195" s="81"/>
      <c r="BH195" s="81"/>
      <c r="BI195" s="81"/>
      <c r="BJ195">
        <v>1</v>
      </c>
      <c r="BK195" s="80" t="str">
        <f>REPLACE(INDEX(GroupVertices[Group], MATCH("~"&amp;Edges[[#This Row],[Vertex 1]],GroupVertices[Vertex],0)),1,1,"")</f>
        <v>1</v>
      </c>
      <c r="BL195" s="80" t="str">
        <f>REPLACE(INDEX(GroupVertices[Group], MATCH("~"&amp;Edges[[#This Row],[Vertex 2]],GroupVertices[Vertex],0)),1,1,"")</f>
        <v>10</v>
      </c>
      <c r="BM195" s="49">
        <v>0</v>
      </c>
      <c r="BN195" s="50">
        <v>0</v>
      </c>
      <c r="BO195" s="49">
        <v>0</v>
      </c>
      <c r="BP195" s="50">
        <v>0</v>
      </c>
      <c r="BQ195" s="49">
        <v>0</v>
      </c>
      <c r="BR195" s="50">
        <v>0</v>
      </c>
      <c r="BS195" s="49">
        <v>13</v>
      </c>
      <c r="BT195" s="50">
        <v>54.166666666666664</v>
      </c>
      <c r="BU195" s="49">
        <v>24</v>
      </c>
    </row>
    <row r="196" spans="1:73" x14ac:dyDescent="0.25">
      <c r="A196" s="65" t="s">
        <v>290</v>
      </c>
      <c r="B196" s="65" t="s">
        <v>289</v>
      </c>
      <c r="C196" s="66" t="s">
        <v>10073</v>
      </c>
      <c r="D196" s="67">
        <v>3</v>
      </c>
      <c r="E196" s="68" t="s">
        <v>132</v>
      </c>
      <c r="F196" s="69">
        <v>35</v>
      </c>
      <c r="G196" s="66"/>
      <c r="H196" s="70"/>
      <c r="I196" s="71"/>
      <c r="J196" s="71"/>
      <c r="K196" s="35" t="s">
        <v>65</v>
      </c>
      <c r="L196" s="79">
        <v>196</v>
      </c>
      <c r="M196" s="79"/>
      <c r="N196" s="73"/>
      <c r="O196" s="81" t="s">
        <v>365</v>
      </c>
      <c r="P196" s="83">
        <v>45231.106574074074</v>
      </c>
      <c r="Q196" s="81" t="s">
        <v>372</v>
      </c>
      <c r="R196" s="81">
        <v>5</v>
      </c>
      <c r="S196" s="81">
        <v>0</v>
      </c>
      <c r="T196" s="81">
        <v>0</v>
      </c>
      <c r="U196" s="81">
        <v>0</v>
      </c>
      <c r="V196" s="81"/>
      <c r="W196" s="81"/>
      <c r="X196" s="81"/>
      <c r="Y196" s="81"/>
      <c r="Z196" s="81" t="s">
        <v>289</v>
      </c>
      <c r="AA196" s="81"/>
      <c r="AB196" s="81"/>
      <c r="AC196" s="84" t="s">
        <v>580</v>
      </c>
      <c r="AD196" s="81" t="s">
        <v>588</v>
      </c>
      <c r="AE196" s="86" t="str">
        <f>HYPERLINK("https://twitter.com/uyendpp/status/1719543148467130375")</f>
        <v>https://twitter.com/uyendpp/status/1719543148467130375</v>
      </c>
      <c r="AF196" s="83">
        <v>45231.106574074074</v>
      </c>
      <c r="AG196" s="89">
        <v>45231</v>
      </c>
      <c r="AH196" s="84" t="s">
        <v>687</v>
      </c>
      <c r="AI196" s="81" t="b">
        <v>0</v>
      </c>
      <c r="AJ196" s="81"/>
      <c r="AK196" s="81"/>
      <c r="AL196" s="81"/>
      <c r="AM196" s="81"/>
      <c r="AN196" s="81"/>
      <c r="AO196" s="81"/>
      <c r="AP196" s="81"/>
      <c r="AQ196" s="81"/>
      <c r="AR196" s="81"/>
      <c r="AS196" s="81"/>
      <c r="AT196" s="81"/>
      <c r="AU196" s="81"/>
      <c r="AV196" s="86" t="str">
        <f>HYPERLINK("https://pbs.twimg.com/profile_images/1584045967027879937/izp8q46N_normal.jpg")</f>
        <v>https://pbs.twimg.com/profile_images/1584045967027879937/izp8q46N_normal.jpg</v>
      </c>
      <c r="AW196" s="84" t="s">
        <v>841</v>
      </c>
      <c r="AX196" s="84" t="s">
        <v>841</v>
      </c>
      <c r="AY196" s="81"/>
      <c r="AZ196" s="84" t="s">
        <v>879</v>
      </c>
      <c r="BA196" s="84" t="s">
        <v>879</v>
      </c>
      <c r="BB196" s="84" t="s">
        <v>839</v>
      </c>
      <c r="BC196" s="84" t="s">
        <v>839</v>
      </c>
      <c r="BD196" s="84" t="s">
        <v>891</v>
      </c>
      <c r="BE196" s="81"/>
      <c r="BF196" s="81"/>
      <c r="BG196" s="81"/>
      <c r="BH196" s="81"/>
      <c r="BI196" s="81"/>
      <c r="BJ196">
        <v>1</v>
      </c>
      <c r="BK196" s="80" t="str">
        <f>REPLACE(INDEX(GroupVertices[Group], MATCH("~"&amp;Edges[[#This Row],[Vertex 1]],GroupVertices[Vertex],0)),1,1,"")</f>
        <v>10</v>
      </c>
      <c r="BL196" s="80" t="str">
        <f>REPLACE(INDEX(GroupVertices[Group], MATCH("~"&amp;Edges[[#This Row],[Vertex 2]],GroupVertices[Vertex],0)),1,1,"")</f>
        <v>10</v>
      </c>
      <c r="BM196" s="49">
        <v>0</v>
      </c>
      <c r="BN196" s="50">
        <v>0</v>
      </c>
      <c r="BO196" s="49">
        <v>0</v>
      </c>
      <c r="BP196" s="50">
        <v>0</v>
      </c>
      <c r="BQ196" s="49">
        <v>0</v>
      </c>
      <c r="BR196" s="50">
        <v>0</v>
      </c>
      <c r="BS196" s="49">
        <v>13</v>
      </c>
      <c r="BT196" s="50">
        <v>54.166666666666664</v>
      </c>
      <c r="BU196" s="49">
        <v>24</v>
      </c>
    </row>
    <row r="197" spans="1:73" x14ac:dyDescent="0.25">
      <c r="A197" s="65" t="s">
        <v>291</v>
      </c>
      <c r="B197" s="65" t="s">
        <v>312</v>
      </c>
      <c r="C197" s="66" t="s">
        <v>10073</v>
      </c>
      <c r="D197" s="67">
        <v>3</v>
      </c>
      <c r="E197" s="68" t="s">
        <v>132</v>
      </c>
      <c r="F197" s="69">
        <v>35</v>
      </c>
      <c r="G197" s="66"/>
      <c r="H197" s="70"/>
      <c r="I197" s="71"/>
      <c r="J197" s="71"/>
      <c r="K197" s="35" t="s">
        <v>65</v>
      </c>
      <c r="L197" s="79">
        <v>197</v>
      </c>
      <c r="M197" s="79"/>
      <c r="N197" s="73"/>
      <c r="O197" s="81" t="s">
        <v>366</v>
      </c>
      <c r="P197" s="83">
        <v>45232.011874999997</v>
      </c>
      <c r="Q197" s="81" t="s">
        <v>379</v>
      </c>
      <c r="R197" s="81">
        <v>5</v>
      </c>
      <c r="S197" s="81">
        <v>0</v>
      </c>
      <c r="T197" s="81">
        <v>0</v>
      </c>
      <c r="U197" s="81">
        <v>0</v>
      </c>
      <c r="V197" s="81"/>
      <c r="W197" s="81"/>
      <c r="X197" s="81"/>
      <c r="Y197" s="81"/>
      <c r="Z197" s="81" t="s">
        <v>523</v>
      </c>
      <c r="AA197" s="81"/>
      <c r="AB197" s="81"/>
      <c r="AC197" s="84" t="s">
        <v>580</v>
      </c>
      <c r="AD197" s="81" t="s">
        <v>588</v>
      </c>
      <c r="AE197" s="86" t="str">
        <f>HYPERLINK("https://twitter.com/enwillis/status/1719871217073799451")</f>
        <v>https://twitter.com/enwillis/status/1719871217073799451</v>
      </c>
      <c r="AF197" s="83">
        <v>45232.011874999997</v>
      </c>
      <c r="AG197" s="89">
        <v>45232</v>
      </c>
      <c r="AH197" s="84" t="s">
        <v>688</v>
      </c>
      <c r="AI197" s="81"/>
      <c r="AJ197" s="81"/>
      <c r="AK197" s="81"/>
      <c r="AL197" s="81"/>
      <c r="AM197" s="81"/>
      <c r="AN197" s="81"/>
      <c r="AO197" s="81"/>
      <c r="AP197" s="81"/>
      <c r="AQ197" s="81"/>
      <c r="AR197" s="81"/>
      <c r="AS197" s="81"/>
      <c r="AT197" s="81"/>
      <c r="AU197" s="81"/>
      <c r="AV197" s="86" t="str">
        <f>HYPERLINK("https://pbs.twimg.com/profile_images/689449033899704320/cLJDzNha_normal.jpg")</f>
        <v>https://pbs.twimg.com/profile_images/689449033899704320/cLJDzNha_normal.jpg</v>
      </c>
      <c r="AW197" s="84" t="s">
        <v>842</v>
      </c>
      <c r="AX197" s="84" t="s">
        <v>842</v>
      </c>
      <c r="AY197" s="81"/>
      <c r="AZ197" s="84" t="s">
        <v>879</v>
      </c>
      <c r="BA197" s="84" t="s">
        <v>879</v>
      </c>
      <c r="BB197" s="84" t="s">
        <v>757</v>
      </c>
      <c r="BC197" s="84" t="s">
        <v>757</v>
      </c>
      <c r="BD197" s="81">
        <v>21897949</v>
      </c>
      <c r="BE197" s="81"/>
      <c r="BF197" s="81"/>
      <c r="BG197" s="81"/>
      <c r="BH197" s="81"/>
      <c r="BI197" s="81"/>
      <c r="BJ197">
        <v>1</v>
      </c>
      <c r="BK197" s="80" t="str">
        <f>REPLACE(INDEX(GroupVertices[Group], MATCH("~"&amp;Edges[[#This Row],[Vertex 1]],GroupVertices[Vertex],0)),1,1,"")</f>
        <v>2</v>
      </c>
      <c r="BL197" s="80" t="str">
        <f>REPLACE(INDEX(GroupVertices[Group], MATCH("~"&amp;Edges[[#This Row],[Vertex 2]],GroupVertices[Vertex],0)),1,1,"")</f>
        <v>2</v>
      </c>
      <c r="BM197" s="49"/>
      <c r="BN197" s="50"/>
      <c r="BO197" s="49"/>
      <c r="BP197" s="50"/>
      <c r="BQ197" s="49"/>
      <c r="BR197" s="50"/>
      <c r="BS197" s="49"/>
      <c r="BT197" s="50"/>
      <c r="BU197" s="49"/>
    </row>
    <row r="198" spans="1:73" x14ac:dyDescent="0.25">
      <c r="A198" s="65" t="s">
        <v>291</v>
      </c>
      <c r="B198" s="65" t="s">
        <v>252</v>
      </c>
      <c r="C198" s="66" t="s">
        <v>10073</v>
      </c>
      <c r="D198" s="67">
        <v>3</v>
      </c>
      <c r="E198" s="68" t="s">
        <v>132</v>
      </c>
      <c r="F198" s="69">
        <v>35</v>
      </c>
      <c r="G198" s="66"/>
      <c r="H198" s="70"/>
      <c r="I198" s="71"/>
      <c r="J198" s="71"/>
      <c r="K198" s="35" t="s">
        <v>65</v>
      </c>
      <c r="L198" s="79">
        <v>198</v>
      </c>
      <c r="M198" s="79"/>
      <c r="N198" s="73"/>
      <c r="O198" s="81" t="s">
        <v>365</v>
      </c>
      <c r="P198" s="83">
        <v>45232.011874999997</v>
      </c>
      <c r="Q198" s="81" t="s">
        <v>379</v>
      </c>
      <c r="R198" s="81">
        <v>5</v>
      </c>
      <c r="S198" s="81">
        <v>0</v>
      </c>
      <c r="T198" s="81">
        <v>0</v>
      </c>
      <c r="U198" s="81">
        <v>0</v>
      </c>
      <c r="V198" s="81"/>
      <c r="W198" s="81"/>
      <c r="X198" s="81"/>
      <c r="Y198" s="81"/>
      <c r="Z198" s="81" t="s">
        <v>523</v>
      </c>
      <c r="AA198" s="81"/>
      <c r="AB198" s="81"/>
      <c r="AC198" s="84" t="s">
        <v>580</v>
      </c>
      <c r="AD198" s="81" t="s">
        <v>588</v>
      </c>
      <c r="AE198" s="86" t="str">
        <f>HYPERLINK("https://twitter.com/enwillis/status/1719871217073799451")</f>
        <v>https://twitter.com/enwillis/status/1719871217073799451</v>
      </c>
      <c r="AF198" s="83">
        <v>45232.011874999997</v>
      </c>
      <c r="AG198" s="89">
        <v>45232</v>
      </c>
      <c r="AH198" s="84" t="s">
        <v>688</v>
      </c>
      <c r="AI198" s="81"/>
      <c r="AJ198" s="81"/>
      <c r="AK198" s="81"/>
      <c r="AL198" s="81"/>
      <c r="AM198" s="81"/>
      <c r="AN198" s="81"/>
      <c r="AO198" s="81"/>
      <c r="AP198" s="81"/>
      <c r="AQ198" s="81"/>
      <c r="AR198" s="81"/>
      <c r="AS198" s="81"/>
      <c r="AT198" s="81"/>
      <c r="AU198" s="81"/>
      <c r="AV198" s="86" t="str">
        <f>HYPERLINK("https://pbs.twimg.com/profile_images/689449033899704320/cLJDzNha_normal.jpg")</f>
        <v>https://pbs.twimg.com/profile_images/689449033899704320/cLJDzNha_normal.jpg</v>
      </c>
      <c r="AW198" s="84" t="s">
        <v>842</v>
      </c>
      <c r="AX198" s="84" t="s">
        <v>842</v>
      </c>
      <c r="AY198" s="81"/>
      <c r="AZ198" s="84" t="s">
        <v>879</v>
      </c>
      <c r="BA198" s="84" t="s">
        <v>879</v>
      </c>
      <c r="BB198" s="84" t="s">
        <v>757</v>
      </c>
      <c r="BC198" s="84" t="s">
        <v>757</v>
      </c>
      <c r="BD198" s="81">
        <v>21897949</v>
      </c>
      <c r="BE198" s="81"/>
      <c r="BF198" s="81"/>
      <c r="BG198" s="81"/>
      <c r="BH198" s="81"/>
      <c r="BI198" s="81"/>
      <c r="BJ198">
        <v>1</v>
      </c>
      <c r="BK198" s="80" t="str">
        <f>REPLACE(INDEX(GroupVertices[Group], MATCH("~"&amp;Edges[[#This Row],[Vertex 1]],GroupVertices[Vertex],0)),1,1,"")</f>
        <v>2</v>
      </c>
      <c r="BL198" s="80" t="str">
        <f>REPLACE(INDEX(GroupVertices[Group], MATCH("~"&amp;Edges[[#This Row],[Vertex 2]],GroupVertices[Vertex],0)),1,1,"")</f>
        <v>2</v>
      </c>
      <c r="BM198" s="49">
        <v>0</v>
      </c>
      <c r="BN198" s="50">
        <v>0</v>
      </c>
      <c r="BO198" s="49">
        <v>0</v>
      </c>
      <c r="BP198" s="50">
        <v>0</v>
      </c>
      <c r="BQ198" s="49">
        <v>0</v>
      </c>
      <c r="BR198" s="50">
        <v>0</v>
      </c>
      <c r="BS198" s="49">
        <v>10</v>
      </c>
      <c r="BT198" s="50">
        <v>58.823529411764703</v>
      </c>
      <c r="BU198" s="49">
        <v>17</v>
      </c>
    </row>
    <row r="199" spans="1:73" x14ac:dyDescent="0.25">
      <c r="A199" s="65" t="s">
        <v>292</v>
      </c>
      <c r="B199" s="65" t="s">
        <v>292</v>
      </c>
      <c r="C199" s="66" t="s">
        <v>10073</v>
      </c>
      <c r="D199" s="67">
        <v>3</v>
      </c>
      <c r="E199" s="68" t="s">
        <v>132</v>
      </c>
      <c r="F199" s="69">
        <v>35</v>
      </c>
      <c r="G199" s="66"/>
      <c r="H199" s="70"/>
      <c r="I199" s="71"/>
      <c r="J199" s="71"/>
      <c r="K199" s="35" t="s">
        <v>65</v>
      </c>
      <c r="L199" s="79">
        <v>199</v>
      </c>
      <c r="M199" s="79"/>
      <c r="N199" s="73"/>
      <c r="O199" s="81" t="s">
        <v>196</v>
      </c>
      <c r="P199" s="83">
        <v>45228.741678240738</v>
      </c>
      <c r="Q199" s="81" t="s">
        <v>447</v>
      </c>
      <c r="R199" s="81">
        <v>6</v>
      </c>
      <c r="S199" s="81">
        <v>25</v>
      </c>
      <c r="T199" s="81">
        <v>0</v>
      </c>
      <c r="U199" s="81">
        <v>0</v>
      </c>
      <c r="V199" s="81">
        <v>2088</v>
      </c>
      <c r="W199" s="81"/>
      <c r="X199" s="86" t="str">
        <f>HYPERLINK("https://buff.ly/3Q29Dxl")</f>
        <v>https://buff.ly/3Q29Dxl</v>
      </c>
      <c r="Y199" s="81" t="s">
        <v>507</v>
      </c>
      <c r="Z199" s="81"/>
      <c r="AA199" s="81" t="s">
        <v>571</v>
      </c>
      <c r="AB199" s="81" t="s">
        <v>575</v>
      </c>
      <c r="AC199" s="84" t="s">
        <v>581</v>
      </c>
      <c r="AD199" s="81" t="s">
        <v>588</v>
      </c>
      <c r="AE199" s="86" t="str">
        <f>HYPERLINK("https://twitter.com/columbiaup/status/1718686137701585028")</f>
        <v>https://twitter.com/columbiaup/status/1718686137701585028</v>
      </c>
      <c r="AF199" s="83">
        <v>45228.741678240738</v>
      </c>
      <c r="AG199" s="89">
        <v>45228</v>
      </c>
      <c r="AH199" s="84" t="s">
        <v>689</v>
      </c>
      <c r="AI199" s="81" t="b">
        <v>0</v>
      </c>
      <c r="AJ199" s="81"/>
      <c r="AK199" s="81"/>
      <c r="AL199" s="81"/>
      <c r="AM199" s="81"/>
      <c r="AN199" s="81"/>
      <c r="AO199" s="81"/>
      <c r="AP199" s="81"/>
      <c r="AQ199" s="81" t="s">
        <v>740</v>
      </c>
      <c r="AR199" s="81"/>
      <c r="AS199" s="81"/>
      <c r="AT199" s="81"/>
      <c r="AU199" s="81"/>
      <c r="AV199" s="86" t="str">
        <f>HYPERLINK("https://pbs.twimg.com/media/F9n_7x2W8AAFr58.jpg")</f>
        <v>https://pbs.twimg.com/media/F9n_7x2W8AAFr58.jpg</v>
      </c>
      <c r="AW199" s="84" t="s">
        <v>843</v>
      </c>
      <c r="AX199" s="84" t="s">
        <v>843</v>
      </c>
      <c r="AY199" s="81"/>
      <c r="AZ199" s="84" t="s">
        <v>879</v>
      </c>
      <c r="BA199" s="84" t="s">
        <v>879</v>
      </c>
      <c r="BB199" s="84" t="s">
        <v>879</v>
      </c>
      <c r="BC199" s="84" t="s">
        <v>843</v>
      </c>
      <c r="BD199" s="81">
        <v>19692478</v>
      </c>
      <c r="BE199" s="81"/>
      <c r="BF199" s="81"/>
      <c r="BG199" s="81"/>
      <c r="BH199" s="81"/>
      <c r="BI199" s="81"/>
      <c r="BJ199">
        <v>1</v>
      </c>
      <c r="BK199" s="80" t="str">
        <f>REPLACE(INDEX(GroupVertices[Group], MATCH("~"&amp;Edges[[#This Row],[Vertex 1]],GroupVertices[Vertex],0)),1,1,"")</f>
        <v>15</v>
      </c>
      <c r="BL199" s="80" t="str">
        <f>REPLACE(INDEX(GroupVertices[Group], MATCH("~"&amp;Edges[[#This Row],[Vertex 2]],GroupVertices[Vertex],0)),1,1,"")</f>
        <v>15</v>
      </c>
      <c r="BM199" s="49">
        <v>2</v>
      </c>
      <c r="BN199" s="50">
        <v>8.3333333333333339</v>
      </c>
      <c r="BO199" s="49">
        <v>0</v>
      </c>
      <c r="BP199" s="50">
        <v>0</v>
      </c>
      <c r="BQ199" s="49">
        <v>0</v>
      </c>
      <c r="BR199" s="50">
        <v>0</v>
      </c>
      <c r="BS199" s="49">
        <v>12</v>
      </c>
      <c r="BT199" s="50">
        <v>50</v>
      </c>
      <c r="BU199" s="49">
        <v>24</v>
      </c>
    </row>
    <row r="200" spans="1:73" x14ac:dyDescent="0.25">
      <c r="A200" s="65" t="s">
        <v>293</v>
      </c>
      <c r="B200" s="65" t="s">
        <v>347</v>
      </c>
      <c r="C200" s="66" t="s">
        <v>10073</v>
      </c>
      <c r="D200" s="67">
        <v>3</v>
      </c>
      <c r="E200" s="68" t="s">
        <v>132</v>
      </c>
      <c r="F200" s="69">
        <v>35</v>
      </c>
      <c r="G200" s="66"/>
      <c r="H200" s="70"/>
      <c r="I200" s="71"/>
      <c r="J200" s="71"/>
      <c r="K200" s="35" t="s">
        <v>65</v>
      </c>
      <c r="L200" s="79">
        <v>200</v>
      </c>
      <c r="M200" s="79"/>
      <c r="N200" s="73"/>
      <c r="O200" s="81" t="s">
        <v>367</v>
      </c>
      <c r="P200" s="83">
        <v>45230.601157407407</v>
      </c>
      <c r="Q200" s="81" t="s">
        <v>448</v>
      </c>
      <c r="R200" s="81">
        <v>1</v>
      </c>
      <c r="S200" s="81">
        <v>2</v>
      </c>
      <c r="T200" s="81">
        <v>0</v>
      </c>
      <c r="U200" s="81">
        <v>2</v>
      </c>
      <c r="V200" s="81">
        <v>1383</v>
      </c>
      <c r="W200" s="81"/>
      <c r="X200" s="86" t="str">
        <f>HYPERLINK("http://www.aejmc.com/home/wp-content/uploads/2023/10/NED-Video-Competition-Winners-2023.pdf")</f>
        <v>http://www.aejmc.com/home/wp-content/uploads/2023/10/NED-Video-Competition-Winners-2023.pdf</v>
      </c>
      <c r="Y200" s="81" t="s">
        <v>514</v>
      </c>
      <c r="Z200" s="81" t="s">
        <v>548</v>
      </c>
      <c r="AA200" s="81"/>
      <c r="AB200" s="81"/>
      <c r="AC200" s="84" t="s">
        <v>579</v>
      </c>
      <c r="AD200" s="81" t="s">
        <v>588</v>
      </c>
      <c r="AE200" s="86" t="str">
        <f>HYPERLINK("https://twitter.com/keontecoleman/status/1719359990362681403")</f>
        <v>https://twitter.com/keontecoleman/status/1719359990362681403</v>
      </c>
      <c r="AF200" s="83">
        <v>45230.601157407407</v>
      </c>
      <c r="AG200" s="89">
        <v>45230</v>
      </c>
      <c r="AH200" s="84" t="s">
        <v>690</v>
      </c>
      <c r="AI200" s="81" t="b">
        <v>0</v>
      </c>
      <c r="AJ200" s="81"/>
      <c r="AK200" s="81"/>
      <c r="AL200" s="81"/>
      <c r="AM200" s="81"/>
      <c r="AN200" s="81"/>
      <c r="AO200" s="81"/>
      <c r="AP200" s="81"/>
      <c r="AQ200" s="81"/>
      <c r="AR200" s="81"/>
      <c r="AS200" s="81"/>
      <c r="AT200" s="81"/>
      <c r="AU200" s="81"/>
      <c r="AV200" s="86" t="str">
        <f>HYPERLINK("https://pbs.twimg.com/profile_images/1554277220742463489/Y-mHzutC_normal.jpg")</f>
        <v>https://pbs.twimg.com/profile_images/1554277220742463489/Y-mHzutC_normal.jpg</v>
      </c>
      <c r="AW200" s="84" t="s">
        <v>844</v>
      </c>
      <c r="AX200" s="84" t="s">
        <v>844</v>
      </c>
      <c r="AY200" s="84" t="s">
        <v>877</v>
      </c>
      <c r="AZ200" s="84" t="s">
        <v>879</v>
      </c>
      <c r="BA200" s="84" t="s">
        <v>879</v>
      </c>
      <c r="BB200" s="84" t="s">
        <v>879</v>
      </c>
      <c r="BC200" s="84" t="s">
        <v>844</v>
      </c>
      <c r="BD200" s="81">
        <v>778037328</v>
      </c>
      <c r="BE200" s="81"/>
      <c r="BF200" s="81"/>
      <c r="BG200" s="81"/>
      <c r="BH200" s="81"/>
      <c r="BI200" s="81"/>
      <c r="BJ200">
        <v>1</v>
      </c>
      <c r="BK200" s="80" t="str">
        <f>REPLACE(INDEX(GroupVertices[Group], MATCH("~"&amp;Edges[[#This Row],[Vertex 1]],GroupVertices[Vertex],0)),1,1,"")</f>
        <v>1</v>
      </c>
      <c r="BL200" s="80" t="str">
        <f>REPLACE(INDEX(GroupVertices[Group], MATCH("~"&amp;Edges[[#This Row],[Vertex 2]],GroupVertices[Vertex],0)),1,1,"")</f>
        <v>1</v>
      </c>
      <c r="BM200" s="49"/>
      <c r="BN200" s="50"/>
      <c r="BO200" s="49"/>
      <c r="BP200" s="50"/>
      <c r="BQ200" s="49"/>
      <c r="BR200" s="50"/>
      <c r="BS200" s="49"/>
      <c r="BT200" s="50"/>
      <c r="BU200" s="49"/>
    </row>
    <row r="201" spans="1:73" x14ac:dyDescent="0.25">
      <c r="A201" s="65" t="s">
        <v>293</v>
      </c>
      <c r="B201" s="65" t="s">
        <v>348</v>
      </c>
      <c r="C201" s="66" t="s">
        <v>10073</v>
      </c>
      <c r="D201" s="67">
        <v>3</v>
      </c>
      <c r="E201" s="68" t="s">
        <v>132</v>
      </c>
      <c r="F201" s="69">
        <v>35</v>
      </c>
      <c r="G201" s="66"/>
      <c r="H201" s="70"/>
      <c r="I201" s="71"/>
      <c r="J201" s="71"/>
      <c r="K201" s="35" t="s">
        <v>65</v>
      </c>
      <c r="L201" s="79">
        <v>201</v>
      </c>
      <c r="M201" s="79"/>
      <c r="N201" s="73"/>
      <c r="O201" s="81" t="s">
        <v>367</v>
      </c>
      <c r="P201" s="83">
        <v>45230.601157407407</v>
      </c>
      <c r="Q201" s="81" t="s">
        <v>448</v>
      </c>
      <c r="R201" s="81">
        <v>1</v>
      </c>
      <c r="S201" s="81">
        <v>2</v>
      </c>
      <c r="T201" s="81">
        <v>0</v>
      </c>
      <c r="U201" s="81">
        <v>2</v>
      </c>
      <c r="V201" s="81">
        <v>1383</v>
      </c>
      <c r="W201" s="81"/>
      <c r="X201" s="86" t="str">
        <f>HYPERLINK("http://www.aejmc.com/home/wp-content/uploads/2023/10/NED-Video-Competition-Winners-2023.pdf")</f>
        <v>http://www.aejmc.com/home/wp-content/uploads/2023/10/NED-Video-Competition-Winners-2023.pdf</v>
      </c>
      <c r="Y201" s="81" t="s">
        <v>514</v>
      </c>
      <c r="Z201" s="81" t="s">
        <v>548</v>
      </c>
      <c r="AA201" s="81"/>
      <c r="AB201" s="81"/>
      <c r="AC201" s="84" t="s">
        <v>579</v>
      </c>
      <c r="AD201" s="81" t="s">
        <v>588</v>
      </c>
      <c r="AE201" s="86" t="str">
        <f>HYPERLINK("https://twitter.com/keontecoleman/status/1719359990362681403")</f>
        <v>https://twitter.com/keontecoleman/status/1719359990362681403</v>
      </c>
      <c r="AF201" s="83">
        <v>45230.601157407407</v>
      </c>
      <c r="AG201" s="89">
        <v>45230</v>
      </c>
      <c r="AH201" s="84" t="s">
        <v>690</v>
      </c>
      <c r="AI201" s="81" t="b">
        <v>0</v>
      </c>
      <c r="AJ201" s="81"/>
      <c r="AK201" s="81"/>
      <c r="AL201" s="81"/>
      <c r="AM201" s="81"/>
      <c r="AN201" s="81"/>
      <c r="AO201" s="81"/>
      <c r="AP201" s="81"/>
      <c r="AQ201" s="81"/>
      <c r="AR201" s="81"/>
      <c r="AS201" s="81"/>
      <c r="AT201" s="81"/>
      <c r="AU201" s="81"/>
      <c r="AV201" s="86" t="str">
        <f>HYPERLINK("https://pbs.twimg.com/profile_images/1554277220742463489/Y-mHzutC_normal.jpg")</f>
        <v>https://pbs.twimg.com/profile_images/1554277220742463489/Y-mHzutC_normal.jpg</v>
      </c>
      <c r="AW201" s="84" t="s">
        <v>844</v>
      </c>
      <c r="AX201" s="84" t="s">
        <v>844</v>
      </c>
      <c r="AY201" s="84" t="s">
        <v>877</v>
      </c>
      <c r="AZ201" s="84" t="s">
        <v>879</v>
      </c>
      <c r="BA201" s="84" t="s">
        <v>879</v>
      </c>
      <c r="BB201" s="84" t="s">
        <v>879</v>
      </c>
      <c r="BC201" s="84" t="s">
        <v>844</v>
      </c>
      <c r="BD201" s="81">
        <v>778037328</v>
      </c>
      <c r="BE201" s="81"/>
      <c r="BF201" s="81"/>
      <c r="BG201" s="81"/>
      <c r="BH201" s="81"/>
      <c r="BI201" s="81"/>
      <c r="BJ201">
        <v>1</v>
      </c>
      <c r="BK201" s="80" t="str">
        <f>REPLACE(INDEX(GroupVertices[Group], MATCH("~"&amp;Edges[[#This Row],[Vertex 1]],GroupVertices[Vertex],0)),1,1,"")</f>
        <v>1</v>
      </c>
      <c r="BL201" s="80" t="str">
        <f>REPLACE(INDEX(GroupVertices[Group], MATCH("~"&amp;Edges[[#This Row],[Vertex 2]],GroupVertices[Vertex],0)),1,1,"")</f>
        <v>1</v>
      </c>
      <c r="BM201" s="49"/>
      <c r="BN201" s="50"/>
      <c r="BO201" s="49"/>
      <c r="BP201" s="50"/>
      <c r="BQ201" s="49"/>
      <c r="BR201" s="50"/>
      <c r="BS201" s="49"/>
      <c r="BT201" s="50"/>
      <c r="BU201" s="49"/>
    </row>
    <row r="202" spans="1:73" x14ac:dyDescent="0.25">
      <c r="A202" s="65" t="s">
        <v>293</v>
      </c>
      <c r="B202" s="65" t="s">
        <v>349</v>
      </c>
      <c r="C202" s="66" t="s">
        <v>10073</v>
      </c>
      <c r="D202" s="67">
        <v>3</v>
      </c>
      <c r="E202" s="68" t="s">
        <v>132</v>
      </c>
      <c r="F202" s="69">
        <v>35</v>
      </c>
      <c r="G202" s="66"/>
      <c r="H202" s="70"/>
      <c r="I202" s="71"/>
      <c r="J202" s="71"/>
      <c r="K202" s="35" t="s">
        <v>65</v>
      </c>
      <c r="L202" s="79">
        <v>202</v>
      </c>
      <c r="M202" s="79"/>
      <c r="N202" s="73"/>
      <c r="O202" s="81" t="s">
        <v>367</v>
      </c>
      <c r="P202" s="83">
        <v>45230.601157407407</v>
      </c>
      <c r="Q202" s="81" t="s">
        <v>448</v>
      </c>
      <c r="R202" s="81">
        <v>1</v>
      </c>
      <c r="S202" s="81">
        <v>2</v>
      </c>
      <c r="T202" s="81">
        <v>0</v>
      </c>
      <c r="U202" s="81">
        <v>2</v>
      </c>
      <c r="V202" s="81">
        <v>1383</v>
      </c>
      <c r="W202" s="81"/>
      <c r="X202" s="86" t="str">
        <f>HYPERLINK("http://www.aejmc.com/home/wp-content/uploads/2023/10/NED-Video-Competition-Winners-2023.pdf")</f>
        <v>http://www.aejmc.com/home/wp-content/uploads/2023/10/NED-Video-Competition-Winners-2023.pdf</v>
      </c>
      <c r="Y202" s="81" t="s">
        <v>514</v>
      </c>
      <c r="Z202" s="81" t="s">
        <v>548</v>
      </c>
      <c r="AA202" s="81"/>
      <c r="AB202" s="81"/>
      <c r="AC202" s="84" t="s">
        <v>579</v>
      </c>
      <c r="AD202" s="81" t="s">
        <v>588</v>
      </c>
      <c r="AE202" s="86" t="str">
        <f>HYPERLINK("https://twitter.com/keontecoleman/status/1719359990362681403")</f>
        <v>https://twitter.com/keontecoleman/status/1719359990362681403</v>
      </c>
      <c r="AF202" s="83">
        <v>45230.601157407407</v>
      </c>
      <c r="AG202" s="89">
        <v>45230</v>
      </c>
      <c r="AH202" s="84" t="s">
        <v>690</v>
      </c>
      <c r="AI202" s="81" t="b">
        <v>0</v>
      </c>
      <c r="AJ202" s="81"/>
      <c r="AK202" s="81"/>
      <c r="AL202" s="81"/>
      <c r="AM202" s="81"/>
      <c r="AN202" s="81"/>
      <c r="AO202" s="81"/>
      <c r="AP202" s="81"/>
      <c r="AQ202" s="81"/>
      <c r="AR202" s="81"/>
      <c r="AS202" s="81"/>
      <c r="AT202" s="81"/>
      <c r="AU202" s="81"/>
      <c r="AV202" s="86" t="str">
        <f>HYPERLINK("https://pbs.twimg.com/profile_images/1554277220742463489/Y-mHzutC_normal.jpg")</f>
        <v>https://pbs.twimg.com/profile_images/1554277220742463489/Y-mHzutC_normal.jpg</v>
      </c>
      <c r="AW202" s="84" t="s">
        <v>844</v>
      </c>
      <c r="AX202" s="84" t="s">
        <v>844</v>
      </c>
      <c r="AY202" s="84" t="s">
        <v>877</v>
      </c>
      <c r="AZ202" s="84" t="s">
        <v>879</v>
      </c>
      <c r="BA202" s="84" t="s">
        <v>879</v>
      </c>
      <c r="BB202" s="84" t="s">
        <v>879</v>
      </c>
      <c r="BC202" s="84" t="s">
        <v>844</v>
      </c>
      <c r="BD202" s="81">
        <v>778037328</v>
      </c>
      <c r="BE202" s="81"/>
      <c r="BF202" s="81"/>
      <c r="BG202" s="81"/>
      <c r="BH202" s="81"/>
      <c r="BI202" s="81"/>
      <c r="BJ202">
        <v>1</v>
      </c>
      <c r="BK202" s="80" t="str">
        <f>REPLACE(INDEX(GroupVertices[Group], MATCH("~"&amp;Edges[[#This Row],[Vertex 1]],GroupVertices[Vertex],0)),1,1,"")</f>
        <v>1</v>
      </c>
      <c r="BL202" s="80" t="str">
        <f>REPLACE(INDEX(GroupVertices[Group], MATCH("~"&amp;Edges[[#This Row],[Vertex 2]],GroupVertices[Vertex],0)),1,1,"")</f>
        <v>1</v>
      </c>
      <c r="BM202" s="49"/>
      <c r="BN202" s="50"/>
      <c r="BO202" s="49"/>
      <c r="BP202" s="50"/>
      <c r="BQ202" s="49"/>
      <c r="BR202" s="50"/>
      <c r="BS202" s="49"/>
      <c r="BT202" s="50"/>
      <c r="BU202" s="49"/>
    </row>
    <row r="203" spans="1:73" x14ac:dyDescent="0.25">
      <c r="A203" s="65" t="s">
        <v>249</v>
      </c>
      <c r="B203" s="65" t="s">
        <v>249</v>
      </c>
      <c r="C203" s="66" t="s">
        <v>10075</v>
      </c>
      <c r="D203" s="67">
        <v>10</v>
      </c>
      <c r="E203" s="68" t="s">
        <v>132</v>
      </c>
      <c r="F203" s="69">
        <v>12</v>
      </c>
      <c r="G203" s="66"/>
      <c r="H203" s="70"/>
      <c r="I203" s="71"/>
      <c r="J203" s="71"/>
      <c r="K203" s="35" t="s">
        <v>65</v>
      </c>
      <c r="L203" s="79">
        <v>203</v>
      </c>
      <c r="M203" s="79"/>
      <c r="N203" s="73"/>
      <c r="O203" s="81" t="s">
        <v>367</v>
      </c>
      <c r="P203" s="83">
        <v>45233.717175925929</v>
      </c>
      <c r="Q203" s="81" t="s">
        <v>407</v>
      </c>
      <c r="R203" s="81">
        <v>1</v>
      </c>
      <c r="S203" s="81">
        <v>32</v>
      </c>
      <c r="T203" s="81">
        <v>4</v>
      </c>
      <c r="U203" s="81">
        <v>4</v>
      </c>
      <c r="V203" s="81">
        <v>3086</v>
      </c>
      <c r="W203" s="81"/>
      <c r="X203" s="81"/>
      <c r="Y203" s="81"/>
      <c r="Z203" s="81" t="s">
        <v>536</v>
      </c>
      <c r="AA203" s="81" t="s">
        <v>564</v>
      </c>
      <c r="AB203" s="81" t="s">
        <v>575</v>
      </c>
      <c r="AC203" s="84" t="s">
        <v>582</v>
      </c>
      <c r="AD203" s="81" t="s">
        <v>588</v>
      </c>
      <c r="AE203" s="86" t="str">
        <f>HYPERLINK("https://twitter.com/jmcquarterly/status/1720489199554486686")</f>
        <v>https://twitter.com/jmcquarterly/status/1720489199554486686</v>
      </c>
      <c r="AF203" s="83">
        <v>45233.717175925929</v>
      </c>
      <c r="AG203" s="89">
        <v>45233</v>
      </c>
      <c r="AH203" s="84" t="s">
        <v>632</v>
      </c>
      <c r="AI203" s="81" t="b">
        <v>0</v>
      </c>
      <c r="AJ203" s="81"/>
      <c r="AK203" s="81"/>
      <c r="AL203" s="81"/>
      <c r="AM203" s="81"/>
      <c r="AN203" s="81"/>
      <c r="AO203" s="81"/>
      <c r="AP203" s="81"/>
      <c r="AQ203" s="81" t="s">
        <v>733</v>
      </c>
      <c r="AR203" s="81"/>
      <c r="AS203" s="81"/>
      <c r="AT203" s="81"/>
      <c r="AU203" s="81"/>
      <c r="AV203" s="86" t="str">
        <f>HYPERLINK("https://pbs.twimg.com/media/F-BnCAIXwAA6-2j.jpg")</f>
        <v>https://pbs.twimg.com/media/F-BnCAIXwAA6-2j.jpg</v>
      </c>
      <c r="AW203" s="84" t="s">
        <v>786</v>
      </c>
      <c r="AX203" s="84" t="s">
        <v>786</v>
      </c>
      <c r="AY203" s="81"/>
      <c r="AZ203" s="84" t="s">
        <v>879</v>
      </c>
      <c r="BA203" s="84" t="s">
        <v>879</v>
      </c>
      <c r="BB203" s="84" t="s">
        <v>879</v>
      </c>
      <c r="BC203" s="84" t="s">
        <v>786</v>
      </c>
      <c r="BD203" s="84" t="s">
        <v>876</v>
      </c>
      <c r="BE203" s="81"/>
      <c r="BF203" s="81"/>
      <c r="BG203" s="81"/>
      <c r="BH203" s="81"/>
      <c r="BI203" s="81"/>
      <c r="BJ203">
        <v>5</v>
      </c>
      <c r="BK203" s="80" t="str">
        <f>REPLACE(INDEX(GroupVertices[Group], MATCH("~"&amp;Edges[[#This Row],[Vertex 1]],GroupVertices[Vertex],0)),1,1,"")</f>
        <v>3</v>
      </c>
      <c r="BL203" s="80" t="str">
        <f>REPLACE(INDEX(GroupVertices[Group], MATCH("~"&amp;Edges[[#This Row],[Vertex 2]],GroupVertices[Vertex],0)),1,1,"")</f>
        <v>3</v>
      </c>
      <c r="BM203" s="49"/>
      <c r="BN203" s="50"/>
      <c r="BO203" s="49"/>
      <c r="BP203" s="50"/>
      <c r="BQ203" s="49"/>
      <c r="BR203" s="50"/>
      <c r="BS203" s="49"/>
      <c r="BT203" s="50"/>
      <c r="BU203" s="49"/>
    </row>
    <row r="204" spans="1:73" x14ac:dyDescent="0.25">
      <c r="A204" s="65" t="s">
        <v>249</v>
      </c>
      <c r="B204" s="65" t="s">
        <v>268</v>
      </c>
      <c r="C204" s="66" t="s">
        <v>10075</v>
      </c>
      <c r="D204" s="67">
        <v>10</v>
      </c>
      <c r="E204" s="68" t="s">
        <v>132</v>
      </c>
      <c r="F204" s="69">
        <v>12</v>
      </c>
      <c r="G204" s="66"/>
      <c r="H204" s="70"/>
      <c r="I204" s="71"/>
      <c r="J204" s="71"/>
      <c r="K204" s="35" t="s">
        <v>66</v>
      </c>
      <c r="L204" s="79">
        <v>204</v>
      </c>
      <c r="M204" s="79"/>
      <c r="N204" s="73"/>
      <c r="O204" s="81" t="s">
        <v>367</v>
      </c>
      <c r="P204" s="83">
        <v>45229.60434027778</v>
      </c>
      <c r="Q204" s="81" t="s">
        <v>419</v>
      </c>
      <c r="R204" s="81">
        <v>2</v>
      </c>
      <c r="S204" s="81">
        <v>11</v>
      </c>
      <c r="T204" s="81">
        <v>0</v>
      </c>
      <c r="U204" s="81">
        <v>1</v>
      </c>
      <c r="V204" s="81">
        <v>1515</v>
      </c>
      <c r="W204" s="84" t="s">
        <v>485</v>
      </c>
      <c r="X204" s="86" t="str">
        <f>HYPERLINK("https://journals.sagepub.com/doi/abs/10.1177/10776990211049451")</f>
        <v>https://journals.sagepub.com/doi/abs/10.1177/10776990211049451</v>
      </c>
      <c r="Y204" s="81" t="s">
        <v>506</v>
      </c>
      <c r="Z204" s="81" t="s">
        <v>538</v>
      </c>
      <c r="AA204" s="81"/>
      <c r="AB204" s="81"/>
      <c r="AC204" s="84" t="s">
        <v>579</v>
      </c>
      <c r="AD204" s="81" t="s">
        <v>588</v>
      </c>
      <c r="AE204" s="86" t="str">
        <f>HYPERLINK("https://twitter.com/jmcquarterly/status/1718998754668200345")</f>
        <v>https://twitter.com/jmcquarterly/status/1718998754668200345</v>
      </c>
      <c r="AF204" s="83">
        <v>45229.60434027778</v>
      </c>
      <c r="AG204" s="89">
        <v>45229</v>
      </c>
      <c r="AH204" s="84" t="s">
        <v>646</v>
      </c>
      <c r="AI204" s="81" t="b">
        <v>0</v>
      </c>
      <c r="AJ204" s="81"/>
      <c r="AK204" s="81"/>
      <c r="AL204" s="81"/>
      <c r="AM204" s="81"/>
      <c r="AN204" s="81"/>
      <c r="AO204" s="81"/>
      <c r="AP204" s="81"/>
      <c r="AQ204" s="81"/>
      <c r="AR204" s="81"/>
      <c r="AS204" s="81"/>
      <c r="AT204" s="81"/>
      <c r="AU204" s="81"/>
      <c r="AV204" s="86" t="str">
        <f>HYPERLINK("https://pbs.twimg.com/profile_images/1297970849820147712/3xME2yZ6_normal.jpg")</f>
        <v>https://pbs.twimg.com/profile_images/1297970849820147712/3xME2yZ6_normal.jpg</v>
      </c>
      <c r="AW204" s="84" t="s">
        <v>800</v>
      </c>
      <c r="AX204" s="84" t="s">
        <v>800</v>
      </c>
      <c r="AY204" s="81"/>
      <c r="AZ204" s="84" t="s">
        <v>879</v>
      </c>
      <c r="BA204" s="84" t="s">
        <v>879</v>
      </c>
      <c r="BB204" s="84" t="s">
        <v>879</v>
      </c>
      <c r="BC204" s="84" t="s">
        <v>800</v>
      </c>
      <c r="BD204" s="84" t="s">
        <v>876</v>
      </c>
      <c r="BE204" s="81"/>
      <c r="BF204" s="81"/>
      <c r="BG204" s="81"/>
      <c r="BH204" s="81"/>
      <c r="BI204" s="81"/>
      <c r="BJ204">
        <v>4</v>
      </c>
      <c r="BK204" s="80" t="str">
        <f>REPLACE(INDEX(GroupVertices[Group], MATCH("~"&amp;Edges[[#This Row],[Vertex 1]],GroupVertices[Vertex],0)),1,1,"")</f>
        <v>3</v>
      </c>
      <c r="BL204" s="80" t="str">
        <f>REPLACE(INDEX(GroupVertices[Group], MATCH("~"&amp;Edges[[#This Row],[Vertex 2]],GroupVertices[Vertex],0)),1,1,"")</f>
        <v>1</v>
      </c>
      <c r="BM204" s="49"/>
      <c r="BN204" s="50"/>
      <c r="BO204" s="49"/>
      <c r="BP204" s="50"/>
      <c r="BQ204" s="49"/>
      <c r="BR204" s="50"/>
      <c r="BS204" s="49"/>
      <c r="BT204" s="50"/>
      <c r="BU204" s="49"/>
    </row>
    <row r="205" spans="1:73" x14ac:dyDescent="0.25">
      <c r="A205" s="65" t="s">
        <v>249</v>
      </c>
      <c r="B205" s="65" t="s">
        <v>249</v>
      </c>
      <c r="C205" s="66" t="s">
        <v>10075</v>
      </c>
      <c r="D205" s="67">
        <v>10</v>
      </c>
      <c r="E205" s="68" t="s">
        <v>132</v>
      </c>
      <c r="F205" s="69">
        <v>12</v>
      </c>
      <c r="G205" s="66"/>
      <c r="H205" s="70"/>
      <c r="I205" s="71"/>
      <c r="J205" s="71"/>
      <c r="K205" s="35" t="s">
        <v>65</v>
      </c>
      <c r="L205" s="79">
        <v>205</v>
      </c>
      <c r="M205" s="79"/>
      <c r="N205" s="73"/>
      <c r="O205" s="81" t="s">
        <v>367</v>
      </c>
      <c r="P205" s="83">
        <v>45229.60434027778</v>
      </c>
      <c r="Q205" s="81" t="s">
        <v>419</v>
      </c>
      <c r="R205" s="81">
        <v>2</v>
      </c>
      <c r="S205" s="81">
        <v>11</v>
      </c>
      <c r="T205" s="81">
        <v>0</v>
      </c>
      <c r="U205" s="81">
        <v>1</v>
      </c>
      <c r="V205" s="81">
        <v>1515</v>
      </c>
      <c r="W205" s="84" t="s">
        <v>485</v>
      </c>
      <c r="X205" s="86" t="str">
        <f>HYPERLINK("https://journals.sagepub.com/doi/abs/10.1177/10776990211049451")</f>
        <v>https://journals.sagepub.com/doi/abs/10.1177/10776990211049451</v>
      </c>
      <c r="Y205" s="81" t="s">
        <v>506</v>
      </c>
      <c r="Z205" s="81" t="s">
        <v>538</v>
      </c>
      <c r="AA205" s="81"/>
      <c r="AB205" s="81"/>
      <c r="AC205" s="84" t="s">
        <v>579</v>
      </c>
      <c r="AD205" s="81" t="s">
        <v>588</v>
      </c>
      <c r="AE205" s="86" t="str">
        <f>HYPERLINK("https://twitter.com/jmcquarterly/status/1718998754668200345")</f>
        <v>https://twitter.com/jmcquarterly/status/1718998754668200345</v>
      </c>
      <c r="AF205" s="83">
        <v>45229.60434027778</v>
      </c>
      <c r="AG205" s="89">
        <v>45229</v>
      </c>
      <c r="AH205" s="84" t="s">
        <v>646</v>
      </c>
      <c r="AI205" s="81" t="b">
        <v>0</v>
      </c>
      <c r="AJ205" s="81"/>
      <c r="AK205" s="81"/>
      <c r="AL205" s="81"/>
      <c r="AM205" s="81"/>
      <c r="AN205" s="81"/>
      <c r="AO205" s="81"/>
      <c r="AP205" s="81"/>
      <c r="AQ205" s="81"/>
      <c r="AR205" s="81"/>
      <c r="AS205" s="81"/>
      <c r="AT205" s="81"/>
      <c r="AU205" s="81"/>
      <c r="AV205" s="86" t="str">
        <f>HYPERLINK("https://pbs.twimg.com/profile_images/1297970849820147712/3xME2yZ6_normal.jpg")</f>
        <v>https://pbs.twimg.com/profile_images/1297970849820147712/3xME2yZ6_normal.jpg</v>
      </c>
      <c r="AW205" s="84" t="s">
        <v>800</v>
      </c>
      <c r="AX205" s="84" t="s">
        <v>800</v>
      </c>
      <c r="AY205" s="81"/>
      <c r="AZ205" s="84" t="s">
        <v>879</v>
      </c>
      <c r="BA205" s="84" t="s">
        <v>879</v>
      </c>
      <c r="BB205" s="84" t="s">
        <v>879</v>
      </c>
      <c r="BC205" s="84" t="s">
        <v>800</v>
      </c>
      <c r="BD205" s="84" t="s">
        <v>876</v>
      </c>
      <c r="BE205" s="81"/>
      <c r="BF205" s="81"/>
      <c r="BG205" s="81"/>
      <c r="BH205" s="81"/>
      <c r="BI205" s="81"/>
      <c r="BJ205">
        <v>5</v>
      </c>
      <c r="BK205" s="80" t="str">
        <f>REPLACE(INDEX(GroupVertices[Group], MATCH("~"&amp;Edges[[#This Row],[Vertex 1]],GroupVertices[Vertex],0)),1,1,"")</f>
        <v>3</v>
      </c>
      <c r="BL205" s="80" t="str">
        <f>REPLACE(INDEX(GroupVertices[Group], MATCH("~"&amp;Edges[[#This Row],[Vertex 2]],GroupVertices[Vertex],0)),1,1,"")</f>
        <v>3</v>
      </c>
      <c r="BM205" s="49"/>
      <c r="BN205" s="50"/>
      <c r="BO205" s="49"/>
      <c r="BP205" s="50"/>
      <c r="BQ205" s="49"/>
      <c r="BR205" s="50"/>
      <c r="BS205" s="49"/>
      <c r="BT205" s="50"/>
      <c r="BU205" s="49"/>
    </row>
    <row r="206" spans="1:73" x14ac:dyDescent="0.25">
      <c r="A206" s="65" t="s">
        <v>249</v>
      </c>
      <c r="B206" s="65" t="s">
        <v>249</v>
      </c>
      <c r="C206" s="66" t="s">
        <v>10075</v>
      </c>
      <c r="D206" s="67">
        <v>10</v>
      </c>
      <c r="E206" s="68" t="s">
        <v>132</v>
      </c>
      <c r="F206" s="69">
        <v>12</v>
      </c>
      <c r="G206" s="66"/>
      <c r="H206" s="70"/>
      <c r="I206" s="71"/>
      <c r="J206" s="71"/>
      <c r="K206" s="35" t="s">
        <v>65</v>
      </c>
      <c r="L206" s="79">
        <v>206</v>
      </c>
      <c r="M206" s="79"/>
      <c r="N206" s="73"/>
      <c r="O206" s="81" t="s">
        <v>367</v>
      </c>
      <c r="P206" s="83">
        <v>45214.020243055558</v>
      </c>
      <c r="Q206" s="81" t="s">
        <v>381</v>
      </c>
      <c r="R206" s="81">
        <v>1</v>
      </c>
      <c r="S206" s="81">
        <v>10</v>
      </c>
      <c r="T206" s="81">
        <v>0</v>
      </c>
      <c r="U206" s="81">
        <v>1</v>
      </c>
      <c r="V206" s="81">
        <v>848</v>
      </c>
      <c r="W206" s="81"/>
      <c r="X206" s="81"/>
      <c r="Y206" s="81"/>
      <c r="Z206" s="81" t="s">
        <v>525</v>
      </c>
      <c r="AA206" s="81"/>
      <c r="AB206" s="81"/>
      <c r="AC206" s="84" t="s">
        <v>579</v>
      </c>
      <c r="AD206" s="81" t="s">
        <v>588</v>
      </c>
      <c r="AE206" s="86" t="str">
        <f>HYPERLINK("https://twitter.com/jmcquarterly/status/1713351267106336845")</f>
        <v>https://twitter.com/jmcquarterly/status/1713351267106336845</v>
      </c>
      <c r="AF206" s="83">
        <v>45214.020243055558</v>
      </c>
      <c r="AG206" s="89">
        <v>45214</v>
      </c>
      <c r="AH206" s="84" t="s">
        <v>599</v>
      </c>
      <c r="AI206" s="81"/>
      <c r="AJ206" s="81"/>
      <c r="AK206" s="81"/>
      <c r="AL206" s="81"/>
      <c r="AM206" s="81"/>
      <c r="AN206" s="81"/>
      <c r="AO206" s="81"/>
      <c r="AP206" s="81"/>
      <c r="AQ206" s="81"/>
      <c r="AR206" s="81"/>
      <c r="AS206" s="81"/>
      <c r="AT206" s="81"/>
      <c r="AU206" s="81"/>
      <c r="AV206" s="86" t="str">
        <f>HYPERLINK("https://pbs.twimg.com/profile_images/1297970849820147712/3xME2yZ6_normal.jpg")</f>
        <v>https://pbs.twimg.com/profile_images/1297970849820147712/3xME2yZ6_normal.jpg</v>
      </c>
      <c r="AW206" s="84" t="s">
        <v>753</v>
      </c>
      <c r="AX206" s="84" t="s">
        <v>753</v>
      </c>
      <c r="AY206" s="81"/>
      <c r="AZ206" s="84" t="s">
        <v>879</v>
      </c>
      <c r="BA206" s="84" t="s">
        <v>879</v>
      </c>
      <c r="BB206" s="84" t="s">
        <v>879</v>
      </c>
      <c r="BC206" s="84" t="s">
        <v>753</v>
      </c>
      <c r="BD206" s="84" t="s">
        <v>876</v>
      </c>
      <c r="BE206" s="81"/>
      <c r="BF206" s="81"/>
      <c r="BG206" s="81"/>
      <c r="BH206" s="81"/>
      <c r="BI206" s="81"/>
      <c r="BJ206">
        <v>5</v>
      </c>
      <c r="BK206" s="80" t="str">
        <f>REPLACE(INDEX(GroupVertices[Group], MATCH("~"&amp;Edges[[#This Row],[Vertex 1]],GroupVertices[Vertex],0)),1,1,"")</f>
        <v>3</v>
      </c>
      <c r="BL206" s="80" t="str">
        <f>REPLACE(INDEX(GroupVertices[Group], MATCH("~"&amp;Edges[[#This Row],[Vertex 2]],GroupVertices[Vertex],0)),1,1,"")</f>
        <v>3</v>
      </c>
      <c r="BM206" s="49"/>
      <c r="BN206" s="50"/>
      <c r="BO206" s="49"/>
      <c r="BP206" s="50"/>
      <c r="BQ206" s="49"/>
      <c r="BR206" s="50"/>
      <c r="BS206" s="49"/>
      <c r="BT206" s="50"/>
      <c r="BU206" s="49"/>
    </row>
    <row r="207" spans="1:73" x14ac:dyDescent="0.25">
      <c r="A207" s="65" t="s">
        <v>249</v>
      </c>
      <c r="B207" s="65" t="s">
        <v>294</v>
      </c>
      <c r="C207" s="66" t="s">
        <v>10073</v>
      </c>
      <c r="D207" s="67">
        <v>3</v>
      </c>
      <c r="E207" s="68" t="s">
        <v>132</v>
      </c>
      <c r="F207" s="69">
        <v>35</v>
      </c>
      <c r="G207" s="66"/>
      <c r="H207" s="70"/>
      <c r="I207" s="71"/>
      <c r="J207" s="71"/>
      <c r="K207" s="35" t="s">
        <v>66</v>
      </c>
      <c r="L207" s="79">
        <v>207</v>
      </c>
      <c r="M207" s="79"/>
      <c r="N207" s="73"/>
      <c r="O207" s="81" t="s">
        <v>367</v>
      </c>
      <c r="P207" s="83">
        <v>45233.33766203704</v>
      </c>
      <c r="Q207" s="81" t="s">
        <v>382</v>
      </c>
      <c r="R207" s="81">
        <v>4</v>
      </c>
      <c r="S207" s="81">
        <v>15</v>
      </c>
      <c r="T207" s="81">
        <v>0</v>
      </c>
      <c r="U207" s="81">
        <v>1</v>
      </c>
      <c r="V207" s="81">
        <v>2001</v>
      </c>
      <c r="W207" s="84" t="s">
        <v>473</v>
      </c>
      <c r="X207" s="81"/>
      <c r="Y207" s="81"/>
      <c r="Z207" s="81" t="s">
        <v>526</v>
      </c>
      <c r="AA207" s="81"/>
      <c r="AB207" s="81"/>
      <c r="AC207" s="84" t="s">
        <v>579</v>
      </c>
      <c r="AD207" s="81" t="s">
        <v>588</v>
      </c>
      <c r="AE207" s="86" t="str">
        <f>HYPERLINK("https://twitter.com/jmcquarterly/status/1720351664719151216")</f>
        <v>https://twitter.com/jmcquarterly/status/1720351664719151216</v>
      </c>
      <c r="AF207" s="83">
        <v>45233.33766203704</v>
      </c>
      <c r="AG207" s="89">
        <v>45233</v>
      </c>
      <c r="AH207" s="84" t="s">
        <v>600</v>
      </c>
      <c r="AI207" s="81"/>
      <c r="AJ207" s="81"/>
      <c r="AK207" s="81"/>
      <c r="AL207" s="81"/>
      <c r="AM207" s="81"/>
      <c r="AN207" s="81"/>
      <c r="AO207" s="81"/>
      <c r="AP207" s="81"/>
      <c r="AQ207" s="81"/>
      <c r="AR207" s="81"/>
      <c r="AS207" s="81"/>
      <c r="AT207" s="81"/>
      <c r="AU207" s="81"/>
      <c r="AV207" s="86" t="str">
        <f>HYPERLINK("https://pbs.twimg.com/profile_images/1297970849820147712/3xME2yZ6_normal.jpg")</f>
        <v>https://pbs.twimg.com/profile_images/1297970849820147712/3xME2yZ6_normal.jpg</v>
      </c>
      <c r="AW207" s="84" t="s">
        <v>754</v>
      </c>
      <c r="AX207" s="84" t="s">
        <v>754</v>
      </c>
      <c r="AY207" s="81"/>
      <c r="AZ207" s="84" t="s">
        <v>879</v>
      </c>
      <c r="BA207" s="84" t="s">
        <v>879</v>
      </c>
      <c r="BB207" s="84" t="s">
        <v>879</v>
      </c>
      <c r="BC207" s="84" t="s">
        <v>754</v>
      </c>
      <c r="BD207" s="84" t="s">
        <v>876</v>
      </c>
      <c r="BE207" s="81"/>
      <c r="BF207" s="81"/>
      <c r="BG207" s="81"/>
      <c r="BH207" s="81"/>
      <c r="BI207" s="81"/>
      <c r="BJ207">
        <v>1</v>
      </c>
      <c r="BK207" s="80" t="str">
        <f>REPLACE(INDEX(GroupVertices[Group], MATCH("~"&amp;Edges[[#This Row],[Vertex 1]],GroupVertices[Vertex],0)),1,1,"")</f>
        <v>3</v>
      </c>
      <c r="BL207" s="80" t="str">
        <f>REPLACE(INDEX(GroupVertices[Group], MATCH("~"&amp;Edges[[#This Row],[Vertex 2]],GroupVertices[Vertex],0)),1,1,"")</f>
        <v>6</v>
      </c>
      <c r="BM207" s="49">
        <v>3</v>
      </c>
      <c r="BN207" s="50">
        <v>10.714285714285714</v>
      </c>
      <c r="BO207" s="49">
        <v>0</v>
      </c>
      <c r="BP207" s="50">
        <v>0</v>
      </c>
      <c r="BQ207" s="49">
        <v>0</v>
      </c>
      <c r="BR207" s="50">
        <v>0</v>
      </c>
      <c r="BS207" s="49">
        <v>14</v>
      </c>
      <c r="BT207" s="50">
        <v>50</v>
      </c>
      <c r="BU207" s="49">
        <v>28</v>
      </c>
    </row>
    <row r="208" spans="1:73" x14ac:dyDescent="0.25">
      <c r="A208" s="65" t="s">
        <v>249</v>
      </c>
      <c r="B208" s="65" t="s">
        <v>268</v>
      </c>
      <c r="C208" s="66" t="s">
        <v>10075</v>
      </c>
      <c r="D208" s="67">
        <v>10</v>
      </c>
      <c r="E208" s="68" t="s">
        <v>132</v>
      </c>
      <c r="F208" s="69">
        <v>12</v>
      </c>
      <c r="G208" s="66"/>
      <c r="H208" s="70"/>
      <c r="I208" s="71"/>
      <c r="J208" s="71"/>
      <c r="K208" s="35" t="s">
        <v>66</v>
      </c>
      <c r="L208" s="79">
        <v>208</v>
      </c>
      <c r="M208" s="79"/>
      <c r="N208" s="73"/>
      <c r="O208" s="81" t="s">
        <v>367</v>
      </c>
      <c r="P208" s="83">
        <v>45233.33766203704</v>
      </c>
      <c r="Q208" s="81" t="s">
        <v>382</v>
      </c>
      <c r="R208" s="81">
        <v>4</v>
      </c>
      <c r="S208" s="81">
        <v>15</v>
      </c>
      <c r="T208" s="81">
        <v>0</v>
      </c>
      <c r="U208" s="81">
        <v>1</v>
      </c>
      <c r="V208" s="81">
        <v>2001</v>
      </c>
      <c r="W208" s="84" t="s">
        <v>473</v>
      </c>
      <c r="X208" s="81"/>
      <c r="Y208" s="81"/>
      <c r="Z208" s="81" t="s">
        <v>526</v>
      </c>
      <c r="AA208" s="81"/>
      <c r="AB208" s="81"/>
      <c r="AC208" s="84" t="s">
        <v>579</v>
      </c>
      <c r="AD208" s="81" t="s">
        <v>588</v>
      </c>
      <c r="AE208" s="86" t="str">
        <f>HYPERLINK("https://twitter.com/jmcquarterly/status/1720351664719151216")</f>
        <v>https://twitter.com/jmcquarterly/status/1720351664719151216</v>
      </c>
      <c r="AF208" s="83">
        <v>45233.33766203704</v>
      </c>
      <c r="AG208" s="89">
        <v>45233</v>
      </c>
      <c r="AH208" s="84" t="s">
        <v>600</v>
      </c>
      <c r="AI208" s="81"/>
      <c r="AJ208" s="81"/>
      <c r="AK208" s="81"/>
      <c r="AL208" s="81"/>
      <c r="AM208" s="81"/>
      <c r="AN208" s="81"/>
      <c r="AO208" s="81"/>
      <c r="AP208" s="81"/>
      <c r="AQ208" s="81"/>
      <c r="AR208" s="81"/>
      <c r="AS208" s="81"/>
      <c r="AT208" s="81"/>
      <c r="AU208" s="81"/>
      <c r="AV208" s="86" t="str">
        <f>HYPERLINK("https://pbs.twimg.com/profile_images/1297970849820147712/3xME2yZ6_normal.jpg")</f>
        <v>https://pbs.twimg.com/profile_images/1297970849820147712/3xME2yZ6_normal.jpg</v>
      </c>
      <c r="AW208" s="84" t="s">
        <v>754</v>
      </c>
      <c r="AX208" s="84" t="s">
        <v>754</v>
      </c>
      <c r="AY208" s="81"/>
      <c r="AZ208" s="84" t="s">
        <v>879</v>
      </c>
      <c r="BA208" s="84" t="s">
        <v>879</v>
      </c>
      <c r="BB208" s="84" t="s">
        <v>879</v>
      </c>
      <c r="BC208" s="84" t="s">
        <v>754</v>
      </c>
      <c r="BD208" s="84" t="s">
        <v>876</v>
      </c>
      <c r="BE208" s="81"/>
      <c r="BF208" s="81"/>
      <c r="BG208" s="81"/>
      <c r="BH208" s="81"/>
      <c r="BI208" s="81"/>
      <c r="BJ208">
        <v>4</v>
      </c>
      <c r="BK208" s="80" t="str">
        <f>REPLACE(INDEX(GroupVertices[Group], MATCH("~"&amp;Edges[[#This Row],[Vertex 1]],GroupVertices[Vertex],0)),1,1,"")</f>
        <v>3</v>
      </c>
      <c r="BL208" s="80" t="str">
        <f>REPLACE(INDEX(GroupVertices[Group], MATCH("~"&amp;Edges[[#This Row],[Vertex 2]],GroupVertices[Vertex],0)),1,1,"")</f>
        <v>1</v>
      </c>
      <c r="BM208" s="49"/>
      <c r="BN208" s="50"/>
      <c r="BO208" s="49"/>
      <c r="BP208" s="50"/>
      <c r="BQ208" s="49"/>
      <c r="BR208" s="50"/>
      <c r="BS208" s="49"/>
      <c r="BT208" s="50"/>
      <c r="BU208" s="49"/>
    </row>
    <row r="209" spans="1:73" x14ac:dyDescent="0.25">
      <c r="A209" s="65" t="s">
        <v>249</v>
      </c>
      <c r="B209" s="65" t="s">
        <v>268</v>
      </c>
      <c r="C209" s="66" t="s">
        <v>10075</v>
      </c>
      <c r="D209" s="67">
        <v>10</v>
      </c>
      <c r="E209" s="68" t="s">
        <v>132</v>
      </c>
      <c r="F209" s="69">
        <v>12</v>
      </c>
      <c r="G209" s="66"/>
      <c r="H209" s="70"/>
      <c r="I209" s="71"/>
      <c r="J209" s="71"/>
      <c r="K209" s="35" t="s">
        <v>66</v>
      </c>
      <c r="L209" s="79">
        <v>209</v>
      </c>
      <c r="M209" s="79"/>
      <c r="N209" s="73"/>
      <c r="O209" s="81" t="s">
        <v>367</v>
      </c>
      <c r="P209" s="83">
        <v>45232.354166666664</v>
      </c>
      <c r="Q209" s="81" t="s">
        <v>420</v>
      </c>
      <c r="R209" s="81">
        <v>4</v>
      </c>
      <c r="S209" s="81">
        <v>9</v>
      </c>
      <c r="T209" s="81">
        <v>0</v>
      </c>
      <c r="U209" s="81">
        <v>1</v>
      </c>
      <c r="V209" s="81">
        <v>1253</v>
      </c>
      <c r="W209" s="84" t="s">
        <v>486</v>
      </c>
      <c r="X209" s="86" t="str">
        <f>HYPERLINK("https://journals.sagepub.com/doi/full/10.1177/10776990231202692")</f>
        <v>https://journals.sagepub.com/doi/full/10.1177/10776990231202692</v>
      </c>
      <c r="Y209" s="81" t="s">
        <v>506</v>
      </c>
      <c r="Z209" s="81" t="s">
        <v>539</v>
      </c>
      <c r="AA209" s="81"/>
      <c r="AB209" s="81"/>
      <c r="AC209" s="84" t="s">
        <v>579</v>
      </c>
      <c r="AD209" s="81" t="s">
        <v>588</v>
      </c>
      <c r="AE209" s="86" t="str">
        <f>HYPERLINK("https://twitter.com/jmcquarterly/status/1719995258149228840")</f>
        <v>https://twitter.com/jmcquarterly/status/1719995258149228840</v>
      </c>
      <c r="AF209" s="83">
        <v>45232.354166666664</v>
      </c>
      <c r="AG209" s="89">
        <v>45232</v>
      </c>
      <c r="AH209" s="84" t="s">
        <v>647</v>
      </c>
      <c r="AI209" s="81" t="b">
        <v>0</v>
      </c>
      <c r="AJ209" s="81"/>
      <c r="AK209" s="81"/>
      <c r="AL209" s="81"/>
      <c r="AM209" s="81"/>
      <c r="AN209" s="81"/>
      <c r="AO209" s="81"/>
      <c r="AP209" s="81"/>
      <c r="AQ209" s="81"/>
      <c r="AR209" s="81"/>
      <c r="AS209" s="81"/>
      <c r="AT209" s="81"/>
      <c r="AU209" s="81"/>
      <c r="AV209" s="86" t="str">
        <f>HYPERLINK("https://pbs.twimg.com/profile_images/1297970849820147712/3xME2yZ6_normal.jpg")</f>
        <v>https://pbs.twimg.com/profile_images/1297970849820147712/3xME2yZ6_normal.jpg</v>
      </c>
      <c r="AW209" s="84" t="s">
        <v>801</v>
      </c>
      <c r="AX209" s="84" t="s">
        <v>801</v>
      </c>
      <c r="AY209" s="81"/>
      <c r="AZ209" s="84" t="s">
        <v>879</v>
      </c>
      <c r="BA209" s="84" t="s">
        <v>879</v>
      </c>
      <c r="BB209" s="84" t="s">
        <v>879</v>
      </c>
      <c r="BC209" s="84" t="s">
        <v>801</v>
      </c>
      <c r="BD209" s="84" t="s">
        <v>876</v>
      </c>
      <c r="BE209" s="81"/>
      <c r="BF209" s="81"/>
      <c r="BG209" s="81"/>
      <c r="BH209" s="81"/>
      <c r="BI209" s="81"/>
      <c r="BJ209">
        <v>4</v>
      </c>
      <c r="BK209" s="80" t="str">
        <f>REPLACE(INDEX(GroupVertices[Group], MATCH("~"&amp;Edges[[#This Row],[Vertex 1]],GroupVertices[Vertex],0)),1,1,"")</f>
        <v>3</v>
      </c>
      <c r="BL209" s="80" t="str">
        <f>REPLACE(INDEX(GroupVertices[Group], MATCH("~"&amp;Edges[[#This Row],[Vertex 2]],GroupVertices[Vertex],0)),1,1,"")</f>
        <v>1</v>
      </c>
      <c r="BM209" s="49">
        <v>3</v>
      </c>
      <c r="BN209" s="50">
        <v>9.0909090909090917</v>
      </c>
      <c r="BO209" s="49">
        <v>0</v>
      </c>
      <c r="BP209" s="50">
        <v>0</v>
      </c>
      <c r="BQ209" s="49">
        <v>0</v>
      </c>
      <c r="BR209" s="50">
        <v>0</v>
      </c>
      <c r="BS209" s="49">
        <v>21</v>
      </c>
      <c r="BT209" s="50">
        <v>63.636363636363633</v>
      </c>
      <c r="BU209" s="49">
        <v>33</v>
      </c>
    </row>
    <row r="210" spans="1:73" x14ac:dyDescent="0.25">
      <c r="A210" s="65" t="s">
        <v>249</v>
      </c>
      <c r="B210" s="65" t="s">
        <v>249</v>
      </c>
      <c r="C210" s="66" t="s">
        <v>10075</v>
      </c>
      <c r="D210" s="67">
        <v>10</v>
      </c>
      <c r="E210" s="68" t="s">
        <v>132</v>
      </c>
      <c r="F210" s="69">
        <v>12</v>
      </c>
      <c r="G210" s="66"/>
      <c r="H210" s="70"/>
      <c r="I210" s="71"/>
      <c r="J210" s="71"/>
      <c r="K210" s="35" t="s">
        <v>65</v>
      </c>
      <c r="L210" s="79">
        <v>210</v>
      </c>
      <c r="M210" s="79"/>
      <c r="N210" s="73"/>
      <c r="O210" s="81" t="s">
        <v>367</v>
      </c>
      <c r="P210" s="83">
        <v>45232.354166666664</v>
      </c>
      <c r="Q210" s="81" t="s">
        <v>420</v>
      </c>
      <c r="R210" s="81">
        <v>4</v>
      </c>
      <c r="S210" s="81">
        <v>9</v>
      </c>
      <c r="T210" s="81">
        <v>0</v>
      </c>
      <c r="U210" s="81">
        <v>1</v>
      </c>
      <c r="V210" s="81">
        <v>1253</v>
      </c>
      <c r="W210" s="84" t="s">
        <v>486</v>
      </c>
      <c r="X210" s="86" t="str">
        <f>HYPERLINK("https://journals.sagepub.com/doi/full/10.1177/10776990231202692")</f>
        <v>https://journals.sagepub.com/doi/full/10.1177/10776990231202692</v>
      </c>
      <c r="Y210" s="81" t="s">
        <v>506</v>
      </c>
      <c r="Z210" s="81" t="s">
        <v>539</v>
      </c>
      <c r="AA210" s="81"/>
      <c r="AB210" s="81"/>
      <c r="AC210" s="84" t="s">
        <v>579</v>
      </c>
      <c r="AD210" s="81" t="s">
        <v>588</v>
      </c>
      <c r="AE210" s="86" t="str">
        <f>HYPERLINK("https://twitter.com/jmcquarterly/status/1719995258149228840")</f>
        <v>https://twitter.com/jmcquarterly/status/1719995258149228840</v>
      </c>
      <c r="AF210" s="83">
        <v>45232.354166666664</v>
      </c>
      <c r="AG210" s="89">
        <v>45232</v>
      </c>
      <c r="AH210" s="84" t="s">
        <v>647</v>
      </c>
      <c r="AI210" s="81" t="b">
        <v>0</v>
      </c>
      <c r="AJ210" s="81"/>
      <c r="AK210" s="81"/>
      <c r="AL210" s="81"/>
      <c r="AM210" s="81"/>
      <c r="AN210" s="81"/>
      <c r="AO210" s="81"/>
      <c r="AP210" s="81"/>
      <c r="AQ210" s="81"/>
      <c r="AR210" s="81"/>
      <c r="AS210" s="81"/>
      <c r="AT210" s="81"/>
      <c r="AU210" s="81"/>
      <c r="AV210" s="86" t="str">
        <f>HYPERLINK("https://pbs.twimg.com/profile_images/1297970849820147712/3xME2yZ6_normal.jpg")</f>
        <v>https://pbs.twimg.com/profile_images/1297970849820147712/3xME2yZ6_normal.jpg</v>
      </c>
      <c r="AW210" s="84" t="s">
        <v>801</v>
      </c>
      <c r="AX210" s="84" t="s">
        <v>801</v>
      </c>
      <c r="AY210" s="81"/>
      <c r="AZ210" s="84" t="s">
        <v>879</v>
      </c>
      <c r="BA210" s="84" t="s">
        <v>879</v>
      </c>
      <c r="BB210" s="84" t="s">
        <v>879</v>
      </c>
      <c r="BC210" s="84" t="s">
        <v>801</v>
      </c>
      <c r="BD210" s="84" t="s">
        <v>876</v>
      </c>
      <c r="BE210" s="81"/>
      <c r="BF210" s="81"/>
      <c r="BG210" s="81"/>
      <c r="BH210" s="81"/>
      <c r="BI210" s="81"/>
      <c r="BJ210">
        <v>5</v>
      </c>
      <c r="BK210" s="80" t="str">
        <f>REPLACE(INDEX(GroupVertices[Group], MATCH("~"&amp;Edges[[#This Row],[Vertex 1]],GroupVertices[Vertex],0)),1,1,"")</f>
        <v>3</v>
      </c>
      <c r="BL210" s="80" t="str">
        <f>REPLACE(INDEX(GroupVertices[Group], MATCH("~"&amp;Edges[[#This Row],[Vertex 2]],GroupVertices[Vertex],0)),1,1,"")</f>
        <v>3</v>
      </c>
      <c r="BM210" s="49"/>
      <c r="BN210" s="50"/>
      <c r="BO210" s="49"/>
      <c r="BP210" s="50"/>
      <c r="BQ210" s="49"/>
      <c r="BR210" s="50"/>
      <c r="BS210" s="49"/>
      <c r="BT210" s="50"/>
      <c r="BU210" s="49"/>
    </row>
    <row r="211" spans="1:73" x14ac:dyDescent="0.25">
      <c r="A211" s="65" t="s">
        <v>249</v>
      </c>
      <c r="B211" s="65" t="s">
        <v>249</v>
      </c>
      <c r="C211" s="66" t="s">
        <v>10073</v>
      </c>
      <c r="D211" s="67">
        <v>3</v>
      </c>
      <c r="E211" s="68" t="s">
        <v>132</v>
      </c>
      <c r="F211" s="69">
        <v>35</v>
      </c>
      <c r="G211" s="66"/>
      <c r="H211" s="70"/>
      <c r="I211" s="71"/>
      <c r="J211" s="71"/>
      <c r="K211" s="35" t="s">
        <v>65</v>
      </c>
      <c r="L211" s="79">
        <v>211</v>
      </c>
      <c r="M211" s="79"/>
      <c r="N211" s="73"/>
      <c r="O211" s="81" t="s">
        <v>196</v>
      </c>
      <c r="P211" s="83">
        <v>45231.670092592591</v>
      </c>
      <c r="Q211" s="81" t="s">
        <v>449</v>
      </c>
      <c r="R211" s="81">
        <v>4</v>
      </c>
      <c r="S211" s="81">
        <v>7</v>
      </c>
      <c r="T211" s="81">
        <v>0</v>
      </c>
      <c r="U211" s="81">
        <v>1</v>
      </c>
      <c r="V211" s="81">
        <v>1602</v>
      </c>
      <c r="W211" s="84" t="s">
        <v>488</v>
      </c>
      <c r="X211" s="86" t="str">
        <f>HYPERLINK("https://journals.sagepub.com/doi/abs/10.1177/10776990231202702")</f>
        <v>https://journals.sagepub.com/doi/abs/10.1177/10776990231202702</v>
      </c>
      <c r="Y211" s="81" t="s">
        <v>506</v>
      </c>
      <c r="Z211" s="81"/>
      <c r="AA211" s="81"/>
      <c r="AB211" s="81"/>
      <c r="AC211" s="84" t="s">
        <v>579</v>
      </c>
      <c r="AD211" s="81" t="s">
        <v>588</v>
      </c>
      <c r="AE211" s="86" t="str">
        <f>HYPERLINK("https://twitter.com/jmcquarterly/status/1719747359171625099")</f>
        <v>https://twitter.com/jmcquarterly/status/1719747359171625099</v>
      </c>
      <c r="AF211" s="83">
        <v>45231.670092592591</v>
      </c>
      <c r="AG211" s="89">
        <v>45231</v>
      </c>
      <c r="AH211" s="84" t="s">
        <v>691</v>
      </c>
      <c r="AI211" s="81" t="b">
        <v>0</v>
      </c>
      <c r="AJ211" s="81"/>
      <c r="AK211" s="81"/>
      <c r="AL211" s="81"/>
      <c r="AM211" s="81"/>
      <c r="AN211" s="81"/>
      <c r="AO211" s="81"/>
      <c r="AP211" s="81"/>
      <c r="AQ211" s="81"/>
      <c r="AR211" s="81"/>
      <c r="AS211" s="81"/>
      <c r="AT211" s="81"/>
      <c r="AU211" s="81"/>
      <c r="AV211" s="86" t="str">
        <f>HYPERLINK("https://pbs.twimg.com/profile_images/1297970849820147712/3xME2yZ6_normal.jpg")</f>
        <v>https://pbs.twimg.com/profile_images/1297970849820147712/3xME2yZ6_normal.jpg</v>
      </c>
      <c r="AW211" s="84" t="s">
        <v>845</v>
      </c>
      <c r="AX211" s="84" t="s">
        <v>845</v>
      </c>
      <c r="AY211" s="81"/>
      <c r="AZ211" s="84" t="s">
        <v>879</v>
      </c>
      <c r="BA211" s="84" t="s">
        <v>879</v>
      </c>
      <c r="BB211" s="84" t="s">
        <v>879</v>
      </c>
      <c r="BC211" s="84" t="s">
        <v>845</v>
      </c>
      <c r="BD211" s="84" t="s">
        <v>876</v>
      </c>
      <c r="BE211" s="81"/>
      <c r="BF211" s="81"/>
      <c r="BG211" s="81"/>
      <c r="BH211" s="81"/>
      <c r="BI211" s="81"/>
      <c r="BJ211">
        <v>1</v>
      </c>
      <c r="BK211" s="80" t="str">
        <f>REPLACE(INDEX(GroupVertices[Group], MATCH("~"&amp;Edges[[#This Row],[Vertex 1]],GroupVertices[Vertex],0)),1,1,"")</f>
        <v>3</v>
      </c>
      <c r="BL211" s="80" t="str">
        <f>REPLACE(INDEX(GroupVertices[Group], MATCH("~"&amp;Edges[[#This Row],[Vertex 2]],GroupVertices[Vertex],0)),1,1,"")</f>
        <v>3</v>
      </c>
      <c r="BM211" s="49">
        <v>3</v>
      </c>
      <c r="BN211" s="50">
        <v>10.344827586206897</v>
      </c>
      <c r="BO211" s="49">
        <v>2</v>
      </c>
      <c r="BP211" s="50">
        <v>6.8965517241379306</v>
      </c>
      <c r="BQ211" s="49">
        <v>0</v>
      </c>
      <c r="BR211" s="50">
        <v>0</v>
      </c>
      <c r="BS211" s="49">
        <v>14</v>
      </c>
      <c r="BT211" s="50">
        <v>48.275862068965516</v>
      </c>
      <c r="BU211" s="49">
        <v>29</v>
      </c>
    </row>
    <row r="212" spans="1:73" x14ac:dyDescent="0.25">
      <c r="A212" s="65" t="s">
        <v>249</v>
      </c>
      <c r="B212" s="65" t="s">
        <v>268</v>
      </c>
      <c r="C212" s="66" t="s">
        <v>10075</v>
      </c>
      <c r="D212" s="67">
        <v>10</v>
      </c>
      <c r="E212" s="68" t="s">
        <v>132</v>
      </c>
      <c r="F212" s="69">
        <v>12</v>
      </c>
      <c r="G212" s="66"/>
      <c r="H212" s="70"/>
      <c r="I212" s="71"/>
      <c r="J212" s="71"/>
      <c r="K212" s="35" t="s">
        <v>66</v>
      </c>
      <c r="L212" s="79">
        <v>212</v>
      </c>
      <c r="M212" s="79"/>
      <c r="N212" s="73"/>
      <c r="O212" s="81" t="s">
        <v>367</v>
      </c>
      <c r="P212" s="83">
        <v>45229.330416666664</v>
      </c>
      <c r="Q212" s="81" t="s">
        <v>421</v>
      </c>
      <c r="R212" s="81">
        <v>5</v>
      </c>
      <c r="S212" s="81">
        <v>12</v>
      </c>
      <c r="T212" s="81">
        <v>0</v>
      </c>
      <c r="U212" s="81">
        <v>1</v>
      </c>
      <c r="V212" s="81">
        <v>1797</v>
      </c>
      <c r="W212" s="84" t="s">
        <v>487</v>
      </c>
      <c r="X212" s="86" t="str">
        <f>HYPERLINK("https://journals.sagepub.com/doi/abs/10.1177/10776990221108722")</f>
        <v>https://journals.sagepub.com/doi/abs/10.1177/10776990221108722</v>
      </c>
      <c r="Y212" s="81" t="s">
        <v>506</v>
      </c>
      <c r="Z212" s="81" t="s">
        <v>539</v>
      </c>
      <c r="AA212" s="81"/>
      <c r="AB212" s="81"/>
      <c r="AC212" s="84" t="s">
        <v>579</v>
      </c>
      <c r="AD212" s="81" t="s">
        <v>588</v>
      </c>
      <c r="AE212" s="86" t="str">
        <f>HYPERLINK("https://twitter.com/jmcquarterly/status/1718899489916727435")</f>
        <v>https://twitter.com/jmcquarterly/status/1718899489916727435</v>
      </c>
      <c r="AF212" s="83">
        <v>45229.330416666664</v>
      </c>
      <c r="AG212" s="89">
        <v>45229</v>
      </c>
      <c r="AH212" s="84" t="s">
        <v>648</v>
      </c>
      <c r="AI212" s="81" t="b">
        <v>0</v>
      </c>
      <c r="AJ212" s="81"/>
      <c r="AK212" s="81"/>
      <c r="AL212" s="81"/>
      <c r="AM212" s="81"/>
      <c r="AN212" s="81"/>
      <c r="AO212" s="81"/>
      <c r="AP212" s="81"/>
      <c r="AQ212" s="81"/>
      <c r="AR212" s="81"/>
      <c r="AS212" s="81"/>
      <c r="AT212" s="81"/>
      <c r="AU212" s="81"/>
      <c r="AV212" s="86" t="str">
        <f>HYPERLINK("https://pbs.twimg.com/profile_images/1297970849820147712/3xME2yZ6_normal.jpg")</f>
        <v>https://pbs.twimg.com/profile_images/1297970849820147712/3xME2yZ6_normal.jpg</v>
      </c>
      <c r="AW212" s="84" t="s">
        <v>802</v>
      </c>
      <c r="AX212" s="84" t="s">
        <v>802</v>
      </c>
      <c r="AY212" s="81"/>
      <c r="AZ212" s="84" t="s">
        <v>879</v>
      </c>
      <c r="BA212" s="84" t="s">
        <v>879</v>
      </c>
      <c r="BB212" s="84" t="s">
        <v>879</v>
      </c>
      <c r="BC212" s="84" t="s">
        <v>802</v>
      </c>
      <c r="BD212" s="84" t="s">
        <v>876</v>
      </c>
      <c r="BE212" s="81"/>
      <c r="BF212" s="81"/>
      <c r="BG212" s="81"/>
      <c r="BH212" s="81"/>
      <c r="BI212" s="81"/>
      <c r="BJ212">
        <v>4</v>
      </c>
      <c r="BK212" s="80" t="str">
        <f>REPLACE(INDEX(GroupVertices[Group], MATCH("~"&amp;Edges[[#This Row],[Vertex 1]],GroupVertices[Vertex],0)),1,1,"")</f>
        <v>3</v>
      </c>
      <c r="BL212" s="80" t="str">
        <f>REPLACE(INDEX(GroupVertices[Group], MATCH("~"&amp;Edges[[#This Row],[Vertex 2]],GroupVertices[Vertex],0)),1,1,"")</f>
        <v>1</v>
      </c>
      <c r="BM212" s="49">
        <v>0</v>
      </c>
      <c r="BN212" s="50">
        <v>0</v>
      </c>
      <c r="BO212" s="49">
        <v>1</v>
      </c>
      <c r="BP212" s="50">
        <v>3.4482758620689653</v>
      </c>
      <c r="BQ212" s="49">
        <v>0</v>
      </c>
      <c r="BR212" s="50">
        <v>0</v>
      </c>
      <c r="BS212" s="49">
        <v>23</v>
      </c>
      <c r="BT212" s="50">
        <v>79.310344827586206</v>
      </c>
      <c r="BU212" s="49">
        <v>29</v>
      </c>
    </row>
    <row r="213" spans="1:73" x14ac:dyDescent="0.25">
      <c r="A213" s="65" t="s">
        <v>249</v>
      </c>
      <c r="B213" s="65" t="s">
        <v>249</v>
      </c>
      <c r="C213" s="66" t="s">
        <v>10075</v>
      </c>
      <c r="D213" s="67">
        <v>10</v>
      </c>
      <c r="E213" s="68" t="s">
        <v>132</v>
      </c>
      <c r="F213" s="69">
        <v>12</v>
      </c>
      <c r="G213" s="66"/>
      <c r="H213" s="70"/>
      <c r="I213" s="71"/>
      <c r="J213" s="71"/>
      <c r="K213" s="35" t="s">
        <v>65</v>
      </c>
      <c r="L213" s="79">
        <v>213</v>
      </c>
      <c r="M213" s="79"/>
      <c r="N213" s="73"/>
      <c r="O213" s="81" t="s">
        <v>367</v>
      </c>
      <c r="P213" s="83">
        <v>45229.330416666664</v>
      </c>
      <c r="Q213" s="81" t="s">
        <v>421</v>
      </c>
      <c r="R213" s="81">
        <v>5</v>
      </c>
      <c r="S213" s="81">
        <v>12</v>
      </c>
      <c r="T213" s="81">
        <v>0</v>
      </c>
      <c r="U213" s="81">
        <v>1</v>
      </c>
      <c r="V213" s="81">
        <v>1797</v>
      </c>
      <c r="W213" s="84" t="s">
        <v>487</v>
      </c>
      <c r="X213" s="86" t="str">
        <f>HYPERLINK("https://journals.sagepub.com/doi/abs/10.1177/10776990221108722")</f>
        <v>https://journals.sagepub.com/doi/abs/10.1177/10776990221108722</v>
      </c>
      <c r="Y213" s="81" t="s">
        <v>506</v>
      </c>
      <c r="Z213" s="81" t="s">
        <v>539</v>
      </c>
      <c r="AA213" s="81"/>
      <c r="AB213" s="81"/>
      <c r="AC213" s="84" t="s">
        <v>579</v>
      </c>
      <c r="AD213" s="81" t="s">
        <v>588</v>
      </c>
      <c r="AE213" s="86" t="str">
        <f>HYPERLINK("https://twitter.com/jmcquarterly/status/1718899489916727435")</f>
        <v>https://twitter.com/jmcquarterly/status/1718899489916727435</v>
      </c>
      <c r="AF213" s="83">
        <v>45229.330416666664</v>
      </c>
      <c r="AG213" s="89">
        <v>45229</v>
      </c>
      <c r="AH213" s="84" t="s">
        <v>648</v>
      </c>
      <c r="AI213" s="81" t="b">
        <v>0</v>
      </c>
      <c r="AJ213" s="81"/>
      <c r="AK213" s="81"/>
      <c r="AL213" s="81"/>
      <c r="AM213" s="81"/>
      <c r="AN213" s="81"/>
      <c r="AO213" s="81"/>
      <c r="AP213" s="81"/>
      <c r="AQ213" s="81"/>
      <c r="AR213" s="81"/>
      <c r="AS213" s="81"/>
      <c r="AT213" s="81"/>
      <c r="AU213" s="81"/>
      <c r="AV213" s="86" t="str">
        <f>HYPERLINK("https://pbs.twimg.com/profile_images/1297970849820147712/3xME2yZ6_normal.jpg")</f>
        <v>https://pbs.twimg.com/profile_images/1297970849820147712/3xME2yZ6_normal.jpg</v>
      </c>
      <c r="AW213" s="84" t="s">
        <v>802</v>
      </c>
      <c r="AX213" s="84" t="s">
        <v>802</v>
      </c>
      <c r="AY213" s="81"/>
      <c r="AZ213" s="84" t="s">
        <v>879</v>
      </c>
      <c r="BA213" s="84" t="s">
        <v>879</v>
      </c>
      <c r="BB213" s="84" t="s">
        <v>879</v>
      </c>
      <c r="BC213" s="84" t="s">
        <v>802</v>
      </c>
      <c r="BD213" s="84" t="s">
        <v>876</v>
      </c>
      <c r="BE213" s="81"/>
      <c r="BF213" s="81"/>
      <c r="BG213" s="81"/>
      <c r="BH213" s="81"/>
      <c r="BI213" s="81"/>
      <c r="BJ213">
        <v>5</v>
      </c>
      <c r="BK213" s="80" t="str">
        <f>REPLACE(INDEX(GroupVertices[Group], MATCH("~"&amp;Edges[[#This Row],[Vertex 1]],GroupVertices[Vertex],0)),1,1,"")</f>
        <v>3</v>
      </c>
      <c r="BL213" s="80" t="str">
        <f>REPLACE(INDEX(GroupVertices[Group], MATCH("~"&amp;Edges[[#This Row],[Vertex 2]],GroupVertices[Vertex],0)),1,1,"")</f>
        <v>3</v>
      </c>
      <c r="BM213" s="49"/>
      <c r="BN213" s="50"/>
      <c r="BO213" s="49"/>
      <c r="BP213" s="50"/>
      <c r="BQ213" s="49"/>
      <c r="BR213" s="50"/>
      <c r="BS213" s="49"/>
      <c r="BT213" s="50"/>
      <c r="BU213" s="49"/>
    </row>
    <row r="214" spans="1:73" x14ac:dyDescent="0.25">
      <c r="A214" s="65" t="s">
        <v>268</v>
      </c>
      <c r="B214" s="65" t="s">
        <v>249</v>
      </c>
      <c r="C214" s="66" t="s">
        <v>10075</v>
      </c>
      <c r="D214" s="67">
        <v>10</v>
      </c>
      <c r="E214" s="68" t="s">
        <v>132</v>
      </c>
      <c r="F214" s="69">
        <v>12</v>
      </c>
      <c r="G214" s="66"/>
      <c r="H214" s="70"/>
      <c r="I214" s="71"/>
      <c r="J214" s="71"/>
      <c r="K214" s="35" t="s">
        <v>66</v>
      </c>
      <c r="L214" s="79">
        <v>214</v>
      </c>
      <c r="M214" s="79"/>
      <c r="N214" s="73"/>
      <c r="O214" s="81" t="s">
        <v>366</v>
      </c>
      <c r="P214" s="83">
        <v>45233.740844907406</v>
      </c>
      <c r="Q214" s="81" t="s">
        <v>423</v>
      </c>
      <c r="R214" s="81">
        <v>1</v>
      </c>
      <c r="S214" s="81">
        <v>0</v>
      </c>
      <c r="T214" s="81">
        <v>0</v>
      </c>
      <c r="U214" s="81">
        <v>0</v>
      </c>
      <c r="V214" s="81"/>
      <c r="W214" s="81"/>
      <c r="X214" s="81"/>
      <c r="Y214" s="81"/>
      <c r="Z214" s="81" t="s">
        <v>518</v>
      </c>
      <c r="AA214" s="81"/>
      <c r="AB214" s="81"/>
      <c r="AC214" s="84" t="s">
        <v>582</v>
      </c>
      <c r="AD214" s="81" t="s">
        <v>588</v>
      </c>
      <c r="AE214" s="86" t="str">
        <f>HYPERLINK("https://twitter.com/aejmc/status/1720497776302117214")</f>
        <v>https://twitter.com/aejmc/status/1720497776302117214</v>
      </c>
      <c r="AF214" s="83">
        <v>45233.740844907406</v>
      </c>
      <c r="AG214" s="89">
        <v>45233</v>
      </c>
      <c r="AH214" s="84" t="s">
        <v>652</v>
      </c>
      <c r="AI214" s="81"/>
      <c r="AJ214" s="81"/>
      <c r="AK214" s="81"/>
      <c r="AL214" s="81"/>
      <c r="AM214" s="81"/>
      <c r="AN214" s="81"/>
      <c r="AO214" s="81"/>
      <c r="AP214" s="81"/>
      <c r="AQ214" s="81"/>
      <c r="AR214" s="81"/>
      <c r="AS214" s="81"/>
      <c r="AT214" s="81"/>
      <c r="AU214" s="81"/>
      <c r="AV214" s="86" t="str">
        <f>HYPERLINK("https://pbs.twimg.com/profile_images/1559584982439444482/vOVkFGh3_normal.png")</f>
        <v>https://pbs.twimg.com/profile_images/1559584982439444482/vOVkFGh3_normal.png</v>
      </c>
      <c r="AW214" s="84" t="s">
        <v>806</v>
      </c>
      <c r="AX214" s="84" t="s">
        <v>806</v>
      </c>
      <c r="AY214" s="81"/>
      <c r="AZ214" s="84" t="s">
        <v>879</v>
      </c>
      <c r="BA214" s="84" t="s">
        <v>879</v>
      </c>
      <c r="BB214" s="84" t="s">
        <v>786</v>
      </c>
      <c r="BC214" s="84" t="s">
        <v>786</v>
      </c>
      <c r="BD214" s="81">
        <v>8442592</v>
      </c>
      <c r="BE214" s="81"/>
      <c r="BF214" s="81"/>
      <c r="BG214" s="81"/>
      <c r="BH214" s="81"/>
      <c r="BI214" s="81"/>
      <c r="BJ214">
        <v>5</v>
      </c>
      <c r="BK214" s="80" t="str">
        <f>REPLACE(INDEX(GroupVertices[Group], MATCH("~"&amp;Edges[[#This Row],[Vertex 1]],GroupVertices[Vertex],0)),1,1,"")</f>
        <v>1</v>
      </c>
      <c r="BL214" s="80" t="str">
        <f>REPLACE(INDEX(GroupVertices[Group], MATCH("~"&amp;Edges[[#This Row],[Vertex 2]],GroupVertices[Vertex],0)),1,1,"")</f>
        <v>3</v>
      </c>
      <c r="BM214" s="49"/>
      <c r="BN214" s="50"/>
      <c r="BO214" s="49"/>
      <c r="BP214" s="50"/>
      <c r="BQ214" s="49"/>
      <c r="BR214" s="50"/>
      <c r="BS214" s="49"/>
      <c r="BT214" s="50"/>
      <c r="BU214" s="49"/>
    </row>
    <row r="215" spans="1:73" x14ac:dyDescent="0.25">
      <c r="A215" s="65" t="s">
        <v>268</v>
      </c>
      <c r="B215" s="65" t="s">
        <v>249</v>
      </c>
      <c r="C215" s="66" t="s">
        <v>10075</v>
      </c>
      <c r="D215" s="67">
        <v>10</v>
      </c>
      <c r="E215" s="68" t="s">
        <v>136</v>
      </c>
      <c r="F215" s="69">
        <v>12</v>
      </c>
      <c r="G215" s="66"/>
      <c r="H215" s="70"/>
      <c r="I215" s="71"/>
      <c r="J215" s="71"/>
      <c r="K215" s="35" t="s">
        <v>66</v>
      </c>
      <c r="L215" s="79">
        <v>215</v>
      </c>
      <c r="M215" s="79"/>
      <c r="N215" s="73"/>
      <c r="O215" s="81" t="s">
        <v>365</v>
      </c>
      <c r="P215" s="83">
        <v>45233.740844907406</v>
      </c>
      <c r="Q215" s="81" t="s">
        <v>423</v>
      </c>
      <c r="R215" s="81">
        <v>1</v>
      </c>
      <c r="S215" s="81">
        <v>0</v>
      </c>
      <c r="T215" s="81">
        <v>0</v>
      </c>
      <c r="U215" s="81">
        <v>0</v>
      </c>
      <c r="V215" s="81"/>
      <c r="W215" s="81"/>
      <c r="X215" s="81"/>
      <c r="Y215" s="81"/>
      <c r="Z215" s="81" t="s">
        <v>518</v>
      </c>
      <c r="AA215" s="81"/>
      <c r="AB215" s="81"/>
      <c r="AC215" s="84" t="s">
        <v>582</v>
      </c>
      <c r="AD215" s="81" t="s">
        <v>588</v>
      </c>
      <c r="AE215" s="86" t="str">
        <f>HYPERLINK("https://twitter.com/aejmc/status/1720497776302117214")</f>
        <v>https://twitter.com/aejmc/status/1720497776302117214</v>
      </c>
      <c r="AF215" s="83">
        <v>45233.740844907406</v>
      </c>
      <c r="AG215" s="89">
        <v>45233</v>
      </c>
      <c r="AH215" s="84" t="s">
        <v>652</v>
      </c>
      <c r="AI215" s="81"/>
      <c r="AJ215" s="81"/>
      <c r="AK215" s="81"/>
      <c r="AL215" s="81"/>
      <c r="AM215" s="81"/>
      <c r="AN215" s="81"/>
      <c r="AO215" s="81"/>
      <c r="AP215" s="81"/>
      <c r="AQ215" s="81"/>
      <c r="AR215" s="81"/>
      <c r="AS215" s="81"/>
      <c r="AT215" s="81"/>
      <c r="AU215" s="81"/>
      <c r="AV215" s="86" t="str">
        <f>HYPERLINK("https://pbs.twimg.com/profile_images/1559584982439444482/vOVkFGh3_normal.png")</f>
        <v>https://pbs.twimg.com/profile_images/1559584982439444482/vOVkFGh3_normal.png</v>
      </c>
      <c r="AW215" s="84" t="s">
        <v>806</v>
      </c>
      <c r="AX215" s="84" t="s">
        <v>806</v>
      </c>
      <c r="AY215" s="81"/>
      <c r="AZ215" s="84" t="s">
        <v>879</v>
      </c>
      <c r="BA215" s="84" t="s">
        <v>879</v>
      </c>
      <c r="BB215" s="84" t="s">
        <v>786</v>
      </c>
      <c r="BC215" s="84" t="s">
        <v>786</v>
      </c>
      <c r="BD215" s="81">
        <v>8442592</v>
      </c>
      <c r="BE215" s="81"/>
      <c r="BF215" s="81"/>
      <c r="BG215" s="81"/>
      <c r="BH215" s="81"/>
      <c r="BI215" s="81"/>
      <c r="BJ215">
        <v>7</v>
      </c>
      <c r="BK215" s="80" t="str">
        <f>REPLACE(INDEX(GroupVertices[Group], MATCH("~"&amp;Edges[[#This Row],[Vertex 1]],GroupVertices[Vertex],0)),1,1,"")</f>
        <v>1</v>
      </c>
      <c r="BL215" s="80" t="str">
        <f>REPLACE(INDEX(GroupVertices[Group], MATCH("~"&amp;Edges[[#This Row],[Vertex 2]],GroupVertices[Vertex],0)),1,1,"")</f>
        <v>3</v>
      </c>
      <c r="BM215" s="49">
        <v>2</v>
      </c>
      <c r="BN215" s="50">
        <v>10.526315789473685</v>
      </c>
      <c r="BO215" s="49">
        <v>0</v>
      </c>
      <c r="BP215" s="50">
        <v>0</v>
      </c>
      <c r="BQ215" s="49">
        <v>0</v>
      </c>
      <c r="BR215" s="50">
        <v>0</v>
      </c>
      <c r="BS215" s="49">
        <v>11</v>
      </c>
      <c r="BT215" s="50">
        <v>57.89473684210526</v>
      </c>
      <c r="BU215" s="49">
        <v>19</v>
      </c>
    </row>
    <row r="216" spans="1:73" x14ac:dyDescent="0.25">
      <c r="A216" s="65" t="s">
        <v>268</v>
      </c>
      <c r="B216" s="65" t="s">
        <v>249</v>
      </c>
      <c r="C216" s="66" t="s">
        <v>10075</v>
      </c>
      <c r="D216" s="67">
        <v>10</v>
      </c>
      <c r="E216" s="68" t="s">
        <v>132</v>
      </c>
      <c r="F216" s="69">
        <v>12</v>
      </c>
      <c r="G216" s="66"/>
      <c r="H216" s="70"/>
      <c r="I216" s="71"/>
      <c r="J216" s="71"/>
      <c r="K216" s="35" t="s">
        <v>66</v>
      </c>
      <c r="L216" s="79">
        <v>216</v>
      </c>
      <c r="M216" s="79"/>
      <c r="N216" s="73"/>
      <c r="O216" s="81" t="s">
        <v>366</v>
      </c>
      <c r="P216" s="83">
        <v>45230.816342592596</v>
      </c>
      <c r="Q216" s="81" t="s">
        <v>422</v>
      </c>
      <c r="R216" s="81">
        <v>2</v>
      </c>
      <c r="S216" s="81">
        <v>0</v>
      </c>
      <c r="T216" s="81">
        <v>0</v>
      </c>
      <c r="U216" s="81">
        <v>0</v>
      </c>
      <c r="V216" s="81"/>
      <c r="W216" s="84" t="s">
        <v>485</v>
      </c>
      <c r="X216" s="86" t="str">
        <f>HYPERLINK("https://journals.sagepub.com/doi/abs/10.1177/10776990211049451")</f>
        <v>https://journals.sagepub.com/doi/abs/10.1177/10776990211049451</v>
      </c>
      <c r="Y216" s="81" t="s">
        <v>506</v>
      </c>
      <c r="Z216" s="81" t="s">
        <v>518</v>
      </c>
      <c r="AA216" s="81"/>
      <c r="AB216" s="81"/>
      <c r="AC216" s="84" t="s">
        <v>582</v>
      </c>
      <c r="AD216" s="81" t="s">
        <v>588</v>
      </c>
      <c r="AE216" s="86" t="str">
        <f>HYPERLINK("https://twitter.com/aejmc/status/1719437971806375979")</f>
        <v>https://twitter.com/aejmc/status/1719437971806375979</v>
      </c>
      <c r="AF216" s="83">
        <v>45230.816342592596</v>
      </c>
      <c r="AG216" s="89">
        <v>45230</v>
      </c>
      <c r="AH216" s="84" t="s">
        <v>653</v>
      </c>
      <c r="AI216" s="81" t="b">
        <v>0</v>
      </c>
      <c r="AJ216" s="81"/>
      <c r="AK216" s="81"/>
      <c r="AL216" s="81"/>
      <c r="AM216" s="81"/>
      <c r="AN216" s="81"/>
      <c r="AO216" s="81"/>
      <c r="AP216" s="81"/>
      <c r="AQ216" s="81"/>
      <c r="AR216" s="81"/>
      <c r="AS216" s="81"/>
      <c r="AT216" s="81"/>
      <c r="AU216" s="81"/>
      <c r="AV216" s="86" t="str">
        <f>HYPERLINK("https://pbs.twimg.com/profile_images/1559584982439444482/vOVkFGh3_normal.png")</f>
        <v>https://pbs.twimg.com/profile_images/1559584982439444482/vOVkFGh3_normal.png</v>
      </c>
      <c r="AW216" s="84" t="s">
        <v>807</v>
      </c>
      <c r="AX216" s="84" t="s">
        <v>807</v>
      </c>
      <c r="AY216" s="81"/>
      <c r="AZ216" s="84" t="s">
        <v>879</v>
      </c>
      <c r="BA216" s="84" t="s">
        <v>879</v>
      </c>
      <c r="BB216" s="84" t="s">
        <v>800</v>
      </c>
      <c r="BC216" s="84" t="s">
        <v>800</v>
      </c>
      <c r="BD216" s="81">
        <v>8442592</v>
      </c>
      <c r="BE216" s="81"/>
      <c r="BF216" s="81"/>
      <c r="BG216" s="81"/>
      <c r="BH216" s="81"/>
      <c r="BI216" s="81"/>
      <c r="BJ216">
        <v>5</v>
      </c>
      <c r="BK216" s="80" t="str">
        <f>REPLACE(INDEX(GroupVertices[Group], MATCH("~"&amp;Edges[[#This Row],[Vertex 1]],GroupVertices[Vertex],0)),1,1,"")</f>
        <v>1</v>
      </c>
      <c r="BL216" s="80" t="str">
        <f>REPLACE(INDEX(GroupVertices[Group], MATCH("~"&amp;Edges[[#This Row],[Vertex 2]],GroupVertices[Vertex],0)),1,1,"")</f>
        <v>3</v>
      </c>
      <c r="BM216" s="49"/>
      <c r="BN216" s="50"/>
      <c r="BO216" s="49"/>
      <c r="BP216" s="50"/>
      <c r="BQ216" s="49"/>
      <c r="BR216" s="50"/>
      <c r="BS216" s="49"/>
      <c r="BT216" s="50"/>
      <c r="BU216" s="49"/>
    </row>
    <row r="217" spans="1:73" x14ac:dyDescent="0.25">
      <c r="A217" s="65" t="s">
        <v>268</v>
      </c>
      <c r="B217" s="65" t="s">
        <v>249</v>
      </c>
      <c r="C217" s="66" t="s">
        <v>10075</v>
      </c>
      <c r="D217" s="67">
        <v>10</v>
      </c>
      <c r="E217" s="68" t="s">
        <v>136</v>
      </c>
      <c r="F217" s="69">
        <v>12</v>
      </c>
      <c r="G217" s="66"/>
      <c r="H217" s="70"/>
      <c r="I217" s="71"/>
      <c r="J217" s="71"/>
      <c r="K217" s="35" t="s">
        <v>66</v>
      </c>
      <c r="L217" s="79">
        <v>217</v>
      </c>
      <c r="M217" s="79"/>
      <c r="N217" s="73"/>
      <c r="O217" s="81" t="s">
        <v>365</v>
      </c>
      <c r="P217" s="83">
        <v>45230.816342592596</v>
      </c>
      <c r="Q217" s="81" t="s">
        <v>422</v>
      </c>
      <c r="R217" s="81">
        <v>2</v>
      </c>
      <c r="S217" s="81">
        <v>0</v>
      </c>
      <c r="T217" s="81">
        <v>0</v>
      </c>
      <c r="U217" s="81">
        <v>0</v>
      </c>
      <c r="V217" s="81"/>
      <c r="W217" s="84" t="s">
        <v>485</v>
      </c>
      <c r="X217" s="86" t="str">
        <f>HYPERLINK("https://journals.sagepub.com/doi/abs/10.1177/10776990211049451")</f>
        <v>https://journals.sagepub.com/doi/abs/10.1177/10776990211049451</v>
      </c>
      <c r="Y217" s="81" t="s">
        <v>506</v>
      </c>
      <c r="Z217" s="81" t="s">
        <v>518</v>
      </c>
      <c r="AA217" s="81"/>
      <c r="AB217" s="81"/>
      <c r="AC217" s="84" t="s">
        <v>582</v>
      </c>
      <c r="AD217" s="81" t="s">
        <v>588</v>
      </c>
      <c r="AE217" s="86" t="str">
        <f>HYPERLINK("https://twitter.com/aejmc/status/1719437971806375979")</f>
        <v>https://twitter.com/aejmc/status/1719437971806375979</v>
      </c>
      <c r="AF217" s="83">
        <v>45230.816342592596</v>
      </c>
      <c r="AG217" s="89">
        <v>45230</v>
      </c>
      <c r="AH217" s="84" t="s">
        <v>653</v>
      </c>
      <c r="AI217" s="81" t="b">
        <v>0</v>
      </c>
      <c r="AJ217" s="81"/>
      <c r="AK217" s="81"/>
      <c r="AL217" s="81"/>
      <c r="AM217" s="81"/>
      <c r="AN217" s="81"/>
      <c r="AO217" s="81"/>
      <c r="AP217" s="81"/>
      <c r="AQ217" s="81"/>
      <c r="AR217" s="81"/>
      <c r="AS217" s="81"/>
      <c r="AT217" s="81"/>
      <c r="AU217" s="81"/>
      <c r="AV217" s="86" t="str">
        <f>HYPERLINK("https://pbs.twimg.com/profile_images/1559584982439444482/vOVkFGh3_normal.png")</f>
        <v>https://pbs.twimg.com/profile_images/1559584982439444482/vOVkFGh3_normal.png</v>
      </c>
      <c r="AW217" s="84" t="s">
        <v>807</v>
      </c>
      <c r="AX217" s="84" t="s">
        <v>807</v>
      </c>
      <c r="AY217" s="81"/>
      <c r="AZ217" s="84" t="s">
        <v>879</v>
      </c>
      <c r="BA217" s="84" t="s">
        <v>879</v>
      </c>
      <c r="BB217" s="84" t="s">
        <v>800</v>
      </c>
      <c r="BC217" s="84" t="s">
        <v>800</v>
      </c>
      <c r="BD217" s="81">
        <v>8442592</v>
      </c>
      <c r="BE217" s="81"/>
      <c r="BF217" s="81"/>
      <c r="BG217" s="81"/>
      <c r="BH217" s="81"/>
      <c r="BI217" s="81"/>
      <c r="BJ217">
        <v>7</v>
      </c>
      <c r="BK217" s="80" t="str">
        <f>REPLACE(INDEX(GroupVertices[Group], MATCH("~"&amp;Edges[[#This Row],[Vertex 1]],GroupVertices[Vertex],0)),1,1,"")</f>
        <v>1</v>
      </c>
      <c r="BL217" s="80" t="str">
        <f>REPLACE(INDEX(GroupVertices[Group], MATCH("~"&amp;Edges[[#This Row],[Vertex 2]],GroupVertices[Vertex],0)),1,1,"")</f>
        <v>3</v>
      </c>
      <c r="BM217" s="49">
        <v>0</v>
      </c>
      <c r="BN217" s="50">
        <v>0</v>
      </c>
      <c r="BO217" s="49">
        <v>0</v>
      </c>
      <c r="BP217" s="50">
        <v>0</v>
      </c>
      <c r="BQ217" s="49">
        <v>0</v>
      </c>
      <c r="BR217" s="50">
        <v>0</v>
      </c>
      <c r="BS217" s="49">
        <v>9</v>
      </c>
      <c r="BT217" s="50">
        <v>56.25</v>
      </c>
      <c r="BU217" s="49">
        <v>16</v>
      </c>
    </row>
    <row r="218" spans="1:73" x14ac:dyDescent="0.25">
      <c r="A218" s="65" t="s">
        <v>268</v>
      </c>
      <c r="B218" s="65" t="s">
        <v>249</v>
      </c>
      <c r="C218" s="66" t="s">
        <v>10075</v>
      </c>
      <c r="D218" s="67">
        <v>10</v>
      </c>
      <c r="E218" s="68" t="s">
        <v>132</v>
      </c>
      <c r="F218" s="69">
        <v>12</v>
      </c>
      <c r="G218" s="66"/>
      <c r="H218" s="70"/>
      <c r="I218" s="71"/>
      <c r="J218" s="71"/>
      <c r="K218" s="35" t="s">
        <v>66</v>
      </c>
      <c r="L218" s="79">
        <v>218</v>
      </c>
      <c r="M218" s="79"/>
      <c r="N218" s="73"/>
      <c r="O218" s="81" t="s">
        <v>366</v>
      </c>
      <c r="P218" s="83">
        <v>45229.644386574073</v>
      </c>
      <c r="Q218" s="81" t="s">
        <v>413</v>
      </c>
      <c r="R218" s="81">
        <v>5</v>
      </c>
      <c r="S218" s="81">
        <v>0</v>
      </c>
      <c r="T218" s="81">
        <v>0</v>
      </c>
      <c r="U218" s="81">
        <v>0</v>
      </c>
      <c r="V218" s="81"/>
      <c r="W218" s="84" t="s">
        <v>484</v>
      </c>
      <c r="X218" s="86" t="str">
        <f>HYPERLINK("https://journals.sagepub.com/doi/abs/10.1177/10776990221108722")</f>
        <v>https://journals.sagepub.com/doi/abs/10.1177/10776990221108722</v>
      </c>
      <c r="Y218" s="81" t="s">
        <v>506</v>
      </c>
      <c r="Z218" s="81" t="s">
        <v>518</v>
      </c>
      <c r="AA218" s="81"/>
      <c r="AB218" s="81"/>
      <c r="AC218" s="84" t="s">
        <v>582</v>
      </c>
      <c r="AD218" s="81" t="s">
        <v>588</v>
      </c>
      <c r="AE218" s="86" t="str">
        <f>HYPERLINK("https://twitter.com/aejmc/status/1719013266746118316")</f>
        <v>https://twitter.com/aejmc/status/1719013266746118316</v>
      </c>
      <c r="AF218" s="83">
        <v>45229.644386574073</v>
      </c>
      <c r="AG218" s="89">
        <v>45229</v>
      </c>
      <c r="AH218" s="84" t="s">
        <v>654</v>
      </c>
      <c r="AI218" s="81" t="b">
        <v>0</v>
      </c>
      <c r="AJ218" s="81"/>
      <c r="AK218" s="81"/>
      <c r="AL218" s="81"/>
      <c r="AM218" s="81"/>
      <c r="AN218" s="81"/>
      <c r="AO218" s="81"/>
      <c r="AP218" s="81"/>
      <c r="AQ218" s="81"/>
      <c r="AR218" s="81"/>
      <c r="AS218" s="81"/>
      <c r="AT218" s="81"/>
      <c r="AU218" s="81"/>
      <c r="AV218" s="86" t="str">
        <f>HYPERLINK("https://pbs.twimg.com/profile_images/1559584982439444482/vOVkFGh3_normal.png")</f>
        <v>https://pbs.twimg.com/profile_images/1559584982439444482/vOVkFGh3_normal.png</v>
      </c>
      <c r="AW218" s="84" t="s">
        <v>808</v>
      </c>
      <c r="AX218" s="84" t="s">
        <v>808</v>
      </c>
      <c r="AY218" s="81"/>
      <c r="AZ218" s="84" t="s">
        <v>879</v>
      </c>
      <c r="BA218" s="84" t="s">
        <v>879</v>
      </c>
      <c r="BB218" s="84" t="s">
        <v>802</v>
      </c>
      <c r="BC218" s="84" t="s">
        <v>802</v>
      </c>
      <c r="BD218" s="81">
        <v>8442592</v>
      </c>
      <c r="BE218" s="81"/>
      <c r="BF218" s="81"/>
      <c r="BG218" s="81"/>
      <c r="BH218" s="81"/>
      <c r="BI218" s="81"/>
      <c r="BJ218">
        <v>5</v>
      </c>
      <c r="BK218" s="80" t="str">
        <f>REPLACE(INDEX(GroupVertices[Group], MATCH("~"&amp;Edges[[#This Row],[Vertex 1]],GroupVertices[Vertex],0)),1,1,"")</f>
        <v>1</v>
      </c>
      <c r="BL218" s="80" t="str">
        <f>REPLACE(INDEX(GroupVertices[Group], MATCH("~"&amp;Edges[[#This Row],[Vertex 2]],GroupVertices[Vertex],0)),1,1,"")</f>
        <v>3</v>
      </c>
      <c r="BM218" s="49"/>
      <c r="BN218" s="50"/>
      <c r="BO218" s="49"/>
      <c r="BP218" s="50"/>
      <c r="BQ218" s="49"/>
      <c r="BR218" s="50"/>
      <c r="BS218" s="49"/>
      <c r="BT218" s="50"/>
      <c r="BU218" s="49"/>
    </row>
    <row r="219" spans="1:73" x14ac:dyDescent="0.25">
      <c r="A219" s="65" t="s">
        <v>268</v>
      </c>
      <c r="B219" s="65" t="s">
        <v>249</v>
      </c>
      <c r="C219" s="66" t="s">
        <v>10075</v>
      </c>
      <c r="D219" s="67">
        <v>10</v>
      </c>
      <c r="E219" s="68" t="s">
        <v>136</v>
      </c>
      <c r="F219" s="69">
        <v>12</v>
      </c>
      <c r="G219" s="66"/>
      <c r="H219" s="70"/>
      <c r="I219" s="71"/>
      <c r="J219" s="71"/>
      <c r="K219" s="35" t="s">
        <v>66</v>
      </c>
      <c r="L219" s="79">
        <v>219</v>
      </c>
      <c r="M219" s="79"/>
      <c r="N219" s="73"/>
      <c r="O219" s="81" t="s">
        <v>365</v>
      </c>
      <c r="P219" s="83">
        <v>45229.644386574073</v>
      </c>
      <c r="Q219" s="81" t="s">
        <v>413</v>
      </c>
      <c r="R219" s="81">
        <v>5</v>
      </c>
      <c r="S219" s="81">
        <v>0</v>
      </c>
      <c r="T219" s="81">
        <v>0</v>
      </c>
      <c r="U219" s="81">
        <v>0</v>
      </c>
      <c r="V219" s="81"/>
      <c r="W219" s="84" t="s">
        <v>484</v>
      </c>
      <c r="X219" s="86" t="str">
        <f>HYPERLINK("https://journals.sagepub.com/doi/abs/10.1177/10776990221108722")</f>
        <v>https://journals.sagepub.com/doi/abs/10.1177/10776990221108722</v>
      </c>
      <c r="Y219" s="81" t="s">
        <v>506</v>
      </c>
      <c r="Z219" s="81" t="s">
        <v>518</v>
      </c>
      <c r="AA219" s="81"/>
      <c r="AB219" s="81"/>
      <c r="AC219" s="84" t="s">
        <v>582</v>
      </c>
      <c r="AD219" s="81" t="s">
        <v>588</v>
      </c>
      <c r="AE219" s="86" t="str">
        <f>HYPERLINK("https://twitter.com/aejmc/status/1719013266746118316")</f>
        <v>https://twitter.com/aejmc/status/1719013266746118316</v>
      </c>
      <c r="AF219" s="83">
        <v>45229.644386574073</v>
      </c>
      <c r="AG219" s="89">
        <v>45229</v>
      </c>
      <c r="AH219" s="84" t="s">
        <v>654</v>
      </c>
      <c r="AI219" s="81" t="b">
        <v>0</v>
      </c>
      <c r="AJ219" s="81"/>
      <c r="AK219" s="81"/>
      <c r="AL219" s="81"/>
      <c r="AM219" s="81"/>
      <c r="AN219" s="81"/>
      <c r="AO219" s="81"/>
      <c r="AP219" s="81"/>
      <c r="AQ219" s="81"/>
      <c r="AR219" s="81"/>
      <c r="AS219" s="81"/>
      <c r="AT219" s="81"/>
      <c r="AU219" s="81"/>
      <c r="AV219" s="86" t="str">
        <f>HYPERLINK("https://pbs.twimg.com/profile_images/1559584982439444482/vOVkFGh3_normal.png")</f>
        <v>https://pbs.twimg.com/profile_images/1559584982439444482/vOVkFGh3_normal.png</v>
      </c>
      <c r="AW219" s="84" t="s">
        <v>808</v>
      </c>
      <c r="AX219" s="84" t="s">
        <v>808</v>
      </c>
      <c r="AY219" s="81"/>
      <c r="AZ219" s="84" t="s">
        <v>879</v>
      </c>
      <c r="BA219" s="84" t="s">
        <v>879</v>
      </c>
      <c r="BB219" s="84" t="s">
        <v>802</v>
      </c>
      <c r="BC219" s="84" t="s">
        <v>802</v>
      </c>
      <c r="BD219" s="81">
        <v>8442592</v>
      </c>
      <c r="BE219" s="81"/>
      <c r="BF219" s="81"/>
      <c r="BG219" s="81"/>
      <c r="BH219" s="81"/>
      <c r="BI219" s="81"/>
      <c r="BJ219">
        <v>7</v>
      </c>
      <c r="BK219" s="80" t="str">
        <f>REPLACE(INDEX(GroupVertices[Group], MATCH("~"&amp;Edges[[#This Row],[Vertex 1]],GroupVertices[Vertex],0)),1,1,"")</f>
        <v>1</v>
      </c>
      <c r="BL219" s="80" t="str">
        <f>REPLACE(INDEX(GroupVertices[Group], MATCH("~"&amp;Edges[[#This Row],[Vertex 2]],GroupVertices[Vertex],0)),1,1,"")</f>
        <v>3</v>
      </c>
      <c r="BM219" s="49">
        <v>0</v>
      </c>
      <c r="BN219" s="50">
        <v>0</v>
      </c>
      <c r="BO219" s="49">
        <v>1</v>
      </c>
      <c r="BP219" s="50">
        <v>7.1428571428571432</v>
      </c>
      <c r="BQ219" s="49">
        <v>0</v>
      </c>
      <c r="BR219" s="50">
        <v>0</v>
      </c>
      <c r="BS219" s="49">
        <v>9</v>
      </c>
      <c r="BT219" s="50">
        <v>64.285714285714292</v>
      </c>
      <c r="BU219" s="49">
        <v>14</v>
      </c>
    </row>
    <row r="220" spans="1:73" x14ac:dyDescent="0.25">
      <c r="A220" s="65" t="s">
        <v>268</v>
      </c>
      <c r="B220" s="65" t="s">
        <v>249</v>
      </c>
      <c r="C220" s="66" t="s">
        <v>10075</v>
      </c>
      <c r="D220" s="67">
        <v>10</v>
      </c>
      <c r="E220" s="68" t="s">
        <v>132</v>
      </c>
      <c r="F220" s="69">
        <v>12</v>
      </c>
      <c r="G220" s="66"/>
      <c r="H220" s="70"/>
      <c r="I220" s="71"/>
      <c r="J220" s="71"/>
      <c r="K220" s="35" t="s">
        <v>66</v>
      </c>
      <c r="L220" s="79">
        <v>220</v>
      </c>
      <c r="M220" s="79"/>
      <c r="N220" s="73"/>
      <c r="O220" s="81" t="s">
        <v>366</v>
      </c>
      <c r="P220" s="83">
        <v>45229.644247685188</v>
      </c>
      <c r="Q220" s="81" t="s">
        <v>405</v>
      </c>
      <c r="R220" s="81">
        <v>1</v>
      </c>
      <c r="S220" s="81">
        <v>0</v>
      </c>
      <c r="T220" s="81">
        <v>0</v>
      </c>
      <c r="U220" s="81">
        <v>0</v>
      </c>
      <c r="V220" s="81"/>
      <c r="W220" s="81"/>
      <c r="X220" s="81"/>
      <c r="Y220" s="81"/>
      <c r="Z220" s="81" t="s">
        <v>535</v>
      </c>
      <c r="AA220" s="81"/>
      <c r="AB220" s="81"/>
      <c r="AC220" s="84" t="s">
        <v>582</v>
      </c>
      <c r="AD220" s="81" t="s">
        <v>588</v>
      </c>
      <c r="AE220" s="86" t="str">
        <f>HYPERLINK("https://twitter.com/aejmc/status/1719013216028676245")</f>
        <v>https://twitter.com/aejmc/status/1719013216028676245</v>
      </c>
      <c r="AF220" s="83">
        <v>45229.644247685188</v>
      </c>
      <c r="AG220" s="89">
        <v>45229</v>
      </c>
      <c r="AH220" s="84" t="s">
        <v>630</v>
      </c>
      <c r="AI220" s="81"/>
      <c r="AJ220" s="81"/>
      <c r="AK220" s="81"/>
      <c r="AL220" s="81"/>
      <c r="AM220" s="81"/>
      <c r="AN220" s="81"/>
      <c r="AO220" s="81"/>
      <c r="AP220" s="81"/>
      <c r="AQ220" s="81"/>
      <c r="AR220" s="81"/>
      <c r="AS220" s="81"/>
      <c r="AT220" s="81"/>
      <c r="AU220" s="81"/>
      <c r="AV220" s="86" t="str">
        <f>HYPERLINK("https://pbs.twimg.com/profile_images/1559584982439444482/vOVkFGh3_normal.png")</f>
        <v>https://pbs.twimg.com/profile_images/1559584982439444482/vOVkFGh3_normal.png</v>
      </c>
      <c r="AW220" s="84" t="s">
        <v>784</v>
      </c>
      <c r="AX220" s="84" t="s">
        <v>784</v>
      </c>
      <c r="AY220" s="81"/>
      <c r="AZ220" s="84" t="s">
        <v>879</v>
      </c>
      <c r="BA220" s="84" t="s">
        <v>879</v>
      </c>
      <c r="BB220" s="84" t="s">
        <v>753</v>
      </c>
      <c r="BC220" s="84" t="s">
        <v>753</v>
      </c>
      <c r="BD220" s="81">
        <v>8442592</v>
      </c>
      <c r="BE220" s="81"/>
      <c r="BF220" s="81"/>
      <c r="BG220" s="81"/>
      <c r="BH220" s="81"/>
      <c r="BI220" s="81"/>
      <c r="BJ220">
        <v>5</v>
      </c>
      <c r="BK220" s="80" t="str">
        <f>REPLACE(INDEX(GroupVertices[Group], MATCH("~"&amp;Edges[[#This Row],[Vertex 1]],GroupVertices[Vertex],0)),1,1,"")</f>
        <v>1</v>
      </c>
      <c r="BL220" s="80" t="str">
        <f>REPLACE(INDEX(GroupVertices[Group], MATCH("~"&amp;Edges[[#This Row],[Vertex 2]],GroupVertices[Vertex],0)),1,1,"")</f>
        <v>3</v>
      </c>
      <c r="BM220" s="49"/>
      <c r="BN220" s="50"/>
      <c r="BO220" s="49"/>
      <c r="BP220" s="50"/>
      <c r="BQ220" s="49"/>
      <c r="BR220" s="50"/>
      <c r="BS220" s="49"/>
      <c r="BT220" s="50"/>
      <c r="BU220" s="49"/>
    </row>
    <row r="221" spans="1:73" x14ac:dyDescent="0.25">
      <c r="A221" s="65" t="s">
        <v>268</v>
      </c>
      <c r="B221" s="65" t="s">
        <v>249</v>
      </c>
      <c r="C221" s="66" t="s">
        <v>10075</v>
      </c>
      <c r="D221" s="67">
        <v>10</v>
      </c>
      <c r="E221" s="68" t="s">
        <v>136</v>
      </c>
      <c r="F221" s="69">
        <v>12</v>
      </c>
      <c r="G221" s="66"/>
      <c r="H221" s="70"/>
      <c r="I221" s="71"/>
      <c r="J221" s="71"/>
      <c r="K221" s="35" t="s">
        <v>66</v>
      </c>
      <c r="L221" s="79">
        <v>221</v>
      </c>
      <c r="M221" s="79"/>
      <c r="N221" s="73"/>
      <c r="O221" s="81" t="s">
        <v>365</v>
      </c>
      <c r="P221" s="83">
        <v>45229.644247685188</v>
      </c>
      <c r="Q221" s="81" t="s">
        <v>405</v>
      </c>
      <c r="R221" s="81">
        <v>1</v>
      </c>
      <c r="S221" s="81">
        <v>0</v>
      </c>
      <c r="T221" s="81">
        <v>0</v>
      </c>
      <c r="U221" s="81">
        <v>0</v>
      </c>
      <c r="V221" s="81"/>
      <c r="W221" s="81"/>
      <c r="X221" s="81"/>
      <c r="Y221" s="81"/>
      <c r="Z221" s="81" t="s">
        <v>535</v>
      </c>
      <c r="AA221" s="81"/>
      <c r="AB221" s="81"/>
      <c r="AC221" s="84" t="s">
        <v>582</v>
      </c>
      <c r="AD221" s="81" t="s">
        <v>588</v>
      </c>
      <c r="AE221" s="86" t="str">
        <f>HYPERLINK("https://twitter.com/aejmc/status/1719013216028676245")</f>
        <v>https://twitter.com/aejmc/status/1719013216028676245</v>
      </c>
      <c r="AF221" s="83">
        <v>45229.644247685188</v>
      </c>
      <c r="AG221" s="89">
        <v>45229</v>
      </c>
      <c r="AH221" s="84" t="s">
        <v>630</v>
      </c>
      <c r="AI221" s="81"/>
      <c r="AJ221" s="81"/>
      <c r="AK221" s="81"/>
      <c r="AL221" s="81"/>
      <c r="AM221" s="81"/>
      <c r="AN221" s="81"/>
      <c r="AO221" s="81"/>
      <c r="AP221" s="81"/>
      <c r="AQ221" s="81"/>
      <c r="AR221" s="81"/>
      <c r="AS221" s="81"/>
      <c r="AT221" s="81"/>
      <c r="AU221" s="81"/>
      <c r="AV221" s="86" t="str">
        <f>HYPERLINK("https://pbs.twimg.com/profile_images/1559584982439444482/vOVkFGh3_normal.png")</f>
        <v>https://pbs.twimg.com/profile_images/1559584982439444482/vOVkFGh3_normal.png</v>
      </c>
      <c r="AW221" s="84" t="s">
        <v>784</v>
      </c>
      <c r="AX221" s="84" t="s">
        <v>784</v>
      </c>
      <c r="AY221" s="81"/>
      <c r="AZ221" s="84" t="s">
        <v>879</v>
      </c>
      <c r="BA221" s="84" t="s">
        <v>879</v>
      </c>
      <c r="BB221" s="84" t="s">
        <v>753</v>
      </c>
      <c r="BC221" s="84" t="s">
        <v>753</v>
      </c>
      <c r="BD221" s="81">
        <v>8442592</v>
      </c>
      <c r="BE221" s="81"/>
      <c r="BF221" s="81"/>
      <c r="BG221" s="81"/>
      <c r="BH221" s="81"/>
      <c r="BI221" s="81"/>
      <c r="BJ221">
        <v>7</v>
      </c>
      <c r="BK221" s="80" t="str">
        <f>REPLACE(INDEX(GroupVertices[Group], MATCH("~"&amp;Edges[[#This Row],[Vertex 1]],GroupVertices[Vertex],0)),1,1,"")</f>
        <v>1</v>
      </c>
      <c r="BL221" s="80" t="str">
        <f>REPLACE(INDEX(GroupVertices[Group], MATCH("~"&amp;Edges[[#This Row],[Vertex 2]],GroupVertices[Vertex],0)),1,1,"")</f>
        <v>3</v>
      </c>
      <c r="BM221" s="49"/>
      <c r="BN221" s="50"/>
      <c r="BO221" s="49"/>
      <c r="BP221" s="50"/>
      <c r="BQ221" s="49"/>
      <c r="BR221" s="50"/>
      <c r="BS221" s="49"/>
      <c r="BT221" s="50"/>
      <c r="BU221" s="49"/>
    </row>
    <row r="222" spans="1:73" x14ac:dyDescent="0.25">
      <c r="A222" s="65" t="s">
        <v>268</v>
      </c>
      <c r="B222" s="65" t="s">
        <v>249</v>
      </c>
      <c r="C222" s="66" t="s">
        <v>10073</v>
      </c>
      <c r="D222" s="67">
        <v>3</v>
      </c>
      <c r="E222" s="68" t="s">
        <v>132</v>
      </c>
      <c r="F222" s="69">
        <v>35</v>
      </c>
      <c r="G222" s="66"/>
      <c r="H222" s="70"/>
      <c r="I222" s="71"/>
      <c r="J222" s="71"/>
      <c r="K222" s="35" t="s">
        <v>66</v>
      </c>
      <c r="L222" s="79">
        <v>222</v>
      </c>
      <c r="M222" s="79"/>
      <c r="N222" s="73"/>
      <c r="O222" s="81" t="s">
        <v>369</v>
      </c>
      <c r="P222" s="83">
        <v>45233.740937499999</v>
      </c>
      <c r="Q222" s="81" t="s">
        <v>408</v>
      </c>
      <c r="R222" s="81">
        <v>0</v>
      </c>
      <c r="S222" s="81">
        <v>2</v>
      </c>
      <c r="T222" s="81">
        <v>0</v>
      </c>
      <c r="U222" s="81">
        <v>0</v>
      </c>
      <c r="V222" s="81">
        <v>80</v>
      </c>
      <c r="W222" s="81"/>
      <c r="X222" s="81"/>
      <c r="Y222" s="81"/>
      <c r="Z222" s="81" t="s">
        <v>536</v>
      </c>
      <c r="AA222" s="81"/>
      <c r="AB222" s="81"/>
      <c r="AC222" s="84" t="s">
        <v>582</v>
      </c>
      <c r="AD222" s="81" t="s">
        <v>589</v>
      </c>
      <c r="AE222" s="86" t="str">
        <f>HYPERLINK("https://twitter.com/aejmc/status/1720497808719942028")</f>
        <v>https://twitter.com/aejmc/status/1720497808719942028</v>
      </c>
      <c r="AF222" s="83">
        <v>45233.740937499999</v>
      </c>
      <c r="AG222" s="89">
        <v>45233</v>
      </c>
      <c r="AH222" s="84" t="s">
        <v>633</v>
      </c>
      <c r="AI222" s="81"/>
      <c r="AJ222" s="81"/>
      <c r="AK222" s="81"/>
      <c r="AL222" s="81"/>
      <c r="AM222" s="81"/>
      <c r="AN222" s="81"/>
      <c r="AO222" s="81"/>
      <c r="AP222" s="81"/>
      <c r="AQ222" s="81"/>
      <c r="AR222" s="81"/>
      <c r="AS222" s="81"/>
      <c r="AT222" s="81"/>
      <c r="AU222" s="81"/>
      <c r="AV222" s="86" t="str">
        <f>HYPERLINK("https://pbs.twimg.com/profile_images/1559584982439444482/vOVkFGh3_normal.png")</f>
        <v>https://pbs.twimg.com/profile_images/1559584982439444482/vOVkFGh3_normal.png</v>
      </c>
      <c r="AW222" s="84" t="s">
        <v>787</v>
      </c>
      <c r="AX222" s="84" t="s">
        <v>786</v>
      </c>
      <c r="AY222" s="84" t="s">
        <v>876</v>
      </c>
      <c r="AZ222" s="84" t="s">
        <v>786</v>
      </c>
      <c r="BA222" s="84" t="s">
        <v>879</v>
      </c>
      <c r="BB222" s="84" t="s">
        <v>879</v>
      </c>
      <c r="BC222" s="84" t="s">
        <v>786</v>
      </c>
      <c r="BD222" s="81">
        <v>8442592</v>
      </c>
      <c r="BE222" s="81"/>
      <c r="BF222" s="81"/>
      <c r="BG222" s="81"/>
      <c r="BH222" s="81"/>
      <c r="BI222" s="81"/>
      <c r="BJ222">
        <v>1</v>
      </c>
      <c r="BK222" s="80" t="str">
        <f>REPLACE(INDEX(GroupVertices[Group], MATCH("~"&amp;Edges[[#This Row],[Vertex 1]],GroupVertices[Vertex],0)),1,1,"")</f>
        <v>1</v>
      </c>
      <c r="BL222" s="80" t="str">
        <f>REPLACE(INDEX(GroupVertices[Group], MATCH("~"&amp;Edges[[#This Row],[Vertex 2]],GroupVertices[Vertex],0)),1,1,"")</f>
        <v>3</v>
      </c>
      <c r="BM222" s="49"/>
      <c r="BN222" s="50"/>
      <c r="BO222" s="49"/>
      <c r="BP222" s="50"/>
      <c r="BQ222" s="49"/>
      <c r="BR222" s="50"/>
      <c r="BS222" s="49"/>
      <c r="BT222" s="50"/>
      <c r="BU222" s="49"/>
    </row>
    <row r="223" spans="1:73" x14ac:dyDescent="0.25">
      <c r="A223" s="65" t="s">
        <v>268</v>
      </c>
      <c r="B223" s="65" t="s">
        <v>249</v>
      </c>
      <c r="C223" s="66" t="s">
        <v>10075</v>
      </c>
      <c r="D223" s="67">
        <v>10</v>
      </c>
      <c r="E223" s="68" t="s">
        <v>132</v>
      </c>
      <c r="F223" s="69">
        <v>12</v>
      </c>
      <c r="G223" s="66"/>
      <c r="H223" s="70"/>
      <c r="I223" s="71"/>
      <c r="J223" s="71"/>
      <c r="K223" s="35" t="s">
        <v>66</v>
      </c>
      <c r="L223" s="79">
        <v>223</v>
      </c>
      <c r="M223" s="79"/>
      <c r="N223" s="73"/>
      <c r="O223" s="81" t="s">
        <v>366</v>
      </c>
      <c r="P223" s="83">
        <v>45233.544074074074</v>
      </c>
      <c r="Q223" s="81" t="s">
        <v>373</v>
      </c>
      <c r="R223" s="81">
        <v>4</v>
      </c>
      <c r="S223" s="81">
        <v>0</v>
      </c>
      <c r="T223" s="81">
        <v>0</v>
      </c>
      <c r="U223" s="81">
        <v>0</v>
      </c>
      <c r="V223" s="81"/>
      <c r="W223" s="81"/>
      <c r="X223" s="81"/>
      <c r="Y223" s="81"/>
      <c r="Z223" s="81" t="s">
        <v>518</v>
      </c>
      <c r="AA223" s="81"/>
      <c r="AB223" s="81"/>
      <c r="AC223" s="84" t="s">
        <v>582</v>
      </c>
      <c r="AD223" s="81" t="s">
        <v>588</v>
      </c>
      <c r="AE223" s="86" t="str">
        <f>HYPERLINK("https://twitter.com/aejmc/status/1720426469137043715")</f>
        <v>https://twitter.com/aejmc/status/1720426469137043715</v>
      </c>
      <c r="AF223" s="83">
        <v>45233.544074074074</v>
      </c>
      <c r="AG223" s="89">
        <v>45233</v>
      </c>
      <c r="AH223" s="84" t="s">
        <v>655</v>
      </c>
      <c r="AI223" s="81" t="b">
        <v>0</v>
      </c>
      <c r="AJ223" s="81"/>
      <c r="AK223" s="81"/>
      <c r="AL223" s="81"/>
      <c r="AM223" s="81"/>
      <c r="AN223" s="81"/>
      <c r="AO223" s="81"/>
      <c r="AP223" s="81"/>
      <c r="AQ223" s="81"/>
      <c r="AR223" s="81"/>
      <c r="AS223" s="81"/>
      <c r="AT223" s="81"/>
      <c r="AU223" s="81"/>
      <c r="AV223" s="86" t="str">
        <f>HYPERLINK("https://pbs.twimg.com/profile_images/1559584982439444482/vOVkFGh3_normal.png")</f>
        <v>https://pbs.twimg.com/profile_images/1559584982439444482/vOVkFGh3_normal.png</v>
      </c>
      <c r="AW223" s="84" t="s">
        <v>809</v>
      </c>
      <c r="AX223" s="84" t="s">
        <v>809</v>
      </c>
      <c r="AY223" s="81"/>
      <c r="AZ223" s="84" t="s">
        <v>879</v>
      </c>
      <c r="BA223" s="84" t="s">
        <v>879</v>
      </c>
      <c r="BB223" s="84" t="s">
        <v>801</v>
      </c>
      <c r="BC223" s="84" t="s">
        <v>801</v>
      </c>
      <c r="BD223" s="81">
        <v>8442592</v>
      </c>
      <c r="BE223" s="81"/>
      <c r="BF223" s="81"/>
      <c r="BG223" s="81"/>
      <c r="BH223" s="81"/>
      <c r="BI223" s="81"/>
      <c r="BJ223">
        <v>5</v>
      </c>
      <c r="BK223" s="80" t="str">
        <f>REPLACE(INDEX(GroupVertices[Group], MATCH("~"&amp;Edges[[#This Row],[Vertex 1]],GroupVertices[Vertex],0)),1,1,"")</f>
        <v>1</v>
      </c>
      <c r="BL223" s="80" t="str">
        <f>REPLACE(INDEX(GroupVertices[Group], MATCH("~"&amp;Edges[[#This Row],[Vertex 2]],GroupVertices[Vertex],0)),1,1,"")</f>
        <v>3</v>
      </c>
      <c r="BM223" s="49"/>
      <c r="BN223" s="50"/>
      <c r="BO223" s="49"/>
      <c r="BP223" s="50"/>
      <c r="BQ223" s="49"/>
      <c r="BR223" s="50"/>
      <c r="BS223" s="49"/>
      <c r="BT223" s="50"/>
      <c r="BU223" s="49"/>
    </row>
    <row r="224" spans="1:73" x14ac:dyDescent="0.25">
      <c r="A224" s="65" t="s">
        <v>268</v>
      </c>
      <c r="B224" s="65" t="s">
        <v>249</v>
      </c>
      <c r="C224" s="66" t="s">
        <v>10075</v>
      </c>
      <c r="D224" s="67">
        <v>10</v>
      </c>
      <c r="E224" s="68" t="s">
        <v>136</v>
      </c>
      <c r="F224" s="69">
        <v>12</v>
      </c>
      <c r="G224" s="66"/>
      <c r="H224" s="70"/>
      <c r="I224" s="71"/>
      <c r="J224" s="71"/>
      <c r="K224" s="35" t="s">
        <v>66</v>
      </c>
      <c r="L224" s="79">
        <v>224</v>
      </c>
      <c r="M224" s="79"/>
      <c r="N224" s="73"/>
      <c r="O224" s="81" t="s">
        <v>365</v>
      </c>
      <c r="P224" s="83">
        <v>45233.544074074074</v>
      </c>
      <c r="Q224" s="81" t="s">
        <v>373</v>
      </c>
      <c r="R224" s="81">
        <v>4</v>
      </c>
      <c r="S224" s="81">
        <v>0</v>
      </c>
      <c r="T224" s="81">
        <v>0</v>
      </c>
      <c r="U224" s="81">
        <v>0</v>
      </c>
      <c r="V224" s="81"/>
      <c r="W224" s="81"/>
      <c r="X224" s="81"/>
      <c r="Y224" s="81"/>
      <c r="Z224" s="81" t="s">
        <v>518</v>
      </c>
      <c r="AA224" s="81"/>
      <c r="AB224" s="81"/>
      <c r="AC224" s="84" t="s">
        <v>582</v>
      </c>
      <c r="AD224" s="81" t="s">
        <v>588</v>
      </c>
      <c r="AE224" s="86" t="str">
        <f>HYPERLINK("https://twitter.com/aejmc/status/1720426469137043715")</f>
        <v>https://twitter.com/aejmc/status/1720426469137043715</v>
      </c>
      <c r="AF224" s="83">
        <v>45233.544074074074</v>
      </c>
      <c r="AG224" s="89">
        <v>45233</v>
      </c>
      <c r="AH224" s="84" t="s">
        <v>655</v>
      </c>
      <c r="AI224" s="81" t="b">
        <v>0</v>
      </c>
      <c r="AJ224" s="81"/>
      <c r="AK224" s="81"/>
      <c r="AL224" s="81"/>
      <c r="AM224" s="81"/>
      <c r="AN224" s="81"/>
      <c r="AO224" s="81"/>
      <c r="AP224" s="81"/>
      <c r="AQ224" s="81"/>
      <c r="AR224" s="81"/>
      <c r="AS224" s="81"/>
      <c r="AT224" s="81"/>
      <c r="AU224" s="81"/>
      <c r="AV224" s="86" t="str">
        <f>HYPERLINK("https://pbs.twimg.com/profile_images/1559584982439444482/vOVkFGh3_normal.png")</f>
        <v>https://pbs.twimg.com/profile_images/1559584982439444482/vOVkFGh3_normal.png</v>
      </c>
      <c r="AW224" s="84" t="s">
        <v>809</v>
      </c>
      <c r="AX224" s="84" t="s">
        <v>809</v>
      </c>
      <c r="AY224" s="81"/>
      <c r="AZ224" s="84" t="s">
        <v>879</v>
      </c>
      <c r="BA224" s="84" t="s">
        <v>879</v>
      </c>
      <c r="BB224" s="84" t="s">
        <v>801</v>
      </c>
      <c r="BC224" s="84" t="s">
        <v>801</v>
      </c>
      <c r="BD224" s="81">
        <v>8442592</v>
      </c>
      <c r="BE224" s="81"/>
      <c r="BF224" s="81"/>
      <c r="BG224" s="81"/>
      <c r="BH224" s="81"/>
      <c r="BI224" s="81"/>
      <c r="BJ224">
        <v>7</v>
      </c>
      <c r="BK224" s="80" t="str">
        <f>REPLACE(INDEX(GroupVertices[Group], MATCH("~"&amp;Edges[[#This Row],[Vertex 1]],GroupVertices[Vertex],0)),1,1,"")</f>
        <v>1</v>
      </c>
      <c r="BL224" s="80" t="str">
        <f>REPLACE(INDEX(GroupVertices[Group], MATCH("~"&amp;Edges[[#This Row],[Vertex 2]],GroupVertices[Vertex],0)),1,1,"")</f>
        <v>3</v>
      </c>
      <c r="BM224" s="49">
        <v>2</v>
      </c>
      <c r="BN224" s="50">
        <v>9.5238095238095237</v>
      </c>
      <c r="BO224" s="49">
        <v>0</v>
      </c>
      <c r="BP224" s="50">
        <v>0</v>
      </c>
      <c r="BQ224" s="49">
        <v>0</v>
      </c>
      <c r="BR224" s="50">
        <v>0</v>
      </c>
      <c r="BS224" s="49">
        <v>11</v>
      </c>
      <c r="BT224" s="50">
        <v>52.38095238095238</v>
      </c>
      <c r="BU224" s="49">
        <v>21</v>
      </c>
    </row>
    <row r="225" spans="1:73" x14ac:dyDescent="0.25">
      <c r="A225" s="65" t="s">
        <v>268</v>
      </c>
      <c r="B225" s="65" t="s">
        <v>249</v>
      </c>
      <c r="C225" s="66" t="s">
        <v>10075</v>
      </c>
      <c r="D225" s="67">
        <v>10</v>
      </c>
      <c r="E225" s="68" t="s">
        <v>136</v>
      </c>
      <c r="F225" s="69">
        <v>12</v>
      </c>
      <c r="G225" s="66"/>
      <c r="H225" s="70"/>
      <c r="I225" s="71"/>
      <c r="J225" s="71"/>
      <c r="K225" s="35" t="s">
        <v>66</v>
      </c>
      <c r="L225" s="79">
        <v>225</v>
      </c>
      <c r="M225" s="79"/>
      <c r="N225" s="73"/>
      <c r="O225" s="81" t="s">
        <v>365</v>
      </c>
      <c r="P225" s="83">
        <v>45233.544027777774</v>
      </c>
      <c r="Q225" s="81" t="s">
        <v>374</v>
      </c>
      <c r="R225" s="81">
        <v>4</v>
      </c>
      <c r="S225" s="81">
        <v>0</v>
      </c>
      <c r="T225" s="81">
        <v>0</v>
      </c>
      <c r="U225" s="81">
        <v>0</v>
      </c>
      <c r="V225" s="81"/>
      <c r="W225" s="84" t="s">
        <v>470</v>
      </c>
      <c r="X225" s="81"/>
      <c r="Y225" s="81"/>
      <c r="Z225" s="81" t="s">
        <v>249</v>
      </c>
      <c r="AA225" s="81"/>
      <c r="AB225" s="81"/>
      <c r="AC225" s="84" t="s">
        <v>582</v>
      </c>
      <c r="AD225" s="81" t="s">
        <v>588</v>
      </c>
      <c r="AE225" s="86" t="str">
        <f>HYPERLINK("https://twitter.com/aejmc/status/1720426451046891612")</f>
        <v>https://twitter.com/aejmc/status/1720426451046891612</v>
      </c>
      <c r="AF225" s="83">
        <v>45233.544027777774</v>
      </c>
      <c r="AG225" s="89">
        <v>45233</v>
      </c>
      <c r="AH225" s="84" t="s">
        <v>692</v>
      </c>
      <c r="AI225" s="81"/>
      <c r="AJ225" s="81"/>
      <c r="AK225" s="81"/>
      <c r="AL225" s="81"/>
      <c r="AM225" s="81"/>
      <c r="AN225" s="81"/>
      <c r="AO225" s="81"/>
      <c r="AP225" s="81"/>
      <c r="AQ225" s="81"/>
      <c r="AR225" s="81"/>
      <c r="AS225" s="81"/>
      <c r="AT225" s="81"/>
      <c r="AU225" s="81"/>
      <c r="AV225" s="86" t="str">
        <f>HYPERLINK("https://pbs.twimg.com/profile_images/1559584982439444482/vOVkFGh3_normal.png")</f>
        <v>https://pbs.twimg.com/profile_images/1559584982439444482/vOVkFGh3_normal.png</v>
      </c>
      <c r="AW225" s="84" t="s">
        <v>846</v>
      </c>
      <c r="AX225" s="84" t="s">
        <v>846</v>
      </c>
      <c r="AY225" s="81"/>
      <c r="AZ225" s="84" t="s">
        <v>879</v>
      </c>
      <c r="BA225" s="84" t="s">
        <v>879</v>
      </c>
      <c r="BB225" s="84" t="s">
        <v>754</v>
      </c>
      <c r="BC225" s="84" t="s">
        <v>754</v>
      </c>
      <c r="BD225" s="81">
        <v>8442592</v>
      </c>
      <c r="BE225" s="81"/>
      <c r="BF225" s="81"/>
      <c r="BG225" s="81"/>
      <c r="BH225" s="81"/>
      <c r="BI225" s="81"/>
      <c r="BJ225">
        <v>7</v>
      </c>
      <c r="BK225" s="80" t="str">
        <f>REPLACE(INDEX(GroupVertices[Group], MATCH("~"&amp;Edges[[#This Row],[Vertex 1]],GroupVertices[Vertex],0)),1,1,"")</f>
        <v>1</v>
      </c>
      <c r="BL225" s="80" t="str">
        <f>REPLACE(INDEX(GroupVertices[Group], MATCH("~"&amp;Edges[[#This Row],[Vertex 2]],GroupVertices[Vertex],0)),1,1,"")</f>
        <v>3</v>
      </c>
      <c r="BM225" s="49">
        <v>3</v>
      </c>
      <c r="BN225" s="50">
        <v>12.5</v>
      </c>
      <c r="BO225" s="49">
        <v>0</v>
      </c>
      <c r="BP225" s="50">
        <v>0</v>
      </c>
      <c r="BQ225" s="49">
        <v>0</v>
      </c>
      <c r="BR225" s="50">
        <v>0</v>
      </c>
      <c r="BS225" s="49">
        <v>9</v>
      </c>
      <c r="BT225" s="50">
        <v>37.5</v>
      </c>
      <c r="BU225" s="49">
        <v>24</v>
      </c>
    </row>
    <row r="226" spans="1:73" x14ac:dyDescent="0.25">
      <c r="A226" s="65" t="s">
        <v>268</v>
      </c>
      <c r="B226" s="65" t="s">
        <v>249</v>
      </c>
      <c r="C226" s="66" t="s">
        <v>10075</v>
      </c>
      <c r="D226" s="67">
        <v>10</v>
      </c>
      <c r="E226" s="68" t="s">
        <v>136</v>
      </c>
      <c r="F226" s="69">
        <v>12</v>
      </c>
      <c r="G226" s="66"/>
      <c r="H226" s="70"/>
      <c r="I226" s="71"/>
      <c r="J226" s="71"/>
      <c r="K226" s="35" t="s">
        <v>66</v>
      </c>
      <c r="L226" s="79">
        <v>226</v>
      </c>
      <c r="M226" s="79"/>
      <c r="N226" s="73"/>
      <c r="O226" s="81" t="s">
        <v>365</v>
      </c>
      <c r="P226" s="83">
        <v>45231.677418981482</v>
      </c>
      <c r="Q226" s="81" t="s">
        <v>424</v>
      </c>
      <c r="R226" s="81">
        <v>4</v>
      </c>
      <c r="S226" s="81">
        <v>0</v>
      </c>
      <c r="T226" s="81">
        <v>0</v>
      </c>
      <c r="U226" s="81">
        <v>0</v>
      </c>
      <c r="V226" s="81"/>
      <c r="W226" s="84" t="s">
        <v>488</v>
      </c>
      <c r="X226" s="81"/>
      <c r="Y226" s="81"/>
      <c r="Z226" s="81" t="s">
        <v>249</v>
      </c>
      <c r="AA226" s="81"/>
      <c r="AB226" s="81"/>
      <c r="AC226" s="84" t="s">
        <v>582</v>
      </c>
      <c r="AD226" s="81" t="s">
        <v>588</v>
      </c>
      <c r="AE226" s="86" t="str">
        <f>HYPERLINK("https://twitter.com/aejmc/status/1719750016036634739")</f>
        <v>https://twitter.com/aejmc/status/1719750016036634739</v>
      </c>
      <c r="AF226" s="83">
        <v>45231.677418981482</v>
      </c>
      <c r="AG226" s="89">
        <v>45231</v>
      </c>
      <c r="AH226" s="84" t="s">
        <v>693</v>
      </c>
      <c r="AI226" s="81" t="b">
        <v>0</v>
      </c>
      <c r="AJ226" s="81"/>
      <c r="AK226" s="81"/>
      <c r="AL226" s="81"/>
      <c r="AM226" s="81"/>
      <c r="AN226" s="81"/>
      <c r="AO226" s="81"/>
      <c r="AP226" s="81"/>
      <c r="AQ226" s="81"/>
      <c r="AR226" s="81"/>
      <c r="AS226" s="81"/>
      <c r="AT226" s="81"/>
      <c r="AU226" s="81"/>
      <c r="AV226" s="86" t="str">
        <f>HYPERLINK("https://pbs.twimg.com/profile_images/1559584982439444482/vOVkFGh3_normal.png")</f>
        <v>https://pbs.twimg.com/profile_images/1559584982439444482/vOVkFGh3_normal.png</v>
      </c>
      <c r="AW226" s="84" t="s">
        <v>847</v>
      </c>
      <c r="AX226" s="84" t="s">
        <v>847</v>
      </c>
      <c r="AY226" s="81"/>
      <c r="AZ226" s="84" t="s">
        <v>879</v>
      </c>
      <c r="BA226" s="84" t="s">
        <v>879</v>
      </c>
      <c r="BB226" s="84" t="s">
        <v>845</v>
      </c>
      <c r="BC226" s="84" t="s">
        <v>845</v>
      </c>
      <c r="BD226" s="81">
        <v>8442592</v>
      </c>
      <c r="BE226" s="81"/>
      <c r="BF226" s="81"/>
      <c r="BG226" s="81"/>
      <c r="BH226" s="81"/>
      <c r="BI226" s="81"/>
      <c r="BJ226">
        <v>7</v>
      </c>
      <c r="BK226" s="80" t="str">
        <f>REPLACE(INDEX(GroupVertices[Group], MATCH("~"&amp;Edges[[#This Row],[Vertex 1]],GroupVertices[Vertex],0)),1,1,"")</f>
        <v>1</v>
      </c>
      <c r="BL226" s="80" t="str">
        <f>REPLACE(INDEX(GroupVertices[Group], MATCH("~"&amp;Edges[[#This Row],[Vertex 2]],GroupVertices[Vertex],0)),1,1,"")</f>
        <v>3</v>
      </c>
      <c r="BM226" s="49">
        <v>2</v>
      </c>
      <c r="BN226" s="50">
        <v>11.111111111111111</v>
      </c>
      <c r="BO226" s="49">
        <v>1</v>
      </c>
      <c r="BP226" s="50">
        <v>5.5555555555555554</v>
      </c>
      <c r="BQ226" s="49">
        <v>0</v>
      </c>
      <c r="BR226" s="50">
        <v>0</v>
      </c>
      <c r="BS226" s="49">
        <v>8</v>
      </c>
      <c r="BT226" s="50">
        <v>44.444444444444443</v>
      </c>
      <c r="BU226" s="49">
        <v>18</v>
      </c>
    </row>
    <row r="227" spans="1:73" x14ac:dyDescent="0.25">
      <c r="A227" s="65" t="s">
        <v>294</v>
      </c>
      <c r="B227" s="65" t="s">
        <v>249</v>
      </c>
      <c r="C227" s="66" t="s">
        <v>10073</v>
      </c>
      <c r="D227" s="67">
        <v>3</v>
      </c>
      <c r="E227" s="68" t="s">
        <v>132</v>
      </c>
      <c r="F227" s="69">
        <v>35</v>
      </c>
      <c r="G227" s="66"/>
      <c r="H227" s="70"/>
      <c r="I227" s="71"/>
      <c r="J227" s="71"/>
      <c r="K227" s="35" t="s">
        <v>66</v>
      </c>
      <c r="L227" s="79">
        <v>227</v>
      </c>
      <c r="M227" s="79"/>
      <c r="N227" s="73"/>
      <c r="O227" s="81" t="s">
        <v>365</v>
      </c>
      <c r="P227" s="83">
        <v>45233.590439814812</v>
      </c>
      <c r="Q227" s="81" t="s">
        <v>374</v>
      </c>
      <c r="R227" s="81">
        <v>4</v>
      </c>
      <c r="S227" s="81">
        <v>0</v>
      </c>
      <c r="T227" s="81">
        <v>0</v>
      </c>
      <c r="U227" s="81">
        <v>0</v>
      </c>
      <c r="V227" s="81"/>
      <c r="W227" s="84" t="s">
        <v>470</v>
      </c>
      <c r="X227" s="81"/>
      <c r="Y227" s="81"/>
      <c r="Z227" s="81" t="s">
        <v>249</v>
      </c>
      <c r="AA227" s="81"/>
      <c r="AB227" s="81"/>
      <c r="AC227" s="84" t="s">
        <v>582</v>
      </c>
      <c r="AD227" s="81" t="s">
        <v>588</v>
      </c>
      <c r="AE227" s="86" t="str">
        <f>HYPERLINK("https://twitter.com/aejmc_polcomm/status/1720443268767342998")</f>
        <v>https://twitter.com/aejmc_polcomm/status/1720443268767342998</v>
      </c>
      <c r="AF227" s="83">
        <v>45233.590439814812</v>
      </c>
      <c r="AG227" s="89">
        <v>45233</v>
      </c>
      <c r="AH227" s="84" t="s">
        <v>694</v>
      </c>
      <c r="AI227" s="81"/>
      <c r="AJ227" s="81"/>
      <c r="AK227" s="81"/>
      <c r="AL227" s="81"/>
      <c r="AM227" s="81"/>
      <c r="AN227" s="81"/>
      <c r="AO227" s="81"/>
      <c r="AP227" s="81"/>
      <c r="AQ227" s="81"/>
      <c r="AR227" s="81"/>
      <c r="AS227" s="81"/>
      <c r="AT227" s="81"/>
      <c r="AU227" s="81"/>
      <c r="AV227" s="86" t="str">
        <f>HYPERLINK("https://pbs.twimg.com/profile_images/1161687454635700227/2U3mrkeY_normal.png")</f>
        <v>https://pbs.twimg.com/profile_images/1161687454635700227/2U3mrkeY_normal.png</v>
      </c>
      <c r="AW227" s="84" t="s">
        <v>848</v>
      </c>
      <c r="AX227" s="84" t="s">
        <v>848</v>
      </c>
      <c r="AY227" s="81"/>
      <c r="AZ227" s="84" t="s">
        <v>879</v>
      </c>
      <c r="BA227" s="84" t="s">
        <v>879</v>
      </c>
      <c r="BB227" s="84" t="s">
        <v>754</v>
      </c>
      <c r="BC227" s="84" t="s">
        <v>754</v>
      </c>
      <c r="BD227" s="81">
        <v>382407937</v>
      </c>
      <c r="BE227" s="81"/>
      <c r="BF227" s="81"/>
      <c r="BG227" s="81"/>
      <c r="BH227" s="81"/>
      <c r="BI227" s="81"/>
      <c r="BJ227">
        <v>1</v>
      </c>
      <c r="BK227" s="80" t="str">
        <f>REPLACE(INDEX(GroupVertices[Group], MATCH("~"&amp;Edges[[#This Row],[Vertex 1]],GroupVertices[Vertex],0)),1,1,"")</f>
        <v>6</v>
      </c>
      <c r="BL227" s="80" t="str">
        <f>REPLACE(INDEX(GroupVertices[Group], MATCH("~"&amp;Edges[[#This Row],[Vertex 2]],GroupVertices[Vertex],0)),1,1,"")</f>
        <v>3</v>
      </c>
      <c r="BM227" s="49">
        <v>3</v>
      </c>
      <c r="BN227" s="50">
        <v>12.5</v>
      </c>
      <c r="BO227" s="49">
        <v>0</v>
      </c>
      <c r="BP227" s="50">
        <v>0</v>
      </c>
      <c r="BQ227" s="49">
        <v>0</v>
      </c>
      <c r="BR227" s="50">
        <v>0</v>
      </c>
      <c r="BS227" s="49">
        <v>9</v>
      </c>
      <c r="BT227" s="50">
        <v>37.5</v>
      </c>
      <c r="BU227" s="49">
        <v>24</v>
      </c>
    </row>
    <row r="228" spans="1:73" x14ac:dyDescent="0.25">
      <c r="A228" s="65" t="s">
        <v>243</v>
      </c>
      <c r="B228" s="65" t="s">
        <v>268</v>
      </c>
      <c r="C228" s="66" t="s">
        <v>10073</v>
      </c>
      <c r="D228" s="67">
        <v>3</v>
      </c>
      <c r="E228" s="68" t="s">
        <v>132</v>
      </c>
      <c r="F228" s="69">
        <v>35</v>
      </c>
      <c r="G228" s="66"/>
      <c r="H228" s="70"/>
      <c r="I228" s="71"/>
      <c r="J228" s="71"/>
      <c r="K228" s="35" t="s">
        <v>65</v>
      </c>
      <c r="L228" s="79">
        <v>228</v>
      </c>
      <c r="M228" s="79"/>
      <c r="N228" s="73"/>
      <c r="O228" s="81" t="s">
        <v>367</v>
      </c>
      <c r="P228" s="83">
        <v>45232.739606481482</v>
      </c>
      <c r="Q228" s="81" t="s">
        <v>375</v>
      </c>
      <c r="R228" s="81">
        <v>1</v>
      </c>
      <c r="S228" s="81">
        <v>4</v>
      </c>
      <c r="T228" s="81">
        <v>0</v>
      </c>
      <c r="U228" s="81">
        <v>0</v>
      </c>
      <c r="V228" s="81">
        <v>852</v>
      </c>
      <c r="W228" s="84" t="s">
        <v>471</v>
      </c>
      <c r="X228" s="86" t="str">
        <f>HYPERLINK("https://newhouse.syracuse.edu/news/newhouse-students-honored-for-visual-projects-in-college-photographer-of-the-year-and-aejmc-competitions/")</f>
        <v>https://newhouse.syracuse.edu/news/newhouse-students-honored-for-visual-projects-in-college-photographer-of-the-year-and-aejmc-competitions/</v>
      </c>
      <c r="Y228" s="81" t="s">
        <v>497</v>
      </c>
      <c r="Z228" s="81" t="s">
        <v>519</v>
      </c>
      <c r="AA228" s="81" t="s">
        <v>557</v>
      </c>
      <c r="AB228" s="81" t="s">
        <v>575</v>
      </c>
      <c r="AC228" s="84" t="s">
        <v>581</v>
      </c>
      <c r="AD228" s="81" t="s">
        <v>588</v>
      </c>
      <c r="AE228" s="86" t="str">
        <f>HYPERLINK("https://twitter.com/newhousesu/status/1720134936496116148")</f>
        <v>https://twitter.com/newhousesu/status/1720134936496116148</v>
      </c>
      <c r="AF228" s="83">
        <v>45232.739606481482</v>
      </c>
      <c r="AG228" s="89">
        <v>45232</v>
      </c>
      <c r="AH228" s="84" t="s">
        <v>593</v>
      </c>
      <c r="AI228" s="81" t="b">
        <v>0</v>
      </c>
      <c r="AJ228" s="81"/>
      <c r="AK228" s="81"/>
      <c r="AL228" s="81"/>
      <c r="AM228" s="81"/>
      <c r="AN228" s="81"/>
      <c r="AO228" s="81"/>
      <c r="AP228" s="81"/>
      <c r="AQ228" s="81" t="s">
        <v>726</v>
      </c>
      <c r="AR228" s="81"/>
      <c r="AS228" s="81"/>
      <c r="AT228" s="81"/>
      <c r="AU228" s="81"/>
      <c r="AV228" s="86" t="str">
        <f>HYPERLINK("https://pbs.twimg.com/media/F98lm41XkAAfs2k.jpg")</f>
        <v>https://pbs.twimg.com/media/F98lm41XkAAfs2k.jpg</v>
      </c>
      <c r="AW228" s="84" t="s">
        <v>747</v>
      </c>
      <c r="AX228" s="84" t="s">
        <v>747</v>
      </c>
      <c r="AY228" s="81"/>
      <c r="AZ228" s="84" t="s">
        <v>879</v>
      </c>
      <c r="BA228" s="84" t="s">
        <v>879</v>
      </c>
      <c r="BB228" s="84" t="s">
        <v>879</v>
      </c>
      <c r="BC228" s="84" t="s">
        <v>747</v>
      </c>
      <c r="BD228" s="81">
        <v>14295896</v>
      </c>
      <c r="BE228" s="81"/>
      <c r="BF228" s="81"/>
      <c r="BG228" s="81"/>
      <c r="BH228" s="81"/>
      <c r="BI228" s="81"/>
      <c r="BJ228">
        <v>1</v>
      </c>
      <c r="BK228" s="80" t="str">
        <f>REPLACE(INDEX(GroupVertices[Group], MATCH("~"&amp;Edges[[#This Row],[Vertex 1]],GroupVertices[Vertex],0)),1,1,"")</f>
        <v>1</v>
      </c>
      <c r="BL228" s="80" t="str">
        <f>REPLACE(INDEX(GroupVertices[Group], MATCH("~"&amp;Edges[[#This Row],[Vertex 2]],GroupVertices[Vertex],0)),1,1,"")</f>
        <v>1</v>
      </c>
      <c r="BM228" s="49">
        <v>1</v>
      </c>
      <c r="BN228" s="50">
        <v>4.166666666666667</v>
      </c>
      <c r="BO228" s="49">
        <v>0</v>
      </c>
      <c r="BP228" s="50">
        <v>0</v>
      </c>
      <c r="BQ228" s="49">
        <v>0</v>
      </c>
      <c r="BR228" s="50">
        <v>0</v>
      </c>
      <c r="BS228" s="49">
        <v>14</v>
      </c>
      <c r="BT228" s="50">
        <v>58.333333333333336</v>
      </c>
      <c r="BU228" s="49">
        <v>24</v>
      </c>
    </row>
    <row r="229" spans="1:73" x14ac:dyDescent="0.25">
      <c r="A229" s="65" t="s">
        <v>243</v>
      </c>
      <c r="B229" s="65" t="s">
        <v>243</v>
      </c>
      <c r="C229" s="66" t="s">
        <v>10073</v>
      </c>
      <c r="D229" s="67">
        <v>3</v>
      </c>
      <c r="E229" s="68" t="s">
        <v>132</v>
      </c>
      <c r="F229" s="69">
        <v>35</v>
      </c>
      <c r="G229" s="66"/>
      <c r="H229" s="70"/>
      <c r="I229" s="71"/>
      <c r="J229" s="71"/>
      <c r="K229" s="35" t="s">
        <v>65</v>
      </c>
      <c r="L229" s="79">
        <v>229</v>
      </c>
      <c r="M229" s="79"/>
      <c r="N229" s="73"/>
      <c r="O229" s="81" t="s">
        <v>367</v>
      </c>
      <c r="P229" s="83">
        <v>45232.739606481482</v>
      </c>
      <c r="Q229" s="81" t="s">
        <v>375</v>
      </c>
      <c r="R229" s="81">
        <v>1</v>
      </c>
      <c r="S229" s="81">
        <v>4</v>
      </c>
      <c r="T229" s="81">
        <v>0</v>
      </c>
      <c r="U229" s="81">
        <v>0</v>
      </c>
      <c r="V229" s="81">
        <v>852</v>
      </c>
      <c r="W229" s="84" t="s">
        <v>471</v>
      </c>
      <c r="X229" s="86" t="str">
        <f>HYPERLINK("https://newhouse.syracuse.edu/news/newhouse-students-honored-for-visual-projects-in-college-photographer-of-the-year-and-aejmc-competitions/")</f>
        <v>https://newhouse.syracuse.edu/news/newhouse-students-honored-for-visual-projects-in-college-photographer-of-the-year-and-aejmc-competitions/</v>
      </c>
      <c r="Y229" s="81" t="s">
        <v>497</v>
      </c>
      <c r="Z229" s="81" t="s">
        <v>519</v>
      </c>
      <c r="AA229" s="81" t="s">
        <v>557</v>
      </c>
      <c r="AB229" s="81" t="s">
        <v>575</v>
      </c>
      <c r="AC229" s="84" t="s">
        <v>581</v>
      </c>
      <c r="AD229" s="81" t="s">
        <v>588</v>
      </c>
      <c r="AE229" s="86" t="str">
        <f>HYPERLINK("https://twitter.com/newhousesu/status/1720134936496116148")</f>
        <v>https://twitter.com/newhousesu/status/1720134936496116148</v>
      </c>
      <c r="AF229" s="83">
        <v>45232.739606481482</v>
      </c>
      <c r="AG229" s="89">
        <v>45232</v>
      </c>
      <c r="AH229" s="84" t="s">
        <v>593</v>
      </c>
      <c r="AI229" s="81" t="b">
        <v>0</v>
      </c>
      <c r="AJ229" s="81"/>
      <c r="AK229" s="81"/>
      <c r="AL229" s="81"/>
      <c r="AM229" s="81"/>
      <c r="AN229" s="81"/>
      <c r="AO229" s="81"/>
      <c r="AP229" s="81"/>
      <c r="AQ229" s="81" t="s">
        <v>726</v>
      </c>
      <c r="AR229" s="81"/>
      <c r="AS229" s="81"/>
      <c r="AT229" s="81"/>
      <c r="AU229" s="81"/>
      <c r="AV229" s="86" t="str">
        <f>HYPERLINK("https://pbs.twimg.com/media/F98lm41XkAAfs2k.jpg")</f>
        <v>https://pbs.twimg.com/media/F98lm41XkAAfs2k.jpg</v>
      </c>
      <c r="AW229" s="84" t="s">
        <v>747</v>
      </c>
      <c r="AX229" s="84" t="s">
        <v>747</v>
      </c>
      <c r="AY229" s="81"/>
      <c r="AZ229" s="84" t="s">
        <v>879</v>
      </c>
      <c r="BA229" s="84" t="s">
        <v>879</v>
      </c>
      <c r="BB229" s="84" t="s">
        <v>879</v>
      </c>
      <c r="BC229" s="84" t="s">
        <v>747</v>
      </c>
      <c r="BD229" s="81">
        <v>14295896</v>
      </c>
      <c r="BE229" s="81"/>
      <c r="BF229" s="81"/>
      <c r="BG229" s="81"/>
      <c r="BH229" s="81"/>
      <c r="BI229" s="81"/>
      <c r="BJ229">
        <v>1</v>
      </c>
      <c r="BK229" s="80" t="str">
        <f>REPLACE(INDEX(GroupVertices[Group], MATCH("~"&amp;Edges[[#This Row],[Vertex 1]],GroupVertices[Vertex],0)),1,1,"")</f>
        <v>1</v>
      </c>
      <c r="BL229" s="80" t="str">
        <f>REPLACE(INDEX(GroupVertices[Group], MATCH("~"&amp;Edges[[#This Row],[Vertex 2]],GroupVertices[Vertex],0)),1,1,"")</f>
        <v>1</v>
      </c>
      <c r="BM229" s="49"/>
      <c r="BN229" s="50"/>
      <c r="BO229" s="49"/>
      <c r="BP229" s="50"/>
      <c r="BQ229" s="49"/>
      <c r="BR229" s="50"/>
      <c r="BS229" s="49"/>
      <c r="BT229" s="50"/>
      <c r="BU229" s="49"/>
    </row>
    <row r="230" spans="1:73" x14ac:dyDescent="0.25">
      <c r="A230" s="65" t="s">
        <v>293</v>
      </c>
      <c r="B230" s="65" t="s">
        <v>243</v>
      </c>
      <c r="C230" s="66" t="s">
        <v>10073</v>
      </c>
      <c r="D230" s="67">
        <v>3</v>
      </c>
      <c r="E230" s="68" t="s">
        <v>132</v>
      </c>
      <c r="F230" s="69">
        <v>35</v>
      </c>
      <c r="G230" s="66"/>
      <c r="H230" s="70"/>
      <c r="I230" s="71"/>
      <c r="J230" s="71"/>
      <c r="K230" s="35" t="s">
        <v>65</v>
      </c>
      <c r="L230" s="79">
        <v>230</v>
      </c>
      <c r="M230" s="79"/>
      <c r="N230" s="73"/>
      <c r="O230" s="81" t="s">
        <v>367</v>
      </c>
      <c r="P230" s="83">
        <v>45230.601157407407</v>
      </c>
      <c r="Q230" s="81" t="s">
        <v>448</v>
      </c>
      <c r="R230" s="81">
        <v>1</v>
      </c>
      <c r="S230" s="81">
        <v>2</v>
      </c>
      <c r="T230" s="81">
        <v>0</v>
      </c>
      <c r="U230" s="81">
        <v>2</v>
      </c>
      <c r="V230" s="81">
        <v>1383</v>
      </c>
      <c r="W230" s="81"/>
      <c r="X230" s="86" t="str">
        <f>HYPERLINK("http://www.aejmc.com/home/wp-content/uploads/2023/10/NED-Video-Competition-Winners-2023.pdf")</f>
        <v>http://www.aejmc.com/home/wp-content/uploads/2023/10/NED-Video-Competition-Winners-2023.pdf</v>
      </c>
      <c r="Y230" s="81" t="s">
        <v>514</v>
      </c>
      <c r="Z230" s="81" t="s">
        <v>548</v>
      </c>
      <c r="AA230" s="81"/>
      <c r="AB230" s="81"/>
      <c r="AC230" s="84" t="s">
        <v>579</v>
      </c>
      <c r="AD230" s="81" t="s">
        <v>588</v>
      </c>
      <c r="AE230" s="86" t="str">
        <f>HYPERLINK("https://twitter.com/keontecoleman/status/1719359990362681403")</f>
        <v>https://twitter.com/keontecoleman/status/1719359990362681403</v>
      </c>
      <c r="AF230" s="83">
        <v>45230.601157407407</v>
      </c>
      <c r="AG230" s="89">
        <v>45230</v>
      </c>
      <c r="AH230" s="84" t="s">
        <v>690</v>
      </c>
      <c r="AI230" s="81" t="b">
        <v>0</v>
      </c>
      <c r="AJ230" s="81"/>
      <c r="AK230" s="81"/>
      <c r="AL230" s="81"/>
      <c r="AM230" s="81"/>
      <c r="AN230" s="81"/>
      <c r="AO230" s="81"/>
      <c r="AP230" s="81"/>
      <c r="AQ230" s="81"/>
      <c r="AR230" s="81"/>
      <c r="AS230" s="81"/>
      <c r="AT230" s="81"/>
      <c r="AU230" s="81"/>
      <c r="AV230" s="86" t="str">
        <f>HYPERLINK("https://pbs.twimg.com/profile_images/1554277220742463489/Y-mHzutC_normal.jpg")</f>
        <v>https://pbs.twimg.com/profile_images/1554277220742463489/Y-mHzutC_normal.jpg</v>
      </c>
      <c r="AW230" s="84" t="s">
        <v>844</v>
      </c>
      <c r="AX230" s="84" t="s">
        <v>844</v>
      </c>
      <c r="AY230" s="84" t="s">
        <v>877</v>
      </c>
      <c r="AZ230" s="84" t="s">
        <v>879</v>
      </c>
      <c r="BA230" s="84" t="s">
        <v>879</v>
      </c>
      <c r="BB230" s="84" t="s">
        <v>879</v>
      </c>
      <c r="BC230" s="84" t="s">
        <v>844</v>
      </c>
      <c r="BD230" s="81">
        <v>778037328</v>
      </c>
      <c r="BE230" s="81"/>
      <c r="BF230" s="81"/>
      <c r="BG230" s="81"/>
      <c r="BH230" s="81"/>
      <c r="BI230" s="81"/>
      <c r="BJ230">
        <v>1</v>
      </c>
      <c r="BK230" s="80" t="str">
        <f>REPLACE(INDEX(GroupVertices[Group], MATCH("~"&amp;Edges[[#This Row],[Vertex 1]],GroupVertices[Vertex],0)),1,1,"")</f>
        <v>1</v>
      </c>
      <c r="BL230" s="80" t="str">
        <f>REPLACE(INDEX(GroupVertices[Group], MATCH("~"&amp;Edges[[#This Row],[Vertex 2]],GroupVertices[Vertex],0)),1,1,"")</f>
        <v>1</v>
      </c>
      <c r="BM230" s="49"/>
      <c r="BN230" s="50"/>
      <c r="BO230" s="49"/>
      <c r="BP230" s="50"/>
      <c r="BQ230" s="49"/>
      <c r="BR230" s="50"/>
      <c r="BS230" s="49"/>
      <c r="BT230" s="50"/>
      <c r="BU230" s="49"/>
    </row>
    <row r="231" spans="1:73" x14ac:dyDescent="0.25">
      <c r="A231" s="65" t="s">
        <v>295</v>
      </c>
      <c r="B231" s="65" t="s">
        <v>243</v>
      </c>
      <c r="C231" s="66" t="s">
        <v>10073</v>
      </c>
      <c r="D231" s="67">
        <v>3</v>
      </c>
      <c r="E231" s="68" t="s">
        <v>132</v>
      </c>
      <c r="F231" s="69">
        <v>35</v>
      </c>
      <c r="G231" s="66"/>
      <c r="H231" s="70"/>
      <c r="I231" s="71"/>
      <c r="J231" s="71"/>
      <c r="K231" s="35" t="s">
        <v>65</v>
      </c>
      <c r="L231" s="79">
        <v>231</v>
      </c>
      <c r="M231" s="79"/>
      <c r="N231" s="73"/>
      <c r="O231" s="81" t="s">
        <v>366</v>
      </c>
      <c r="P231" s="83">
        <v>45230.604907407411</v>
      </c>
      <c r="Q231" s="81" t="s">
        <v>450</v>
      </c>
      <c r="R231" s="81">
        <v>1</v>
      </c>
      <c r="S231" s="81">
        <v>0</v>
      </c>
      <c r="T231" s="81">
        <v>0</v>
      </c>
      <c r="U231" s="81">
        <v>0</v>
      </c>
      <c r="V231" s="81"/>
      <c r="W231" s="81"/>
      <c r="X231" s="81"/>
      <c r="Y231" s="81"/>
      <c r="Z231" s="81" t="s">
        <v>549</v>
      </c>
      <c r="AA231" s="81"/>
      <c r="AB231" s="81"/>
      <c r="AC231" s="84" t="s">
        <v>580</v>
      </c>
      <c r="AD231" s="81" t="s">
        <v>588</v>
      </c>
      <c r="AE231" s="86" t="str">
        <f>HYPERLINK("https://twitter.com/newhousebdj/status/1719361350286069994")</f>
        <v>https://twitter.com/newhousebdj/status/1719361350286069994</v>
      </c>
      <c r="AF231" s="83">
        <v>45230.604907407411</v>
      </c>
      <c r="AG231" s="89">
        <v>45230</v>
      </c>
      <c r="AH231" s="84" t="s">
        <v>695</v>
      </c>
      <c r="AI231" s="81"/>
      <c r="AJ231" s="81"/>
      <c r="AK231" s="81"/>
      <c r="AL231" s="81"/>
      <c r="AM231" s="81"/>
      <c r="AN231" s="81"/>
      <c r="AO231" s="81"/>
      <c r="AP231" s="81"/>
      <c r="AQ231" s="81"/>
      <c r="AR231" s="81"/>
      <c r="AS231" s="81"/>
      <c r="AT231" s="81"/>
      <c r="AU231" s="81"/>
      <c r="AV231" s="86" t="str">
        <f>HYPERLINK("https://pbs.twimg.com/profile_images/1346224080589115394/tMwjkFTB_normal.jpg")</f>
        <v>https://pbs.twimg.com/profile_images/1346224080589115394/tMwjkFTB_normal.jpg</v>
      </c>
      <c r="AW231" s="84" t="s">
        <v>849</v>
      </c>
      <c r="AX231" s="84" t="s">
        <v>849</v>
      </c>
      <c r="AY231" s="81"/>
      <c r="AZ231" s="84" t="s">
        <v>879</v>
      </c>
      <c r="BA231" s="84" t="s">
        <v>879</v>
      </c>
      <c r="BB231" s="84" t="s">
        <v>844</v>
      </c>
      <c r="BC231" s="84" t="s">
        <v>844</v>
      </c>
      <c r="BD231" s="81">
        <v>42631107</v>
      </c>
      <c r="BE231" s="81"/>
      <c r="BF231" s="81"/>
      <c r="BG231" s="81"/>
      <c r="BH231" s="81"/>
      <c r="BI231" s="81"/>
      <c r="BJ231">
        <v>1</v>
      </c>
      <c r="BK231" s="80" t="str">
        <f>REPLACE(INDEX(GroupVertices[Group], MATCH("~"&amp;Edges[[#This Row],[Vertex 1]],GroupVertices[Vertex],0)),1,1,"")</f>
        <v>1</v>
      </c>
      <c r="BL231" s="80" t="str">
        <f>REPLACE(INDEX(GroupVertices[Group], MATCH("~"&amp;Edges[[#This Row],[Vertex 2]],GroupVertices[Vertex],0)),1,1,"")</f>
        <v>1</v>
      </c>
      <c r="BM231" s="49"/>
      <c r="BN231" s="50"/>
      <c r="BO231" s="49"/>
      <c r="BP231" s="50"/>
      <c r="BQ231" s="49"/>
      <c r="BR231" s="50"/>
      <c r="BS231" s="49"/>
      <c r="BT231" s="50"/>
      <c r="BU231" s="49"/>
    </row>
    <row r="232" spans="1:73" x14ac:dyDescent="0.25">
      <c r="A232" s="65" t="s">
        <v>268</v>
      </c>
      <c r="B232" s="65" t="s">
        <v>350</v>
      </c>
      <c r="C232" s="66" t="s">
        <v>10073</v>
      </c>
      <c r="D232" s="67">
        <v>3</v>
      </c>
      <c r="E232" s="68" t="s">
        <v>132</v>
      </c>
      <c r="F232" s="69">
        <v>35</v>
      </c>
      <c r="G232" s="66"/>
      <c r="H232" s="70"/>
      <c r="I232" s="71"/>
      <c r="J232" s="71"/>
      <c r="K232" s="35" t="s">
        <v>65</v>
      </c>
      <c r="L232" s="79">
        <v>232</v>
      </c>
      <c r="M232" s="79"/>
      <c r="N232" s="73"/>
      <c r="O232" s="81" t="s">
        <v>370</v>
      </c>
      <c r="P232" s="83">
        <v>45230.763067129628</v>
      </c>
      <c r="Q232" s="81" t="s">
        <v>451</v>
      </c>
      <c r="R232" s="81">
        <v>0</v>
      </c>
      <c r="S232" s="81">
        <v>1</v>
      </c>
      <c r="T232" s="81">
        <v>0</v>
      </c>
      <c r="U232" s="81">
        <v>0</v>
      </c>
      <c r="V232" s="81">
        <v>591</v>
      </c>
      <c r="W232" s="81"/>
      <c r="X232" s="81"/>
      <c r="Y232" s="81"/>
      <c r="Z232" s="81" t="s">
        <v>350</v>
      </c>
      <c r="AA232" s="81"/>
      <c r="AB232" s="81"/>
      <c r="AC232" s="84" t="s">
        <v>582</v>
      </c>
      <c r="AD232" s="81" t="s">
        <v>588</v>
      </c>
      <c r="AE232" s="86" t="str">
        <f>HYPERLINK("https://twitter.com/aejmc/status/1719418665555153211")</f>
        <v>https://twitter.com/aejmc/status/1719418665555153211</v>
      </c>
      <c r="AF232" s="83">
        <v>45230.763067129628</v>
      </c>
      <c r="AG232" s="89">
        <v>45230</v>
      </c>
      <c r="AH232" s="84" t="s">
        <v>696</v>
      </c>
      <c r="AI232" s="81"/>
      <c r="AJ232" s="81"/>
      <c r="AK232" s="81"/>
      <c r="AL232" s="81"/>
      <c r="AM232" s="81"/>
      <c r="AN232" s="81"/>
      <c r="AO232" s="81"/>
      <c r="AP232" s="81"/>
      <c r="AQ232" s="81"/>
      <c r="AR232" s="81"/>
      <c r="AS232" s="81"/>
      <c r="AT232" s="81"/>
      <c r="AU232" s="81"/>
      <c r="AV232" s="86" t="str">
        <f>HYPERLINK("https://pbs.twimg.com/profile_images/1559584982439444482/vOVkFGh3_normal.png")</f>
        <v>https://pbs.twimg.com/profile_images/1559584982439444482/vOVkFGh3_normal.png</v>
      </c>
      <c r="AW232" s="84" t="s">
        <v>850</v>
      </c>
      <c r="AX232" s="84" t="s">
        <v>850</v>
      </c>
      <c r="AY232" s="81"/>
      <c r="AZ232" s="84" t="s">
        <v>879</v>
      </c>
      <c r="BA232" s="84" t="s">
        <v>844</v>
      </c>
      <c r="BB232" s="84" t="s">
        <v>879</v>
      </c>
      <c r="BC232" s="84" t="s">
        <v>844</v>
      </c>
      <c r="BD232" s="81">
        <v>8442592</v>
      </c>
      <c r="BE232" s="81"/>
      <c r="BF232" s="81"/>
      <c r="BG232" s="81"/>
      <c r="BH232" s="81"/>
      <c r="BI232" s="81"/>
      <c r="BJ232">
        <v>1</v>
      </c>
      <c r="BK232" s="80" t="str">
        <f>REPLACE(INDEX(GroupVertices[Group], MATCH("~"&amp;Edges[[#This Row],[Vertex 1]],GroupVertices[Vertex],0)),1,1,"")</f>
        <v>1</v>
      </c>
      <c r="BL232" s="80" t="str">
        <f>REPLACE(INDEX(GroupVertices[Group], MATCH("~"&amp;Edges[[#This Row],[Vertex 2]],GroupVertices[Vertex],0)),1,1,"")</f>
        <v>1</v>
      </c>
      <c r="BM232" s="49">
        <v>4</v>
      </c>
      <c r="BN232" s="50">
        <v>22.222222222222221</v>
      </c>
      <c r="BO232" s="49">
        <v>0</v>
      </c>
      <c r="BP232" s="50">
        <v>0</v>
      </c>
      <c r="BQ232" s="49">
        <v>0</v>
      </c>
      <c r="BR232" s="50">
        <v>0</v>
      </c>
      <c r="BS232" s="49">
        <v>4</v>
      </c>
      <c r="BT232" s="50">
        <v>22.222222222222221</v>
      </c>
      <c r="BU232" s="49">
        <v>18</v>
      </c>
    </row>
    <row r="233" spans="1:73" x14ac:dyDescent="0.25">
      <c r="A233" s="65" t="s">
        <v>293</v>
      </c>
      <c r="B233" s="65" t="s">
        <v>350</v>
      </c>
      <c r="C233" s="66" t="s">
        <v>10073</v>
      </c>
      <c r="D233" s="67">
        <v>3</v>
      </c>
      <c r="E233" s="68" t="s">
        <v>132</v>
      </c>
      <c r="F233" s="69">
        <v>35</v>
      </c>
      <c r="G233" s="66"/>
      <c r="H233" s="70"/>
      <c r="I233" s="71"/>
      <c r="J233" s="71"/>
      <c r="K233" s="35" t="s">
        <v>65</v>
      </c>
      <c r="L233" s="79">
        <v>233</v>
      </c>
      <c r="M233" s="79"/>
      <c r="N233" s="73"/>
      <c r="O233" s="81" t="s">
        <v>367</v>
      </c>
      <c r="P233" s="83">
        <v>45230.601157407407</v>
      </c>
      <c r="Q233" s="81" t="s">
        <v>448</v>
      </c>
      <c r="R233" s="81">
        <v>1</v>
      </c>
      <c r="S233" s="81">
        <v>2</v>
      </c>
      <c r="T233" s="81">
        <v>0</v>
      </c>
      <c r="U233" s="81">
        <v>2</v>
      </c>
      <c r="V233" s="81">
        <v>1383</v>
      </c>
      <c r="W233" s="81"/>
      <c r="X233" s="86" t="str">
        <f>HYPERLINK("http://www.aejmc.com/home/wp-content/uploads/2023/10/NED-Video-Competition-Winners-2023.pdf")</f>
        <v>http://www.aejmc.com/home/wp-content/uploads/2023/10/NED-Video-Competition-Winners-2023.pdf</v>
      </c>
      <c r="Y233" s="81" t="s">
        <v>514</v>
      </c>
      <c r="Z233" s="81" t="s">
        <v>548</v>
      </c>
      <c r="AA233" s="81"/>
      <c r="AB233" s="81"/>
      <c r="AC233" s="84" t="s">
        <v>579</v>
      </c>
      <c r="AD233" s="81" t="s">
        <v>588</v>
      </c>
      <c r="AE233" s="86" t="str">
        <f>HYPERLINK("https://twitter.com/keontecoleman/status/1719359990362681403")</f>
        <v>https://twitter.com/keontecoleman/status/1719359990362681403</v>
      </c>
      <c r="AF233" s="83">
        <v>45230.601157407407</v>
      </c>
      <c r="AG233" s="89">
        <v>45230</v>
      </c>
      <c r="AH233" s="84" t="s">
        <v>690</v>
      </c>
      <c r="AI233" s="81" t="b">
        <v>0</v>
      </c>
      <c r="AJ233" s="81"/>
      <c r="AK233" s="81"/>
      <c r="AL233" s="81"/>
      <c r="AM233" s="81"/>
      <c r="AN233" s="81"/>
      <c r="AO233" s="81"/>
      <c r="AP233" s="81"/>
      <c r="AQ233" s="81"/>
      <c r="AR233" s="81"/>
      <c r="AS233" s="81"/>
      <c r="AT233" s="81"/>
      <c r="AU233" s="81"/>
      <c r="AV233" s="86" t="str">
        <f>HYPERLINK("https://pbs.twimg.com/profile_images/1554277220742463489/Y-mHzutC_normal.jpg")</f>
        <v>https://pbs.twimg.com/profile_images/1554277220742463489/Y-mHzutC_normal.jpg</v>
      </c>
      <c r="AW233" s="84" t="s">
        <v>844</v>
      </c>
      <c r="AX233" s="84" t="s">
        <v>844</v>
      </c>
      <c r="AY233" s="84" t="s">
        <v>877</v>
      </c>
      <c r="AZ233" s="84" t="s">
        <v>879</v>
      </c>
      <c r="BA233" s="84" t="s">
        <v>879</v>
      </c>
      <c r="BB233" s="84" t="s">
        <v>879</v>
      </c>
      <c r="BC233" s="84" t="s">
        <v>844</v>
      </c>
      <c r="BD233" s="81">
        <v>778037328</v>
      </c>
      <c r="BE233" s="81"/>
      <c r="BF233" s="81"/>
      <c r="BG233" s="81"/>
      <c r="BH233" s="81"/>
      <c r="BI233" s="81"/>
      <c r="BJ233">
        <v>1</v>
      </c>
      <c r="BK233" s="80" t="str">
        <f>REPLACE(INDEX(GroupVertices[Group], MATCH("~"&amp;Edges[[#This Row],[Vertex 1]],GroupVertices[Vertex],0)),1,1,"")</f>
        <v>1</v>
      </c>
      <c r="BL233" s="80" t="str">
        <f>REPLACE(INDEX(GroupVertices[Group], MATCH("~"&amp;Edges[[#This Row],[Vertex 2]],GroupVertices[Vertex],0)),1,1,"")</f>
        <v>1</v>
      </c>
      <c r="BM233" s="49">
        <v>5</v>
      </c>
      <c r="BN233" s="50">
        <v>15.151515151515152</v>
      </c>
      <c r="BO233" s="49">
        <v>0</v>
      </c>
      <c r="BP233" s="50">
        <v>0</v>
      </c>
      <c r="BQ233" s="49">
        <v>0</v>
      </c>
      <c r="BR233" s="50">
        <v>0</v>
      </c>
      <c r="BS233" s="49">
        <v>15</v>
      </c>
      <c r="BT233" s="50">
        <v>45.454545454545453</v>
      </c>
      <c r="BU233" s="49">
        <v>33</v>
      </c>
    </row>
    <row r="234" spans="1:73" x14ac:dyDescent="0.25">
      <c r="A234" s="65" t="s">
        <v>295</v>
      </c>
      <c r="B234" s="65" t="s">
        <v>350</v>
      </c>
      <c r="C234" s="66" t="s">
        <v>10073</v>
      </c>
      <c r="D234" s="67">
        <v>3</v>
      </c>
      <c r="E234" s="68" t="s">
        <v>132</v>
      </c>
      <c r="F234" s="69">
        <v>35</v>
      </c>
      <c r="G234" s="66"/>
      <c r="H234" s="70"/>
      <c r="I234" s="71"/>
      <c r="J234" s="71"/>
      <c r="K234" s="35" t="s">
        <v>65</v>
      </c>
      <c r="L234" s="79">
        <v>234</v>
      </c>
      <c r="M234" s="79"/>
      <c r="N234" s="73"/>
      <c r="O234" s="81" t="s">
        <v>366</v>
      </c>
      <c r="P234" s="83">
        <v>45230.604907407411</v>
      </c>
      <c r="Q234" s="81" t="s">
        <v>450</v>
      </c>
      <c r="R234" s="81">
        <v>1</v>
      </c>
      <c r="S234" s="81">
        <v>0</v>
      </c>
      <c r="T234" s="81">
        <v>0</v>
      </c>
      <c r="U234" s="81">
        <v>0</v>
      </c>
      <c r="V234" s="81"/>
      <c r="W234" s="81"/>
      <c r="X234" s="81"/>
      <c r="Y234" s="81"/>
      <c r="Z234" s="81" t="s">
        <v>549</v>
      </c>
      <c r="AA234" s="81"/>
      <c r="AB234" s="81"/>
      <c r="AC234" s="84" t="s">
        <v>580</v>
      </c>
      <c r="AD234" s="81" t="s">
        <v>588</v>
      </c>
      <c r="AE234" s="86" t="str">
        <f>HYPERLINK("https://twitter.com/newhousebdj/status/1719361350286069994")</f>
        <v>https://twitter.com/newhousebdj/status/1719361350286069994</v>
      </c>
      <c r="AF234" s="83">
        <v>45230.604907407411</v>
      </c>
      <c r="AG234" s="89">
        <v>45230</v>
      </c>
      <c r="AH234" s="84" t="s">
        <v>695</v>
      </c>
      <c r="AI234" s="81"/>
      <c r="AJ234" s="81"/>
      <c r="AK234" s="81"/>
      <c r="AL234" s="81"/>
      <c r="AM234" s="81"/>
      <c r="AN234" s="81"/>
      <c r="AO234" s="81"/>
      <c r="AP234" s="81"/>
      <c r="AQ234" s="81"/>
      <c r="AR234" s="81"/>
      <c r="AS234" s="81"/>
      <c r="AT234" s="81"/>
      <c r="AU234" s="81"/>
      <c r="AV234" s="86" t="str">
        <f>HYPERLINK("https://pbs.twimg.com/profile_images/1346224080589115394/tMwjkFTB_normal.jpg")</f>
        <v>https://pbs.twimg.com/profile_images/1346224080589115394/tMwjkFTB_normal.jpg</v>
      </c>
      <c r="AW234" s="84" t="s">
        <v>849</v>
      </c>
      <c r="AX234" s="84" t="s">
        <v>849</v>
      </c>
      <c r="AY234" s="81"/>
      <c r="AZ234" s="84" t="s">
        <v>879</v>
      </c>
      <c r="BA234" s="84" t="s">
        <v>879</v>
      </c>
      <c r="BB234" s="84" t="s">
        <v>844</v>
      </c>
      <c r="BC234" s="84" t="s">
        <v>844</v>
      </c>
      <c r="BD234" s="81">
        <v>42631107</v>
      </c>
      <c r="BE234" s="81"/>
      <c r="BF234" s="81"/>
      <c r="BG234" s="81"/>
      <c r="BH234" s="81"/>
      <c r="BI234" s="81"/>
      <c r="BJ234">
        <v>1</v>
      </c>
      <c r="BK234" s="80" t="str">
        <f>REPLACE(INDEX(GroupVertices[Group], MATCH("~"&amp;Edges[[#This Row],[Vertex 1]],GroupVertices[Vertex],0)),1,1,"")</f>
        <v>1</v>
      </c>
      <c r="BL234" s="80" t="str">
        <f>REPLACE(INDEX(GroupVertices[Group], MATCH("~"&amp;Edges[[#This Row],[Vertex 2]],GroupVertices[Vertex],0)),1,1,"")</f>
        <v>1</v>
      </c>
      <c r="BM234" s="49">
        <v>3</v>
      </c>
      <c r="BN234" s="50">
        <v>15</v>
      </c>
      <c r="BO234" s="49">
        <v>0</v>
      </c>
      <c r="BP234" s="50">
        <v>0</v>
      </c>
      <c r="BQ234" s="49">
        <v>0</v>
      </c>
      <c r="BR234" s="50">
        <v>0</v>
      </c>
      <c r="BS234" s="49">
        <v>8</v>
      </c>
      <c r="BT234" s="50">
        <v>40</v>
      </c>
      <c r="BU234" s="49">
        <v>20</v>
      </c>
    </row>
    <row r="235" spans="1:73" x14ac:dyDescent="0.25">
      <c r="A235" s="65" t="s">
        <v>268</v>
      </c>
      <c r="B235" s="65" t="s">
        <v>293</v>
      </c>
      <c r="C235" s="66" t="s">
        <v>10073</v>
      </c>
      <c r="D235" s="67">
        <v>3</v>
      </c>
      <c r="E235" s="68" t="s">
        <v>132</v>
      </c>
      <c r="F235" s="69">
        <v>35</v>
      </c>
      <c r="G235" s="66"/>
      <c r="H235" s="70"/>
      <c r="I235" s="71"/>
      <c r="J235" s="71"/>
      <c r="K235" s="35" t="s">
        <v>66</v>
      </c>
      <c r="L235" s="79">
        <v>235</v>
      </c>
      <c r="M235" s="79"/>
      <c r="N235" s="73"/>
      <c r="O235" s="81" t="s">
        <v>371</v>
      </c>
      <c r="P235" s="83">
        <v>45230.763067129628</v>
      </c>
      <c r="Q235" s="81" t="s">
        <v>451</v>
      </c>
      <c r="R235" s="81">
        <v>0</v>
      </c>
      <c r="S235" s="81">
        <v>1</v>
      </c>
      <c r="T235" s="81">
        <v>0</v>
      </c>
      <c r="U235" s="81">
        <v>0</v>
      </c>
      <c r="V235" s="81">
        <v>591</v>
      </c>
      <c r="W235" s="81"/>
      <c r="X235" s="81"/>
      <c r="Y235" s="81"/>
      <c r="Z235" s="81" t="s">
        <v>350</v>
      </c>
      <c r="AA235" s="81"/>
      <c r="AB235" s="81"/>
      <c r="AC235" s="84" t="s">
        <v>582</v>
      </c>
      <c r="AD235" s="81" t="s">
        <v>588</v>
      </c>
      <c r="AE235" s="86" t="str">
        <f>HYPERLINK("https://twitter.com/aejmc/status/1719418665555153211")</f>
        <v>https://twitter.com/aejmc/status/1719418665555153211</v>
      </c>
      <c r="AF235" s="83">
        <v>45230.763067129628</v>
      </c>
      <c r="AG235" s="89">
        <v>45230</v>
      </c>
      <c r="AH235" s="84" t="s">
        <v>696</v>
      </c>
      <c r="AI235" s="81"/>
      <c r="AJ235" s="81"/>
      <c r="AK235" s="81"/>
      <c r="AL235" s="81"/>
      <c r="AM235" s="81"/>
      <c r="AN235" s="81"/>
      <c r="AO235" s="81"/>
      <c r="AP235" s="81"/>
      <c r="AQ235" s="81"/>
      <c r="AR235" s="81"/>
      <c r="AS235" s="81"/>
      <c r="AT235" s="81"/>
      <c r="AU235" s="81"/>
      <c r="AV235" s="86" t="str">
        <f>HYPERLINK("https://pbs.twimg.com/profile_images/1559584982439444482/vOVkFGh3_normal.png")</f>
        <v>https://pbs.twimg.com/profile_images/1559584982439444482/vOVkFGh3_normal.png</v>
      </c>
      <c r="AW235" s="84" t="s">
        <v>850</v>
      </c>
      <c r="AX235" s="84" t="s">
        <v>850</v>
      </c>
      <c r="AY235" s="81"/>
      <c r="AZ235" s="84" t="s">
        <v>879</v>
      </c>
      <c r="BA235" s="84" t="s">
        <v>844</v>
      </c>
      <c r="BB235" s="84" t="s">
        <v>879</v>
      </c>
      <c r="BC235" s="84" t="s">
        <v>844</v>
      </c>
      <c r="BD235" s="81">
        <v>8442592</v>
      </c>
      <c r="BE235" s="81"/>
      <c r="BF235" s="81"/>
      <c r="BG235" s="81"/>
      <c r="BH235" s="81"/>
      <c r="BI235" s="81"/>
      <c r="BJ235">
        <v>1</v>
      </c>
      <c r="BK235" s="80" t="str">
        <f>REPLACE(INDEX(GroupVertices[Group], MATCH("~"&amp;Edges[[#This Row],[Vertex 1]],GroupVertices[Vertex],0)),1,1,"")</f>
        <v>1</v>
      </c>
      <c r="BL235" s="80" t="str">
        <f>REPLACE(INDEX(GroupVertices[Group], MATCH("~"&amp;Edges[[#This Row],[Vertex 2]],GroupVertices[Vertex],0)),1,1,"")</f>
        <v>1</v>
      </c>
      <c r="BM235" s="49"/>
      <c r="BN235" s="50"/>
      <c r="BO235" s="49"/>
      <c r="BP235" s="50"/>
      <c r="BQ235" s="49"/>
      <c r="BR235" s="50"/>
      <c r="BS235" s="49"/>
      <c r="BT235" s="50"/>
      <c r="BU235" s="49"/>
    </row>
    <row r="236" spans="1:73" x14ac:dyDescent="0.25">
      <c r="A236" s="65" t="s">
        <v>293</v>
      </c>
      <c r="B236" s="65" t="s">
        <v>295</v>
      </c>
      <c r="C236" s="66" t="s">
        <v>10073</v>
      </c>
      <c r="D236" s="67">
        <v>3</v>
      </c>
      <c r="E236" s="68" t="s">
        <v>132</v>
      </c>
      <c r="F236" s="69">
        <v>35</v>
      </c>
      <c r="G236" s="66"/>
      <c r="H236" s="70"/>
      <c r="I236" s="71"/>
      <c r="J236" s="71"/>
      <c r="K236" s="35" t="s">
        <v>66</v>
      </c>
      <c r="L236" s="79">
        <v>236</v>
      </c>
      <c r="M236" s="79"/>
      <c r="N236" s="73"/>
      <c r="O236" s="81" t="s">
        <v>367</v>
      </c>
      <c r="P236" s="83">
        <v>45230.601157407407</v>
      </c>
      <c r="Q236" s="81" t="s">
        <v>448</v>
      </c>
      <c r="R236" s="81">
        <v>1</v>
      </c>
      <c r="S236" s="81">
        <v>2</v>
      </c>
      <c r="T236" s="81">
        <v>0</v>
      </c>
      <c r="U236" s="81">
        <v>2</v>
      </c>
      <c r="V236" s="81">
        <v>1383</v>
      </c>
      <c r="W236" s="81"/>
      <c r="X236" s="86" t="str">
        <f>HYPERLINK("http://www.aejmc.com/home/wp-content/uploads/2023/10/NED-Video-Competition-Winners-2023.pdf")</f>
        <v>http://www.aejmc.com/home/wp-content/uploads/2023/10/NED-Video-Competition-Winners-2023.pdf</v>
      </c>
      <c r="Y236" s="81" t="s">
        <v>514</v>
      </c>
      <c r="Z236" s="81" t="s">
        <v>548</v>
      </c>
      <c r="AA236" s="81"/>
      <c r="AB236" s="81"/>
      <c r="AC236" s="84" t="s">
        <v>579</v>
      </c>
      <c r="AD236" s="81" t="s">
        <v>588</v>
      </c>
      <c r="AE236" s="86" t="str">
        <f>HYPERLINK("https://twitter.com/keontecoleman/status/1719359990362681403")</f>
        <v>https://twitter.com/keontecoleman/status/1719359990362681403</v>
      </c>
      <c r="AF236" s="83">
        <v>45230.601157407407</v>
      </c>
      <c r="AG236" s="89">
        <v>45230</v>
      </c>
      <c r="AH236" s="84" t="s">
        <v>690</v>
      </c>
      <c r="AI236" s="81" t="b">
        <v>0</v>
      </c>
      <c r="AJ236" s="81"/>
      <c r="AK236" s="81"/>
      <c r="AL236" s="81"/>
      <c r="AM236" s="81"/>
      <c r="AN236" s="81"/>
      <c r="AO236" s="81"/>
      <c r="AP236" s="81"/>
      <c r="AQ236" s="81"/>
      <c r="AR236" s="81"/>
      <c r="AS236" s="81"/>
      <c r="AT236" s="81"/>
      <c r="AU236" s="81"/>
      <c r="AV236" s="86" t="str">
        <f>HYPERLINK("https://pbs.twimg.com/profile_images/1554277220742463489/Y-mHzutC_normal.jpg")</f>
        <v>https://pbs.twimg.com/profile_images/1554277220742463489/Y-mHzutC_normal.jpg</v>
      </c>
      <c r="AW236" s="84" t="s">
        <v>844</v>
      </c>
      <c r="AX236" s="84" t="s">
        <v>844</v>
      </c>
      <c r="AY236" s="84" t="s">
        <v>877</v>
      </c>
      <c r="AZ236" s="84" t="s">
        <v>879</v>
      </c>
      <c r="BA236" s="84" t="s">
        <v>879</v>
      </c>
      <c r="BB236" s="84" t="s">
        <v>879</v>
      </c>
      <c r="BC236" s="84" t="s">
        <v>844</v>
      </c>
      <c r="BD236" s="81">
        <v>778037328</v>
      </c>
      <c r="BE236" s="81"/>
      <c r="BF236" s="81"/>
      <c r="BG236" s="81"/>
      <c r="BH236" s="81"/>
      <c r="BI236" s="81"/>
      <c r="BJ236">
        <v>1</v>
      </c>
      <c r="BK236" s="80" t="str">
        <f>REPLACE(INDEX(GroupVertices[Group], MATCH("~"&amp;Edges[[#This Row],[Vertex 1]],GroupVertices[Vertex],0)),1,1,"")</f>
        <v>1</v>
      </c>
      <c r="BL236" s="80" t="str">
        <f>REPLACE(INDEX(GroupVertices[Group], MATCH("~"&amp;Edges[[#This Row],[Vertex 2]],GroupVertices[Vertex],0)),1,1,"")</f>
        <v>1</v>
      </c>
      <c r="BM236" s="49"/>
      <c r="BN236" s="50"/>
      <c r="BO236" s="49"/>
      <c r="BP236" s="50"/>
      <c r="BQ236" s="49"/>
      <c r="BR236" s="50"/>
      <c r="BS236" s="49"/>
      <c r="BT236" s="50"/>
      <c r="BU236" s="49"/>
    </row>
    <row r="237" spans="1:73" x14ac:dyDescent="0.25">
      <c r="A237" s="65" t="s">
        <v>293</v>
      </c>
      <c r="B237" s="65" t="s">
        <v>268</v>
      </c>
      <c r="C237" s="66" t="s">
        <v>10073</v>
      </c>
      <c r="D237" s="67">
        <v>3</v>
      </c>
      <c r="E237" s="68" t="s">
        <v>132</v>
      </c>
      <c r="F237" s="69">
        <v>35</v>
      </c>
      <c r="G237" s="66"/>
      <c r="H237" s="70"/>
      <c r="I237" s="71"/>
      <c r="J237" s="71"/>
      <c r="K237" s="35" t="s">
        <v>66</v>
      </c>
      <c r="L237" s="79">
        <v>237</v>
      </c>
      <c r="M237" s="79"/>
      <c r="N237" s="73"/>
      <c r="O237" s="81" t="s">
        <v>367</v>
      </c>
      <c r="P237" s="83">
        <v>45230.601157407407</v>
      </c>
      <c r="Q237" s="81" t="s">
        <v>448</v>
      </c>
      <c r="R237" s="81">
        <v>1</v>
      </c>
      <c r="S237" s="81">
        <v>2</v>
      </c>
      <c r="T237" s="81">
        <v>0</v>
      </c>
      <c r="U237" s="81">
        <v>2</v>
      </c>
      <c r="V237" s="81">
        <v>1383</v>
      </c>
      <c r="W237" s="81"/>
      <c r="X237" s="86" t="str">
        <f>HYPERLINK("http://www.aejmc.com/home/wp-content/uploads/2023/10/NED-Video-Competition-Winners-2023.pdf")</f>
        <v>http://www.aejmc.com/home/wp-content/uploads/2023/10/NED-Video-Competition-Winners-2023.pdf</v>
      </c>
      <c r="Y237" s="81" t="s">
        <v>514</v>
      </c>
      <c r="Z237" s="81" t="s">
        <v>548</v>
      </c>
      <c r="AA237" s="81"/>
      <c r="AB237" s="81"/>
      <c r="AC237" s="84" t="s">
        <v>579</v>
      </c>
      <c r="AD237" s="81" t="s">
        <v>588</v>
      </c>
      <c r="AE237" s="86" t="str">
        <f>HYPERLINK("https://twitter.com/keontecoleman/status/1719359990362681403")</f>
        <v>https://twitter.com/keontecoleman/status/1719359990362681403</v>
      </c>
      <c r="AF237" s="83">
        <v>45230.601157407407</v>
      </c>
      <c r="AG237" s="89">
        <v>45230</v>
      </c>
      <c r="AH237" s="84" t="s">
        <v>690</v>
      </c>
      <c r="AI237" s="81" t="b">
        <v>0</v>
      </c>
      <c r="AJ237" s="81"/>
      <c r="AK237" s="81"/>
      <c r="AL237" s="81"/>
      <c r="AM237" s="81"/>
      <c r="AN237" s="81"/>
      <c r="AO237" s="81"/>
      <c r="AP237" s="81"/>
      <c r="AQ237" s="81"/>
      <c r="AR237" s="81"/>
      <c r="AS237" s="81"/>
      <c r="AT237" s="81"/>
      <c r="AU237" s="81"/>
      <c r="AV237" s="86" t="str">
        <f>HYPERLINK("https://pbs.twimg.com/profile_images/1554277220742463489/Y-mHzutC_normal.jpg")</f>
        <v>https://pbs.twimg.com/profile_images/1554277220742463489/Y-mHzutC_normal.jpg</v>
      </c>
      <c r="AW237" s="84" t="s">
        <v>844</v>
      </c>
      <c r="AX237" s="84" t="s">
        <v>844</v>
      </c>
      <c r="AY237" s="84" t="s">
        <v>877</v>
      </c>
      <c r="AZ237" s="84" t="s">
        <v>879</v>
      </c>
      <c r="BA237" s="84" t="s">
        <v>879</v>
      </c>
      <c r="BB237" s="84" t="s">
        <v>879</v>
      </c>
      <c r="BC237" s="84" t="s">
        <v>844</v>
      </c>
      <c r="BD237" s="81">
        <v>778037328</v>
      </c>
      <c r="BE237" s="81"/>
      <c r="BF237" s="81"/>
      <c r="BG237" s="81"/>
      <c r="BH237" s="81"/>
      <c r="BI237" s="81"/>
      <c r="BJ237">
        <v>1</v>
      </c>
      <c r="BK237" s="80" t="str">
        <f>REPLACE(INDEX(GroupVertices[Group], MATCH("~"&amp;Edges[[#This Row],[Vertex 1]],GroupVertices[Vertex],0)),1,1,"")</f>
        <v>1</v>
      </c>
      <c r="BL237" s="80" t="str">
        <f>REPLACE(INDEX(GroupVertices[Group], MATCH("~"&amp;Edges[[#This Row],[Vertex 2]],GroupVertices[Vertex],0)),1,1,"")</f>
        <v>1</v>
      </c>
      <c r="BM237" s="49"/>
      <c r="BN237" s="50"/>
      <c r="BO237" s="49"/>
      <c r="BP237" s="50"/>
      <c r="BQ237" s="49"/>
      <c r="BR237" s="50"/>
      <c r="BS237" s="49"/>
      <c r="BT237" s="50"/>
      <c r="BU237" s="49"/>
    </row>
    <row r="238" spans="1:73" x14ac:dyDescent="0.25">
      <c r="A238" s="65" t="s">
        <v>295</v>
      </c>
      <c r="B238" s="65" t="s">
        <v>293</v>
      </c>
      <c r="C238" s="66" t="s">
        <v>10073</v>
      </c>
      <c r="D238" s="67">
        <v>3</v>
      </c>
      <c r="E238" s="68" t="s">
        <v>132</v>
      </c>
      <c r="F238" s="69">
        <v>35</v>
      </c>
      <c r="G238" s="66"/>
      <c r="H238" s="70"/>
      <c r="I238" s="71"/>
      <c r="J238" s="71"/>
      <c r="K238" s="35" t="s">
        <v>66</v>
      </c>
      <c r="L238" s="79">
        <v>238</v>
      </c>
      <c r="M238" s="79"/>
      <c r="N238" s="73"/>
      <c r="O238" s="81" t="s">
        <v>365</v>
      </c>
      <c r="P238" s="83">
        <v>45230.604907407411</v>
      </c>
      <c r="Q238" s="81" t="s">
        <v>450</v>
      </c>
      <c r="R238" s="81">
        <v>1</v>
      </c>
      <c r="S238" s="81">
        <v>0</v>
      </c>
      <c r="T238" s="81">
        <v>0</v>
      </c>
      <c r="U238" s="81">
        <v>0</v>
      </c>
      <c r="V238" s="81"/>
      <c r="W238" s="81"/>
      <c r="X238" s="81"/>
      <c r="Y238" s="81"/>
      <c r="Z238" s="81" t="s">
        <v>549</v>
      </c>
      <c r="AA238" s="81"/>
      <c r="AB238" s="81"/>
      <c r="AC238" s="84" t="s">
        <v>580</v>
      </c>
      <c r="AD238" s="81" t="s">
        <v>588</v>
      </c>
      <c r="AE238" s="86" t="str">
        <f>HYPERLINK("https://twitter.com/newhousebdj/status/1719361350286069994")</f>
        <v>https://twitter.com/newhousebdj/status/1719361350286069994</v>
      </c>
      <c r="AF238" s="83">
        <v>45230.604907407411</v>
      </c>
      <c r="AG238" s="89">
        <v>45230</v>
      </c>
      <c r="AH238" s="84" t="s">
        <v>695</v>
      </c>
      <c r="AI238" s="81"/>
      <c r="AJ238" s="81"/>
      <c r="AK238" s="81"/>
      <c r="AL238" s="81"/>
      <c r="AM238" s="81"/>
      <c r="AN238" s="81"/>
      <c r="AO238" s="81"/>
      <c r="AP238" s="81"/>
      <c r="AQ238" s="81"/>
      <c r="AR238" s="81"/>
      <c r="AS238" s="81"/>
      <c r="AT238" s="81"/>
      <c r="AU238" s="81"/>
      <c r="AV238" s="86" t="str">
        <f>HYPERLINK("https://pbs.twimg.com/profile_images/1346224080589115394/tMwjkFTB_normal.jpg")</f>
        <v>https://pbs.twimg.com/profile_images/1346224080589115394/tMwjkFTB_normal.jpg</v>
      </c>
      <c r="AW238" s="84" t="s">
        <v>849</v>
      </c>
      <c r="AX238" s="84" t="s">
        <v>849</v>
      </c>
      <c r="AY238" s="81"/>
      <c r="AZ238" s="84" t="s">
        <v>879</v>
      </c>
      <c r="BA238" s="84" t="s">
        <v>879</v>
      </c>
      <c r="BB238" s="84" t="s">
        <v>844</v>
      </c>
      <c r="BC238" s="84" t="s">
        <v>844</v>
      </c>
      <c r="BD238" s="81">
        <v>42631107</v>
      </c>
      <c r="BE238" s="81"/>
      <c r="BF238" s="81"/>
      <c r="BG238" s="81"/>
      <c r="BH238" s="81"/>
      <c r="BI238" s="81"/>
      <c r="BJ238">
        <v>1</v>
      </c>
      <c r="BK238" s="80" t="str">
        <f>REPLACE(INDEX(GroupVertices[Group], MATCH("~"&amp;Edges[[#This Row],[Vertex 1]],GroupVertices[Vertex],0)),1,1,"")</f>
        <v>1</v>
      </c>
      <c r="BL238" s="80" t="str">
        <f>REPLACE(INDEX(GroupVertices[Group], MATCH("~"&amp;Edges[[#This Row],[Vertex 2]],GroupVertices[Vertex],0)),1,1,"")</f>
        <v>1</v>
      </c>
      <c r="BM238" s="49"/>
      <c r="BN238" s="50"/>
      <c r="BO238" s="49"/>
      <c r="BP238" s="50"/>
      <c r="BQ238" s="49"/>
      <c r="BR238" s="50"/>
      <c r="BS238" s="49"/>
      <c r="BT238" s="50"/>
      <c r="BU238" s="49"/>
    </row>
    <row r="239" spans="1:73" x14ac:dyDescent="0.25">
      <c r="A239" s="65" t="s">
        <v>295</v>
      </c>
      <c r="B239" s="65" t="s">
        <v>295</v>
      </c>
      <c r="C239" s="66" t="s">
        <v>10073</v>
      </c>
      <c r="D239" s="67">
        <v>3</v>
      </c>
      <c r="E239" s="68" t="s">
        <v>132</v>
      </c>
      <c r="F239" s="69">
        <v>35</v>
      </c>
      <c r="G239" s="66"/>
      <c r="H239" s="70"/>
      <c r="I239" s="71"/>
      <c r="J239" s="71"/>
      <c r="K239" s="35" t="s">
        <v>65</v>
      </c>
      <c r="L239" s="79">
        <v>239</v>
      </c>
      <c r="M239" s="79"/>
      <c r="N239" s="73"/>
      <c r="O239" s="81" t="s">
        <v>366</v>
      </c>
      <c r="P239" s="83">
        <v>45230.604907407411</v>
      </c>
      <c r="Q239" s="81" t="s">
        <v>450</v>
      </c>
      <c r="R239" s="81">
        <v>1</v>
      </c>
      <c r="S239" s="81">
        <v>0</v>
      </c>
      <c r="T239" s="81">
        <v>0</v>
      </c>
      <c r="U239" s="81">
        <v>0</v>
      </c>
      <c r="V239" s="81"/>
      <c r="W239" s="81"/>
      <c r="X239" s="81"/>
      <c r="Y239" s="81"/>
      <c r="Z239" s="81" t="s">
        <v>549</v>
      </c>
      <c r="AA239" s="81"/>
      <c r="AB239" s="81"/>
      <c r="AC239" s="84" t="s">
        <v>580</v>
      </c>
      <c r="AD239" s="81" t="s">
        <v>588</v>
      </c>
      <c r="AE239" s="86" t="str">
        <f>HYPERLINK("https://twitter.com/newhousebdj/status/1719361350286069994")</f>
        <v>https://twitter.com/newhousebdj/status/1719361350286069994</v>
      </c>
      <c r="AF239" s="83">
        <v>45230.604907407411</v>
      </c>
      <c r="AG239" s="89">
        <v>45230</v>
      </c>
      <c r="AH239" s="84" t="s">
        <v>695</v>
      </c>
      <c r="AI239" s="81"/>
      <c r="AJ239" s="81"/>
      <c r="AK239" s="81"/>
      <c r="AL239" s="81"/>
      <c r="AM239" s="81"/>
      <c r="AN239" s="81"/>
      <c r="AO239" s="81"/>
      <c r="AP239" s="81"/>
      <c r="AQ239" s="81"/>
      <c r="AR239" s="81"/>
      <c r="AS239" s="81"/>
      <c r="AT239" s="81"/>
      <c r="AU239" s="81"/>
      <c r="AV239" s="86" t="str">
        <f>HYPERLINK("https://pbs.twimg.com/profile_images/1346224080589115394/tMwjkFTB_normal.jpg")</f>
        <v>https://pbs.twimg.com/profile_images/1346224080589115394/tMwjkFTB_normal.jpg</v>
      </c>
      <c r="AW239" s="84" t="s">
        <v>849</v>
      </c>
      <c r="AX239" s="84" t="s">
        <v>849</v>
      </c>
      <c r="AY239" s="81"/>
      <c r="AZ239" s="84" t="s">
        <v>879</v>
      </c>
      <c r="BA239" s="84" t="s">
        <v>879</v>
      </c>
      <c r="BB239" s="84" t="s">
        <v>844</v>
      </c>
      <c r="BC239" s="84" t="s">
        <v>844</v>
      </c>
      <c r="BD239" s="81">
        <v>42631107</v>
      </c>
      <c r="BE239" s="81"/>
      <c r="BF239" s="81"/>
      <c r="BG239" s="81"/>
      <c r="BH239" s="81"/>
      <c r="BI239" s="81"/>
      <c r="BJ239">
        <v>1</v>
      </c>
      <c r="BK239" s="80" t="str">
        <f>REPLACE(INDEX(GroupVertices[Group], MATCH("~"&amp;Edges[[#This Row],[Vertex 1]],GroupVertices[Vertex],0)),1,1,"")</f>
        <v>1</v>
      </c>
      <c r="BL239" s="80" t="str">
        <f>REPLACE(INDEX(GroupVertices[Group], MATCH("~"&amp;Edges[[#This Row],[Vertex 2]],GroupVertices[Vertex],0)),1,1,"")</f>
        <v>1</v>
      </c>
      <c r="BM239" s="49"/>
      <c r="BN239" s="50"/>
      <c r="BO239" s="49"/>
      <c r="BP239" s="50"/>
      <c r="BQ239" s="49"/>
      <c r="BR239" s="50"/>
      <c r="BS239" s="49"/>
      <c r="BT239" s="50"/>
      <c r="BU239" s="49"/>
    </row>
    <row r="240" spans="1:73" x14ac:dyDescent="0.25">
      <c r="A240" s="65" t="s">
        <v>295</v>
      </c>
      <c r="B240" s="65" t="s">
        <v>268</v>
      </c>
      <c r="C240" s="66" t="s">
        <v>10073</v>
      </c>
      <c r="D240" s="67">
        <v>3</v>
      </c>
      <c r="E240" s="68" t="s">
        <v>132</v>
      </c>
      <c r="F240" s="69">
        <v>35</v>
      </c>
      <c r="G240" s="66"/>
      <c r="H240" s="70"/>
      <c r="I240" s="71"/>
      <c r="J240" s="71"/>
      <c r="K240" s="35" t="s">
        <v>65</v>
      </c>
      <c r="L240" s="79">
        <v>240</v>
      </c>
      <c r="M240" s="79"/>
      <c r="N240" s="73"/>
      <c r="O240" s="81" t="s">
        <v>366</v>
      </c>
      <c r="P240" s="83">
        <v>45230.604907407411</v>
      </c>
      <c r="Q240" s="81" t="s">
        <v>450</v>
      </c>
      <c r="R240" s="81">
        <v>1</v>
      </c>
      <c r="S240" s="81">
        <v>0</v>
      </c>
      <c r="T240" s="81">
        <v>0</v>
      </c>
      <c r="U240" s="81">
        <v>0</v>
      </c>
      <c r="V240" s="81"/>
      <c r="W240" s="81"/>
      <c r="X240" s="81"/>
      <c r="Y240" s="81"/>
      <c r="Z240" s="81" t="s">
        <v>549</v>
      </c>
      <c r="AA240" s="81"/>
      <c r="AB240" s="81"/>
      <c r="AC240" s="84" t="s">
        <v>580</v>
      </c>
      <c r="AD240" s="81" t="s">
        <v>588</v>
      </c>
      <c r="AE240" s="86" t="str">
        <f>HYPERLINK("https://twitter.com/newhousebdj/status/1719361350286069994")</f>
        <v>https://twitter.com/newhousebdj/status/1719361350286069994</v>
      </c>
      <c r="AF240" s="83">
        <v>45230.604907407411</v>
      </c>
      <c r="AG240" s="89">
        <v>45230</v>
      </c>
      <c r="AH240" s="84" t="s">
        <v>695</v>
      </c>
      <c r="AI240" s="81"/>
      <c r="AJ240" s="81"/>
      <c r="AK240" s="81"/>
      <c r="AL240" s="81"/>
      <c r="AM240" s="81"/>
      <c r="AN240" s="81"/>
      <c r="AO240" s="81"/>
      <c r="AP240" s="81"/>
      <c r="AQ240" s="81"/>
      <c r="AR240" s="81"/>
      <c r="AS240" s="81"/>
      <c r="AT240" s="81"/>
      <c r="AU240" s="81"/>
      <c r="AV240" s="86" t="str">
        <f>HYPERLINK("https://pbs.twimg.com/profile_images/1346224080589115394/tMwjkFTB_normal.jpg")</f>
        <v>https://pbs.twimg.com/profile_images/1346224080589115394/tMwjkFTB_normal.jpg</v>
      </c>
      <c r="AW240" s="84" t="s">
        <v>849</v>
      </c>
      <c r="AX240" s="84" t="s">
        <v>849</v>
      </c>
      <c r="AY240" s="81"/>
      <c r="AZ240" s="84" t="s">
        <v>879</v>
      </c>
      <c r="BA240" s="84" t="s">
        <v>879</v>
      </c>
      <c r="BB240" s="84" t="s">
        <v>844</v>
      </c>
      <c r="BC240" s="84" t="s">
        <v>844</v>
      </c>
      <c r="BD240" s="81">
        <v>42631107</v>
      </c>
      <c r="BE240" s="81"/>
      <c r="BF240" s="81"/>
      <c r="BG240" s="81"/>
      <c r="BH240" s="81"/>
      <c r="BI240" s="81"/>
      <c r="BJ240">
        <v>1</v>
      </c>
      <c r="BK240" s="80" t="str">
        <f>REPLACE(INDEX(GroupVertices[Group], MATCH("~"&amp;Edges[[#This Row],[Vertex 1]],GroupVertices[Vertex],0)),1,1,"")</f>
        <v>1</v>
      </c>
      <c r="BL240" s="80" t="str">
        <f>REPLACE(INDEX(GroupVertices[Group], MATCH("~"&amp;Edges[[#This Row],[Vertex 2]],GroupVertices[Vertex],0)),1,1,"")</f>
        <v>1</v>
      </c>
      <c r="BM240" s="49"/>
      <c r="BN240" s="50"/>
      <c r="BO240" s="49"/>
      <c r="BP240" s="50"/>
      <c r="BQ240" s="49"/>
      <c r="BR240" s="50"/>
      <c r="BS240" s="49"/>
      <c r="BT240" s="50"/>
      <c r="BU240" s="49"/>
    </row>
    <row r="241" spans="1:73" x14ac:dyDescent="0.25">
      <c r="A241" s="65" t="s">
        <v>284</v>
      </c>
      <c r="B241" s="65" t="s">
        <v>268</v>
      </c>
      <c r="C241" s="66" t="s">
        <v>10073</v>
      </c>
      <c r="D241" s="67">
        <v>3</v>
      </c>
      <c r="E241" s="68" t="s">
        <v>132</v>
      </c>
      <c r="F241" s="69">
        <v>35</v>
      </c>
      <c r="G241" s="66"/>
      <c r="H241" s="70"/>
      <c r="I241" s="71"/>
      <c r="J241" s="71"/>
      <c r="K241" s="35" t="s">
        <v>65</v>
      </c>
      <c r="L241" s="79">
        <v>241</v>
      </c>
      <c r="M241" s="79"/>
      <c r="N241" s="73"/>
      <c r="O241" s="81" t="s">
        <v>367</v>
      </c>
      <c r="P241" s="83">
        <v>45230.554849537039</v>
      </c>
      <c r="Q241" s="81" t="s">
        <v>441</v>
      </c>
      <c r="R241" s="81">
        <v>1</v>
      </c>
      <c r="S241" s="81">
        <v>1</v>
      </c>
      <c r="T241" s="81">
        <v>0</v>
      </c>
      <c r="U241" s="81">
        <v>0</v>
      </c>
      <c r="V241" s="81">
        <v>313</v>
      </c>
      <c r="W241" s="81"/>
      <c r="X241" s="86" t="str">
        <f>HYPERLINK("https://www.celt.iastate.edu/event/a-culture-of-gratitude-best-practices-for-promotion-and-tenure/")</f>
        <v>https://www.celt.iastate.edu/event/a-culture-of-gratitude-best-practices-for-promotion-and-tenure/</v>
      </c>
      <c r="Y241" s="81" t="s">
        <v>511</v>
      </c>
      <c r="Z241" s="81" t="s">
        <v>545</v>
      </c>
      <c r="AA241" s="81"/>
      <c r="AB241" s="81"/>
      <c r="AC241" s="84" t="s">
        <v>582</v>
      </c>
      <c r="AD241" s="81" t="s">
        <v>588</v>
      </c>
      <c r="AE241" s="86" t="str">
        <f>HYPERLINK("https://twitter.com/michael_bugeja/status/1719343210949124292")</f>
        <v>https://twitter.com/michael_bugeja/status/1719343210949124292</v>
      </c>
      <c r="AF241" s="83">
        <v>45230.554849537039</v>
      </c>
      <c r="AG241" s="89">
        <v>45230</v>
      </c>
      <c r="AH241" s="84" t="s">
        <v>679</v>
      </c>
      <c r="AI241" s="81" t="b">
        <v>0</v>
      </c>
      <c r="AJ241" s="81"/>
      <c r="AK241" s="81"/>
      <c r="AL241" s="81"/>
      <c r="AM241" s="81"/>
      <c r="AN241" s="81"/>
      <c r="AO241" s="81"/>
      <c r="AP241" s="81"/>
      <c r="AQ241" s="81"/>
      <c r="AR241" s="81"/>
      <c r="AS241" s="81"/>
      <c r="AT241" s="81"/>
      <c r="AU241" s="81"/>
      <c r="AV241" s="86" t="str">
        <f>HYPERLINK("https://pbs.twimg.com/profile_images/1060299959570849793/ZJPqNMgP_normal.jpg")</f>
        <v>https://pbs.twimg.com/profile_images/1060299959570849793/ZJPqNMgP_normal.jpg</v>
      </c>
      <c r="AW241" s="84" t="s">
        <v>833</v>
      </c>
      <c r="AX241" s="84" t="s">
        <v>833</v>
      </c>
      <c r="AY241" s="81"/>
      <c r="AZ241" s="84" t="s">
        <v>879</v>
      </c>
      <c r="BA241" s="84" t="s">
        <v>879</v>
      </c>
      <c r="BB241" s="84" t="s">
        <v>879</v>
      </c>
      <c r="BC241" s="84" t="s">
        <v>833</v>
      </c>
      <c r="BD241" s="81">
        <v>80869971</v>
      </c>
      <c r="BE241" s="81"/>
      <c r="BF241" s="81"/>
      <c r="BG241" s="81"/>
      <c r="BH241" s="81"/>
      <c r="BI241" s="81"/>
      <c r="BJ241">
        <v>1</v>
      </c>
      <c r="BK241" s="80" t="str">
        <f>REPLACE(INDEX(GroupVertices[Group], MATCH("~"&amp;Edges[[#This Row],[Vertex 1]],GroupVertices[Vertex],0)),1,1,"")</f>
        <v>9</v>
      </c>
      <c r="BL241" s="80" t="str">
        <f>REPLACE(INDEX(GroupVertices[Group], MATCH("~"&amp;Edges[[#This Row],[Vertex 2]],GroupVertices[Vertex],0)),1,1,"")</f>
        <v>1</v>
      </c>
      <c r="BM241" s="49"/>
      <c r="BN241" s="50"/>
      <c r="BO241" s="49"/>
      <c r="BP241" s="50"/>
      <c r="BQ241" s="49"/>
      <c r="BR241" s="50"/>
      <c r="BS241" s="49"/>
      <c r="BT241" s="50"/>
      <c r="BU241" s="49"/>
    </row>
    <row r="242" spans="1:73" x14ac:dyDescent="0.25">
      <c r="A242" s="65" t="s">
        <v>284</v>
      </c>
      <c r="B242" s="65" t="s">
        <v>296</v>
      </c>
      <c r="C242" s="66" t="s">
        <v>10073</v>
      </c>
      <c r="D242" s="67">
        <v>3</v>
      </c>
      <c r="E242" s="68" t="s">
        <v>132</v>
      </c>
      <c r="F242" s="69">
        <v>35</v>
      </c>
      <c r="G242" s="66"/>
      <c r="H242" s="70"/>
      <c r="I242" s="71"/>
      <c r="J242" s="71"/>
      <c r="K242" s="35" t="s">
        <v>66</v>
      </c>
      <c r="L242" s="79">
        <v>242</v>
      </c>
      <c r="M242" s="79"/>
      <c r="N242" s="73"/>
      <c r="O242" s="81" t="s">
        <v>367</v>
      </c>
      <c r="P242" s="83">
        <v>45230.554849537039</v>
      </c>
      <c r="Q242" s="81" t="s">
        <v>441</v>
      </c>
      <c r="R242" s="81">
        <v>1</v>
      </c>
      <c r="S242" s="81">
        <v>1</v>
      </c>
      <c r="T242" s="81">
        <v>0</v>
      </c>
      <c r="U242" s="81">
        <v>0</v>
      </c>
      <c r="V242" s="81">
        <v>313</v>
      </c>
      <c r="W242" s="81"/>
      <c r="X242" s="86" t="str">
        <f>HYPERLINK("https://www.celt.iastate.edu/event/a-culture-of-gratitude-best-practices-for-promotion-and-tenure/")</f>
        <v>https://www.celt.iastate.edu/event/a-culture-of-gratitude-best-practices-for-promotion-and-tenure/</v>
      </c>
      <c r="Y242" s="81" t="s">
        <v>511</v>
      </c>
      <c r="Z242" s="81" t="s">
        <v>545</v>
      </c>
      <c r="AA242" s="81"/>
      <c r="AB242" s="81"/>
      <c r="AC242" s="84" t="s">
        <v>582</v>
      </c>
      <c r="AD242" s="81" t="s">
        <v>588</v>
      </c>
      <c r="AE242" s="86" t="str">
        <f>HYPERLINK("https://twitter.com/michael_bugeja/status/1719343210949124292")</f>
        <v>https://twitter.com/michael_bugeja/status/1719343210949124292</v>
      </c>
      <c r="AF242" s="83">
        <v>45230.554849537039</v>
      </c>
      <c r="AG242" s="89">
        <v>45230</v>
      </c>
      <c r="AH242" s="84" t="s">
        <v>679</v>
      </c>
      <c r="AI242" s="81" t="b">
        <v>0</v>
      </c>
      <c r="AJ242" s="81"/>
      <c r="AK242" s="81"/>
      <c r="AL242" s="81"/>
      <c r="AM242" s="81"/>
      <c r="AN242" s="81"/>
      <c r="AO242" s="81"/>
      <c r="AP242" s="81"/>
      <c r="AQ242" s="81"/>
      <c r="AR242" s="81"/>
      <c r="AS242" s="81"/>
      <c r="AT242" s="81"/>
      <c r="AU242" s="81"/>
      <c r="AV242" s="86" t="str">
        <f>HYPERLINK("https://pbs.twimg.com/profile_images/1060299959570849793/ZJPqNMgP_normal.jpg")</f>
        <v>https://pbs.twimg.com/profile_images/1060299959570849793/ZJPqNMgP_normal.jpg</v>
      </c>
      <c r="AW242" s="84" t="s">
        <v>833</v>
      </c>
      <c r="AX242" s="84" t="s">
        <v>833</v>
      </c>
      <c r="AY242" s="81"/>
      <c r="AZ242" s="84" t="s">
        <v>879</v>
      </c>
      <c r="BA242" s="84" t="s">
        <v>879</v>
      </c>
      <c r="BB242" s="84" t="s">
        <v>879</v>
      </c>
      <c r="BC242" s="84" t="s">
        <v>833</v>
      </c>
      <c r="BD242" s="81">
        <v>80869971</v>
      </c>
      <c r="BE242" s="81"/>
      <c r="BF242" s="81"/>
      <c r="BG242" s="81"/>
      <c r="BH242" s="81"/>
      <c r="BI242" s="81"/>
      <c r="BJ242">
        <v>1</v>
      </c>
      <c r="BK242" s="80" t="str">
        <f>REPLACE(INDEX(GroupVertices[Group], MATCH("~"&amp;Edges[[#This Row],[Vertex 1]],GroupVertices[Vertex],0)),1,1,"")</f>
        <v>9</v>
      </c>
      <c r="BL242" s="80" t="str">
        <f>REPLACE(INDEX(GroupVertices[Group], MATCH("~"&amp;Edges[[#This Row],[Vertex 2]],GroupVertices[Vertex],0)),1,1,"")</f>
        <v>9</v>
      </c>
      <c r="BM242" s="49">
        <v>5</v>
      </c>
      <c r="BN242" s="50">
        <v>11.363636363636363</v>
      </c>
      <c r="BO242" s="49">
        <v>0</v>
      </c>
      <c r="BP242" s="50">
        <v>0</v>
      </c>
      <c r="BQ242" s="49">
        <v>0</v>
      </c>
      <c r="BR242" s="50">
        <v>0</v>
      </c>
      <c r="BS242" s="49">
        <v>18</v>
      </c>
      <c r="BT242" s="50">
        <v>40.909090909090907</v>
      </c>
      <c r="BU242" s="49">
        <v>44</v>
      </c>
    </row>
    <row r="243" spans="1:73" x14ac:dyDescent="0.25">
      <c r="A243" s="65" t="s">
        <v>296</v>
      </c>
      <c r="B243" s="65" t="s">
        <v>284</v>
      </c>
      <c r="C243" s="66" t="s">
        <v>10073</v>
      </c>
      <c r="D243" s="67">
        <v>3</v>
      </c>
      <c r="E243" s="68" t="s">
        <v>132</v>
      </c>
      <c r="F243" s="69">
        <v>35</v>
      </c>
      <c r="G243" s="66"/>
      <c r="H243" s="70"/>
      <c r="I243" s="71"/>
      <c r="J243" s="71"/>
      <c r="K243" s="35" t="s">
        <v>66</v>
      </c>
      <c r="L243" s="79">
        <v>243</v>
      </c>
      <c r="M243" s="79"/>
      <c r="N243" s="73"/>
      <c r="O243" s="81" t="s">
        <v>365</v>
      </c>
      <c r="P243" s="83">
        <v>45230.663136574076</v>
      </c>
      <c r="Q243" s="81" t="s">
        <v>452</v>
      </c>
      <c r="R243" s="81">
        <v>1</v>
      </c>
      <c r="S243" s="81">
        <v>0</v>
      </c>
      <c r="T243" s="81">
        <v>0</v>
      </c>
      <c r="U243" s="81">
        <v>0</v>
      </c>
      <c r="V243" s="81"/>
      <c r="W243" s="81"/>
      <c r="X243" s="81"/>
      <c r="Y243" s="81"/>
      <c r="Z243" s="81" t="s">
        <v>284</v>
      </c>
      <c r="AA243" s="81"/>
      <c r="AB243" s="81"/>
      <c r="AC243" s="84" t="s">
        <v>586</v>
      </c>
      <c r="AD243" s="81" t="s">
        <v>588</v>
      </c>
      <c r="AE243" s="86" t="str">
        <f>HYPERLINK("https://twitter.com/natcomm/status/1719382452064391275")</f>
        <v>https://twitter.com/natcomm/status/1719382452064391275</v>
      </c>
      <c r="AF243" s="83">
        <v>45230.663136574076</v>
      </c>
      <c r="AG243" s="89">
        <v>45230</v>
      </c>
      <c r="AH243" s="84" t="s">
        <v>697</v>
      </c>
      <c r="AI243" s="81"/>
      <c r="AJ243" s="81"/>
      <c r="AK243" s="81"/>
      <c r="AL243" s="81"/>
      <c r="AM243" s="81"/>
      <c r="AN243" s="81"/>
      <c r="AO243" s="81"/>
      <c r="AP243" s="81"/>
      <c r="AQ243" s="81"/>
      <c r="AR243" s="81"/>
      <c r="AS243" s="81"/>
      <c r="AT243" s="81"/>
      <c r="AU243" s="81"/>
      <c r="AV243" s="86" t="str">
        <f>HYPERLINK("https://pbs.twimg.com/profile_images/1110927896435150849/M16LTNRp_normal.png")</f>
        <v>https://pbs.twimg.com/profile_images/1110927896435150849/M16LTNRp_normal.png</v>
      </c>
      <c r="AW243" s="84" t="s">
        <v>851</v>
      </c>
      <c r="AX243" s="84" t="s">
        <v>851</v>
      </c>
      <c r="AY243" s="81"/>
      <c r="AZ243" s="84" t="s">
        <v>879</v>
      </c>
      <c r="BA243" s="84" t="s">
        <v>879</v>
      </c>
      <c r="BB243" s="84" t="s">
        <v>833</v>
      </c>
      <c r="BC243" s="84" t="s">
        <v>833</v>
      </c>
      <c r="BD243" s="81">
        <v>17880989</v>
      </c>
      <c r="BE243" s="81"/>
      <c r="BF243" s="81"/>
      <c r="BG243" s="81"/>
      <c r="BH243" s="81"/>
      <c r="BI243" s="81"/>
      <c r="BJ243">
        <v>1</v>
      </c>
      <c r="BK243" s="80" t="str">
        <f>REPLACE(INDEX(GroupVertices[Group], MATCH("~"&amp;Edges[[#This Row],[Vertex 1]],GroupVertices[Vertex],0)),1,1,"")</f>
        <v>9</v>
      </c>
      <c r="BL243" s="80" t="str">
        <f>REPLACE(INDEX(GroupVertices[Group], MATCH("~"&amp;Edges[[#This Row],[Vertex 2]],GroupVertices[Vertex],0)),1,1,"")</f>
        <v>9</v>
      </c>
      <c r="BM243" s="49">
        <v>1</v>
      </c>
      <c r="BN243" s="50">
        <v>3.7037037037037037</v>
      </c>
      <c r="BO243" s="49">
        <v>0</v>
      </c>
      <c r="BP243" s="50">
        <v>0</v>
      </c>
      <c r="BQ243" s="49">
        <v>0</v>
      </c>
      <c r="BR243" s="50">
        <v>0</v>
      </c>
      <c r="BS243" s="49">
        <v>8</v>
      </c>
      <c r="BT243" s="50">
        <v>29.62962962962963</v>
      </c>
      <c r="BU243" s="49">
        <v>27</v>
      </c>
    </row>
    <row r="244" spans="1:73" x14ac:dyDescent="0.25">
      <c r="A244" s="65" t="s">
        <v>297</v>
      </c>
      <c r="B244" s="65" t="s">
        <v>306</v>
      </c>
      <c r="C244" s="66" t="s">
        <v>10073</v>
      </c>
      <c r="D244" s="67">
        <v>3</v>
      </c>
      <c r="E244" s="68" t="s">
        <v>132</v>
      </c>
      <c r="F244" s="69">
        <v>35</v>
      </c>
      <c r="G244" s="66"/>
      <c r="H244" s="70"/>
      <c r="I244" s="71"/>
      <c r="J244" s="71"/>
      <c r="K244" s="35" t="s">
        <v>65</v>
      </c>
      <c r="L244" s="79">
        <v>244</v>
      </c>
      <c r="M244" s="79"/>
      <c r="N244" s="73"/>
      <c r="O244" s="81" t="s">
        <v>365</v>
      </c>
      <c r="P244" s="83">
        <v>45234.965081018519</v>
      </c>
      <c r="Q244" s="81" t="s">
        <v>383</v>
      </c>
      <c r="R244" s="81">
        <v>4</v>
      </c>
      <c r="S244" s="81">
        <v>0</v>
      </c>
      <c r="T244" s="81">
        <v>0</v>
      </c>
      <c r="U244" s="81">
        <v>0</v>
      </c>
      <c r="V244" s="81"/>
      <c r="W244" s="81"/>
      <c r="X244" s="81"/>
      <c r="Y244" s="81"/>
      <c r="Z244" s="81" t="s">
        <v>306</v>
      </c>
      <c r="AA244" s="81"/>
      <c r="AB244" s="81"/>
      <c r="AC244" s="84" t="s">
        <v>580</v>
      </c>
      <c r="AD244" s="81" t="s">
        <v>588</v>
      </c>
      <c r="AE244" s="86" t="str">
        <f>HYPERLINK("https://twitter.com/ittefaqm/status/1720941421941694564")</f>
        <v>https://twitter.com/ittefaqm/status/1720941421941694564</v>
      </c>
      <c r="AF244" s="83">
        <v>45234.965081018519</v>
      </c>
      <c r="AG244" s="89">
        <v>45234</v>
      </c>
      <c r="AH244" s="84" t="s">
        <v>698</v>
      </c>
      <c r="AI244" s="81"/>
      <c r="AJ244" s="81"/>
      <c r="AK244" s="81"/>
      <c r="AL244" s="81"/>
      <c r="AM244" s="81"/>
      <c r="AN244" s="81"/>
      <c r="AO244" s="81"/>
      <c r="AP244" s="81"/>
      <c r="AQ244" s="81"/>
      <c r="AR244" s="81"/>
      <c r="AS244" s="81"/>
      <c r="AT244" s="81"/>
      <c r="AU244" s="81"/>
      <c r="AV244" s="86" t="str">
        <f>HYPERLINK("https://pbs.twimg.com/profile_images/1549199628058386433/iqbxJw_t_normal.jpg")</f>
        <v>https://pbs.twimg.com/profile_images/1549199628058386433/iqbxJw_t_normal.jpg</v>
      </c>
      <c r="AW244" s="84" t="s">
        <v>852</v>
      </c>
      <c r="AX244" s="84" t="s">
        <v>852</v>
      </c>
      <c r="AY244" s="81"/>
      <c r="AZ244" s="84" t="s">
        <v>879</v>
      </c>
      <c r="BA244" s="84" t="s">
        <v>879</v>
      </c>
      <c r="BB244" s="84" t="s">
        <v>870</v>
      </c>
      <c r="BC244" s="84" t="s">
        <v>870</v>
      </c>
      <c r="BD244" s="81">
        <v>2832986725</v>
      </c>
      <c r="BE244" s="81"/>
      <c r="BF244" s="81"/>
      <c r="BG244" s="81"/>
      <c r="BH244" s="81"/>
      <c r="BI244" s="81"/>
      <c r="BJ244">
        <v>1</v>
      </c>
      <c r="BK244" s="80" t="str">
        <f>REPLACE(INDEX(GroupVertices[Group], MATCH("~"&amp;Edges[[#This Row],[Vertex 1]],GroupVertices[Vertex],0)),1,1,"")</f>
        <v>7</v>
      </c>
      <c r="BL244" s="80" t="str">
        <f>REPLACE(INDEX(GroupVertices[Group], MATCH("~"&amp;Edges[[#This Row],[Vertex 2]],GroupVertices[Vertex],0)),1,1,"")</f>
        <v>7</v>
      </c>
      <c r="BM244" s="49">
        <v>1</v>
      </c>
      <c r="BN244" s="50">
        <v>4.5454545454545459</v>
      </c>
      <c r="BO244" s="49">
        <v>0</v>
      </c>
      <c r="BP244" s="50">
        <v>0</v>
      </c>
      <c r="BQ244" s="49">
        <v>0</v>
      </c>
      <c r="BR244" s="50">
        <v>0</v>
      </c>
      <c r="BS244" s="49">
        <v>14</v>
      </c>
      <c r="BT244" s="50">
        <v>63.636363636363633</v>
      </c>
      <c r="BU244" s="49">
        <v>22</v>
      </c>
    </row>
    <row r="245" spans="1:73" x14ac:dyDescent="0.25">
      <c r="A245" s="65" t="s">
        <v>298</v>
      </c>
      <c r="B245" s="65" t="s">
        <v>351</v>
      </c>
      <c r="C245" s="66" t="s">
        <v>10073</v>
      </c>
      <c r="D245" s="67">
        <v>3</v>
      </c>
      <c r="E245" s="68" t="s">
        <v>132</v>
      </c>
      <c r="F245" s="69">
        <v>35</v>
      </c>
      <c r="G245" s="66"/>
      <c r="H245" s="70"/>
      <c r="I245" s="71"/>
      <c r="J245" s="71"/>
      <c r="K245" s="35" t="s">
        <v>65</v>
      </c>
      <c r="L245" s="79">
        <v>245</v>
      </c>
      <c r="M245" s="79"/>
      <c r="N245" s="73"/>
      <c r="O245" s="81" t="s">
        <v>370</v>
      </c>
      <c r="P245" s="83">
        <v>45228.872465277775</v>
      </c>
      <c r="Q245" s="81" t="s">
        <v>453</v>
      </c>
      <c r="R245" s="81">
        <v>0</v>
      </c>
      <c r="S245" s="81">
        <v>0</v>
      </c>
      <c r="T245" s="81">
        <v>0</v>
      </c>
      <c r="U245" s="81">
        <v>0</v>
      </c>
      <c r="V245" s="81">
        <v>320</v>
      </c>
      <c r="W245" s="84" t="s">
        <v>492</v>
      </c>
      <c r="X245" s="81"/>
      <c r="Y245" s="81"/>
      <c r="Z245" s="81" t="s">
        <v>550</v>
      </c>
      <c r="AA245" s="81"/>
      <c r="AB245" s="81"/>
      <c r="AC245" s="84" t="s">
        <v>580</v>
      </c>
      <c r="AD245" s="81" t="s">
        <v>588</v>
      </c>
      <c r="AE245" s="86" t="str">
        <f>HYPERLINK("https://twitter.com/jeremyhl/status/1718733533605196087")</f>
        <v>https://twitter.com/jeremyhl/status/1718733533605196087</v>
      </c>
      <c r="AF245" s="83">
        <v>45228.872465277775</v>
      </c>
      <c r="AG245" s="89">
        <v>45228</v>
      </c>
      <c r="AH245" s="84" t="s">
        <v>699</v>
      </c>
      <c r="AI245" s="81"/>
      <c r="AJ245" s="81"/>
      <c r="AK245" s="81"/>
      <c r="AL245" s="81"/>
      <c r="AM245" s="81"/>
      <c r="AN245" s="81"/>
      <c r="AO245" s="81"/>
      <c r="AP245" s="81"/>
      <c r="AQ245" s="81"/>
      <c r="AR245" s="81"/>
      <c r="AS245" s="81"/>
      <c r="AT245" s="81"/>
      <c r="AU245" s="81"/>
      <c r="AV245" s="86" t="str">
        <f>HYPERLINK("https://pbs.twimg.com/profile_images/912667889395798022/pMoB2qc8_normal.jpg")</f>
        <v>https://pbs.twimg.com/profile_images/912667889395798022/pMoB2qc8_normal.jpg</v>
      </c>
      <c r="AW245" s="84" t="s">
        <v>853</v>
      </c>
      <c r="AX245" s="84" t="s">
        <v>853</v>
      </c>
      <c r="AY245" s="81"/>
      <c r="AZ245" s="84" t="s">
        <v>879</v>
      </c>
      <c r="BA245" s="84" t="s">
        <v>859</v>
      </c>
      <c r="BB245" s="84" t="s">
        <v>879</v>
      </c>
      <c r="BC245" s="84" t="s">
        <v>859</v>
      </c>
      <c r="BD245" s="81">
        <v>12006842</v>
      </c>
      <c r="BE245" s="81"/>
      <c r="BF245" s="81"/>
      <c r="BG245" s="81"/>
      <c r="BH245" s="81"/>
      <c r="BI245" s="81"/>
      <c r="BJ245">
        <v>1</v>
      </c>
      <c r="BK245" s="80" t="str">
        <f>REPLACE(INDEX(GroupVertices[Group], MATCH("~"&amp;Edges[[#This Row],[Vertex 1]],GroupVertices[Vertex],0)),1,1,"")</f>
        <v>5</v>
      </c>
      <c r="BL245" s="80" t="str">
        <f>REPLACE(INDEX(GroupVertices[Group], MATCH("~"&amp;Edges[[#This Row],[Vertex 2]],GroupVertices[Vertex],0)),1,1,"")</f>
        <v>5</v>
      </c>
      <c r="BM245" s="49"/>
      <c r="BN245" s="50"/>
      <c r="BO245" s="49"/>
      <c r="BP245" s="50"/>
      <c r="BQ245" s="49"/>
      <c r="BR245" s="50"/>
      <c r="BS245" s="49"/>
      <c r="BT245" s="50"/>
      <c r="BU245" s="49"/>
    </row>
    <row r="246" spans="1:73" x14ac:dyDescent="0.25">
      <c r="A246" s="65" t="s">
        <v>252</v>
      </c>
      <c r="B246" s="65" t="s">
        <v>312</v>
      </c>
      <c r="C246" s="66" t="s">
        <v>10073</v>
      </c>
      <c r="D246" s="67">
        <v>3</v>
      </c>
      <c r="E246" s="68" t="s">
        <v>132</v>
      </c>
      <c r="F246" s="69">
        <v>35</v>
      </c>
      <c r="G246" s="66"/>
      <c r="H246" s="70"/>
      <c r="I246" s="71"/>
      <c r="J246" s="71"/>
      <c r="K246" s="35" t="s">
        <v>65</v>
      </c>
      <c r="L246" s="79">
        <v>246</v>
      </c>
      <c r="M246" s="79"/>
      <c r="N246" s="73"/>
      <c r="O246" s="81" t="s">
        <v>367</v>
      </c>
      <c r="P246" s="83">
        <v>45231.96466435185</v>
      </c>
      <c r="Q246" s="81" t="s">
        <v>385</v>
      </c>
      <c r="R246" s="81">
        <v>5</v>
      </c>
      <c r="S246" s="81">
        <v>8</v>
      </c>
      <c r="T246" s="81">
        <v>0</v>
      </c>
      <c r="U246" s="81">
        <v>1</v>
      </c>
      <c r="V246" s="81">
        <v>1786</v>
      </c>
      <c r="W246" s="84" t="s">
        <v>474</v>
      </c>
      <c r="X246" s="86" t="str">
        <f>HYPERLINK("https://www.higheredjobs.com/faculty/details.cfm?JobCode=178594235")</f>
        <v>https://www.higheredjobs.com/faculty/details.cfm?JobCode=178594235</v>
      </c>
      <c r="Y246" s="81" t="s">
        <v>498</v>
      </c>
      <c r="Z246" s="81" t="s">
        <v>527</v>
      </c>
      <c r="AA246" s="81"/>
      <c r="AB246" s="81"/>
      <c r="AC246" s="84" t="s">
        <v>580</v>
      </c>
      <c r="AD246" s="81" t="s">
        <v>588</v>
      </c>
      <c r="AE246" s="86" t="str">
        <f>HYPERLINK("https://twitter.com/willthewordguy/status/1719854110231371957")</f>
        <v>https://twitter.com/willthewordguy/status/1719854110231371957</v>
      </c>
      <c r="AF246" s="83">
        <v>45231.96466435185</v>
      </c>
      <c r="AG246" s="89">
        <v>45231</v>
      </c>
      <c r="AH246" s="84" t="s">
        <v>603</v>
      </c>
      <c r="AI246" s="81" t="b">
        <v>0</v>
      </c>
      <c r="AJ246" s="81"/>
      <c r="AK246" s="81"/>
      <c r="AL246" s="81"/>
      <c r="AM246" s="81"/>
      <c r="AN246" s="81"/>
      <c r="AO246" s="81"/>
      <c r="AP246" s="81"/>
      <c r="AQ246" s="81"/>
      <c r="AR246" s="81"/>
      <c r="AS246" s="81"/>
      <c r="AT246" s="81"/>
      <c r="AU246" s="81"/>
      <c r="AV246" s="86" t="str">
        <f>HYPERLINK("https://pbs.twimg.com/profile_images/1331376273755664384/mF7tQg3B_normal.jpg")</f>
        <v>https://pbs.twimg.com/profile_images/1331376273755664384/mF7tQg3B_normal.jpg</v>
      </c>
      <c r="AW246" s="84" t="s">
        <v>757</v>
      </c>
      <c r="AX246" s="84" t="s">
        <v>757</v>
      </c>
      <c r="AY246" s="81"/>
      <c r="AZ246" s="84" t="s">
        <v>879</v>
      </c>
      <c r="BA246" s="84" t="s">
        <v>879</v>
      </c>
      <c r="BB246" s="84" t="s">
        <v>879</v>
      </c>
      <c r="BC246" s="84" t="s">
        <v>757</v>
      </c>
      <c r="BD246" s="81">
        <v>414179273</v>
      </c>
      <c r="BE246" s="81"/>
      <c r="BF246" s="81"/>
      <c r="BG246" s="81"/>
      <c r="BH246" s="81"/>
      <c r="BI246" s="81"/>
      <c r="BJ246">
        <v>1</v>
      </c>
      <c r="BK246" s="80" t="str">
        <f>REPLACE(INDEX(GroupVertices[Group], MATCH("~"&amp;Edges[[#This Row],[Vertex 1]],GroupVertices[Vertex],0)),1,1,"")</f>
        <v>2</v>
      </c>
      <c r="BL246" s="80" t="str">
        <f>REPLACE(INDEX(GroupVertices[Group], MATCH("~"&amp;Edges[[#This Row],[Vertex 2]],GroupVertices[Vertex],0)),1,1,"")</f>
        <v>2</v>
      </c>
      <c r="BM246" s="49"/>
      <c r="BN246" s="50"/>
      <c r="BO246" s="49"/>
      <c r="BP246" s="50"/>
      <c r="BQ246" s="49"/>
      <c r="BR246" s="50"/>
      <c r="BS246" s="49"/>
      <c r="BT246" s="50"/>
      <c r="BU246" s="49"/>
    </row>
    <row r="247" spans="1:73" x14ac:dyDescent="0.25">
      <c r="A247" s="65" t="s">
        <v>299</v>
      </c>
      <c r="B247" s="65" t="s">
        <v>312</v>
      </c>
      <c r="C247" s="66" t="s">
        <v>10073</v>
      </c>
      <c r="D247" s="67">
        <v>3</v>
      </c>
      <c r="E247" s="68" t="s">
        <v>132</v>
      </c>
      <c r="F247" s="69">
        <v>35</v>
      </c>
      <c r="G247" s="66"/>
      <c r="H247" s="70"/>
      <c r="I247" s="71"/>
      <c r="J247" s="71"/>
      <c r="K247" s="35" t="s">
        <v>65</v>
      </c>
      <c r="L247" s="79">
        <v>247</v>
      </c>
      <c r="M247" s="79"/>
      <c r="N247" s="73"/>
      <c r="O247" s="81" t="s">
        <v>366</v>
      </c>
      <c r="P247" s="83">
        <v>45232.042453703703</v>
      </c>
      <c r="Q247" s="81" t="s">
        <v>379</v>
      </c>
      <c r="R247" s="81">
        <v>5</v>
      </c>
      <c r="S247" s="81">
        <v>0</v>
      </c>
      <c r="T247" s="81">
        <v>0</v>
      </c>
      <c r="U247" s="81">
        <v>0</v>
      </c>
      <c r="V247" s="81"/>
      <c r="W247" s="81"/>
      <c r="X247" s="81"/>
      <c r="Y247" s="81"/>
      <c r="Z247" s="81" t="s">
        <v>523</v>
      </c>
      <c r="AA247" s="81"/>
      <c r="AB247" s="81"/>
      <c r="AC247" s="84" t="s">
        <v>582</v>
      </c>
      <c r="AD247" s="81" t="s">
        <v>588</v>
      </c>
      <c r="AE247" s="86" t="str">
        <f>HYPERLINK("https://twitter.com/drsrivi/status/1719882297246167082")</f>
        <v>https://twitter.com/drsrivi/status/1719882297246167082</v>
      </c>
      <c r="AF247" s="83">
        <v>45232.042453703703</v>
      </c>
      <c r="AG247" s="89">
        <v>45232</v>
      </c>
      <c r="AH247" s="84" t="s">
        <v>700</v>
      </c>
      <c r="AI247" s="81"/>
      <c r="AJ247" s="81"/>
      <c r="AK247" s="81"/>
      <c r="AL247" s="81"/>
      <c r="AM247" s="81"/>
      <c r="AN247" s="81"/>
      <c r="AO247" s="81"/>
      <c r="AP247" s="81"/>
      <c r="AQ247" s="81"/>
      <c r="AR247" s="81"/>
      <c r="AS247" s="81"/>
      <c r="AT247" s="81"/>
      <c r="AU247" s="81"/>
      <c r="AV247" s="86" t="str">
        <f>HYPERLINK("https://pbs.twimg.com/profile_images/1708069099107139584/btI-fYmY_normal.jpg")</f>
        <v>https://pbs.twimg.com/profile_images/1708069099107139584/btI-fYmY_normal.jpg</v>
      </c>
      <c r="AW247" s="84" t="s">
        <v>854</v>
      </c>
      <c r="AX247" s="84" t="s">
        <v>854</v>
      </c>
      <c r="AY247" s="81"/>
      <c r="AZ247" s="84" t="s">
        <v>879</v>
      </c>
      <c r="BA247" s="84" t="s">
        <v>879</v>
      </c>
      <c r="BB247" s="84" t="s">
        <v>757</v>
      </c>
      <c r="BC247" s="84" t="s">
        <v>757</v>
      </c>
      <c r="BD247" s="81">
        <v>1485229458</v>
      </c>
      <c r="BE247" s="81"/>
      <c r="BF247" s="81"/>
      <c r="BG247" s="81"/>
      <c r="BH247" s="81"/>
      <c r="BI247" s="81"/>
      <c r="BJ247">
        <v>1</v>
      </c>
      <c r="BK247" s="80" t="str">
        <f>REPLACE(INDEX(GroupVertices[Group], MATCH("~"&amp;Edges[[#This Row],[Vertex 1]],GroupVertices[Vertex],0)),1,1,"")</f>
        <v>2</v>
      </c>
      <c r="BL247" s="80" t="str">
        <f>REPLACE(INDEX(GroupVertices[Group], MATCH("~"&amp;Edges[[#This Row],[Vertex 2]],GroupVertices[Vertex],0)),1,1,"")</f>
        <v>2</v>
      </c>
      <c r="BM247" s="49"/>
      <c r="BN247" s="50"/>
      <c r="BO247" s="49"/>
      <c r="BP247" s="50"/>
      <c r="BQ247" s="49"/>
      <c r="BR247" s="50"/>
      <c r="BS247" s="49"/>
      <c r="BT247" s="50"/>
      <c r="BU247" s="49"/>
    </row>
    <row r="248" spans="1:73" x14ac:dyDescent="0.25">
      <c r="A248" s="65" t="s">
        <v>252</v>
      </c>
      <c r="B248" s="65" t="s">
        <v>268</v>
      </c>
      <c r="C248" s="66" t="s">
        <v>10075</v>
      </c>
      <c r="D248" s="67">
        <v>10</v>
      </c>
      <c r="E248" s="68" t="s">
        <v>136</v>
      </c>
      <c r="F248" s="69">
        <v>12</v>
      </c>
      <c r="G248" s="66"/>
      <c r="H248" s="70"/>
      <c r="I248" s="71"/>
      <c r="J248" s="71"/>
      <c r="K248" s="35" t="s">
        <v>65</v>
      </c>
      <c r="L248" s="79">
        <v>248</v>
      </c>
      <c r="M248" s="79"/>
      <c r="N248" s="73"/>
      <c r="O248" s="81" t="s">
        <v>367</v>
      </c>
      <c r="P248" s="83">
        <v>45233.693148148152</v>
      </c>
      <c r="Q248" s="81" t="s">
        <v>401</v>
      </c>
      <c r="R248" s="81">
        <v>0</v>
      </c>
      <c r="S248" s="81">
        <v>1</v>
      </c>
      <c r="T248" s="81">
        <v>0</v>
      </c>
      <c r="U248" s="81">
        <v>0</v>
      </c>
      <c r="V248" s="81">
        <v>148</v>
      </c>
      <c r="W248" s="84" t="s">
        <v>474</v>
      </c>
      <c r="X248" s="86" t="str">
        <f>HYPERLINK("https://eeik.fa.us2.oraclecloud.com/hcmUI/CandidateExperience/en/sites/CX_1/requisitions/preview/233303/?keyword=Professor&amp;mode=location")</f>
        <v>https://eeik.fa.us2.oraclecloud.com/hcmUI/CandidateExperience/en/sites/CX_1/requisitions/preview/233303/?keyword=Professor&amp;mode=location</v>
      </c>
      <c r="Y248" s="81" t="s">
        <v>504</v>
      </c>
      <c r="Z248" s="81" t="s">
        <v>534</v>
      </c>
      <c r="AA248" s="81"/>
      <c r="AB248" s="81"/>
      <c r="AC248" s="84" t="s">
        <v>580</v>
      </c>
      <c r="AD248" s="81" t="s">
        <v>588</v>
      </c>
      <c r="AE248" s="86" t="str">
        <f>HYPERLINK("https://twitter.com/willthewordguy/status/1720480491709534567")</f>
        <v>https://twitter.com/willthewordguy/status/1720480491709534567</v>
      </c>
      <c r="AF248" s="83">
        <v>45233.693148148152</v>
      </c>
      <c r="AG248" s="89">
        <v>45233</v>
      </c>
      <c r="AH248" s="84" t="s">
        <v>626</v>
      </c>
      <c r="AI248" s="81" t="b">
        <v>0</v>
      </c>
      <c r="AJ248" s="81"/>
      <c r="AK248" s="81"/>
      <c r="AL248" s="81"/>
      <c r="AM248" s="81"/>
      <c r="AN248" s="81"/>
      <c r="AO248" s="81"/>
      <c r="AP248" s="81"/>
      <c r="AQ248" s="81"/>
      <c r="AR248" s="81"/>
      <c r="AS248" s="81"/>
      <c r="AT248" s="81"/>
      <c r="AU248" s="81"/>
      <c r="AV248" s="86" t="str">
        <f>HYPERLINK("https://pbs.twimg.com/profile_images/1331376273755664384/mF7tQg3B_normal.jpg")</f>
        <v>https://pbs.twimg.com/profile_images/1331376273755664384/mF7tQg3B_normal.jpg</v>
      </c>
      <c r="AW248" s="84" t="s">
        <v>780</v>
      </c>
      <c r="AX248" s="84" t="s">
        <v>780</v>
      </c>
      <c r="AY248" s="81"/>
      <c r="AZ248" s="84" t="s">
        <v>879</v>
      </c>
      <c r="BA248" s="84" t="s">
        <v>879</v>
      </c>
      <c r="BB248" s="84" t="s">
        <v>879</v>
      </c>
      <c r="BC248" s="84" t="s">
        <v>780</v>
      </c>
      <c r="BD248" s="81">
        <v>414179273</v>
      </c>
      <c r="BE248" s="81"/>
      <c r="BF248" s="81"/>
      <c r="BG248" s="81"/>
      <c r="BH248" s="81"/>
      <c r="BI248" s="81"/>
      <c r="BJ248">
        <v>8</v>
      </c>
      <c r="BK248" s="80" t="str">
        <f>REPLACE(INDEX(GroupVertices[Group], MATCH("~"&amp;Edges[[#This Row],[Vertex 1]],GroupVertices[Vertex],0)),1,1,"")</f>
        <v>2</v>
      </c>
      <c r="BL248" s="80" t="str">
        <f>REPLACE(INDEX(GroupVertices[Group], MATCH("~"&amp;Edges[[#This Row],[Vertex 2]],GroupVertices[Vertex],0)),1,1,"")</f>
        <v>1</v>
      </c>
      <c r="BM248" s="49"/>
      <c r="BN248" s="50"/>
      <c r="BO248" s="49"/>
      <c r="BP248" s="50"/>
      <c r="BQ248" s="49"/>
      <c r="BR248" s="50"/>
      <c r="BS248" s="49"/>
      <c r="BT248" s="50"/>
      <c r="BU248" s="49"/>
    </row>
    <row r="249" spans="1:73" x14ac:dyDescent="0.25">
      <c r="A249" s="65" t="s">
        <v>252</v>
      </c>
      <c r="B249" s="65" t="s">
        <v>268</v>
      </c>
      <c r="C249" s="66" t="s">
        <v>10075</v>
      </c>
      <c r="D249" s="67">
        <v>10</v>
      </c>
      <c r="E249" s="68" t="s">
        <v>136</v>
      </c>
      <c r="F249" s="69">
        <v>12</v>
      </c>
      <c r="G249" s="66"/>
      <c r="H249" s="70"/>
      <c r="I249" s="71"/>
      <c r="J249" s="71"/>
      <c r="K249" s="35" t="s">
        <v>65</v>
      </c>
      <c r="L249" s="79">
        <v>249</v>
      </c>
      <c r="M249" s="79"/>
      <c r="N249" s="73"/>
      <c r="O249" s="81" t="s">
        <v>367</v>
      </c>
      <c r="P249" s="83">
        <v>45231.131168981483</v>
      </c>
      <c r="Q249" s="81" t="s">
        <v>454</v>
      </c>
      <c r="R249" s="81">
        <v>2</v>
      </c>
      <c r="S249" s="81">
        <v>2</v>
      </c>
      <c r="T249" s="81">
        <v>0</v>
      </c>
      <c r="U249" s="81">
        <v>0</v>
      </c>
      <c r="V249" s="81">
        <v>291</v>
      </c>
      <c r="W249" s="84" t="s">
        <v>476</v>
      </c>
      <c r="X249" s="86" t="str">
        <f>HYPERLINK("https://employment.marquette.edu/postings/20457")</f>
        <v>https://employment.marquette.edu/postings/20457</v>
      </c>
      <c r="Y249" s="81" t="s">
        <v>500</v>
      </c>
      <c r="Z249" s="81" t="s">
        <v>268</v>
      </c>
      <c r="AA249" s="81"/>
      <c r="AB249" s="81"/>
      <c r="AC249" s="84" t="s">
        <v>580</v>
      </c>
      <c r="AD249" s="81" t="s">
        <v>588</v>
      </c>
      <c r="AE249" s="86" t="str">
        <f>HYPERLINK("https://twitter.com/willthewordguy/status/1719552058796241046")</f>
        <v>https://twitter.com/willthewordguy/status/1719552058796241046</v>
      </c>
      <c r="AF249" s="83">
        <v>45231.131168981483</v>
      </c>
      <c r="AG249" s="89">
        <v>45231</v>
      </c>
      <c r="AH249" s="84" t="s">
        <v>701</v>
      </c>
      <c r="AI249" s="81" t="b">
        <v>0</v>
      </c>
      <c r="AJ249" s="81"/>
      <c r="AK249" s="81"/>
      <c r="AL249" s="81"/>
      <c r="AM249" s="81"/>
      <c r="AN249" s="81"/>
      <c r="AO249" s="81"/>
      <c r="AP249" s="81"/>
      <c r="AQ249" s="81"/>
      <c r="AR249" s="81"/>
      <c r="AS249" s="81"/>
      <c r="AT249" s="81"/>
      <c r="AU249" s="81"/>
      <c r="AV249" s="86" t="str">
        <f>HYPERLINK("https://pbs.twimg.com/profile_images/1331376273755664384/mF7tQg3B_normal.jpg")</f>
        <v>https://pbs.twimg.com/profile_images/1331376273755664384/mF7tQg3B_normal.jpg</v>
      </c>
      <c r="AW249" s="84" t="s">
        <v>855</v>
      </c>
      <c r="AX249" s="84" t="s">
        <v>855</v>
      </c>
      <c r="AY249" s="81"/>
      <c r="AZ249" s="84" t="s">
        <v>879</v>
      </c>
      <c r="BA249" s="84" t="s">
        <v>879</v>
      </c>
      <c r="BB249" s="84" t="s">
        <v>879</v>
      </c>
      <c r="BC249" s="84" t="s">
        <v>855</v>
      </c>
      <c r="BD249" s="81">
        <v>414179273</v>
      </c>
      <c r="BE249" s="81"/>
      <c r="BF249" s="81"/>
      <c r="BG249" s="81"/>
      <c r="BH249" s="81"/>
      <c r="BI249" s="81"/>
      <c r="BJ249">
        <v>8</v>
      </c>
      <c r="BK249" s="80" t="str">
        <f>REPLACE(INDEX(GroupVertices[Group], MATCH("~"&amp;Edges[[#This Row],[Vertex 1]],GroupVertices[Vertex],0)),1,1,"")</f>
        <v>2</v>
      </c>
      <c r="BL249" s="80" t="str">
        <f>REPLACE(INDEX(GroupVertices[Group], MATCH("~"&amp;Edges[[#This Row],[Vertex 2]],GroupVertices[Vertex],0)),1,1,"")</f>
        <v>1</v>
      </c>
      <c r="BM249" s="49">
        <v>0</v>
      </c>
      <c r="BN249" s="50">
        <v>0</v>
      </c>
      <c r="BO249" s="49">
        <v>0</v>
      </c>
      <c r="BP249" s="50">
        <v>0</v>
      </c>
      <c r="BQ249" s="49">
        <v>0</v>
      </c>
      <c r="BR249" s="50">
        <v>0</v>
      </c>
      <c r="BS249" s="49">
        <v>9</v>
      </c>
      <c r="BT249" s="50">
        <v>90</v>
      </c>
      <c r="BU249" s="49">
        <v>10</v>
      </c>
    </row>
    <row r="250" spans="1:73" x14ac:dyDescent="0.25">
      <c r="A250" s="65" t="s">
        <v>252</v>
      </c>
      <c r="B250" s="65" t="s">
        <v>268</v>
      </c>
      <c r="C250" s="66" t="s">
        <v>10075</v>
      </c>
      <c r="D250" s="67">
        <v>10</v>
      </c>
      <c r="E250" s="68" t="s">
        <v>136</v>
      </c>
      <c r="F250" s="69">
        <v>12</v>
      </c>
      <c r="G250" s="66"/>
      <c r="H250" s="70"/>
      <c r="I250" s="71"/>
      <c r="J250" s="71"/>
      <c r="K250" s="35" t="s">
        <v>65</v>
      </c>
      <c r="L250" s="79">
        <v>250</v>
      </c>
      <c r="M250" s="79"/>
      <c r="N250" s="73"/>
      <c r="O250" s="81" t="s">
        <v>367</v>
      </c>
      <c r="P250" s="83">
        <v>45233.678136574075</v>
      </c>
      <c r="Q250" s="81" t="s">
        <v>455</v>
      </c>
      <c r="R250" s="81">
        <v>1</v>
      </c>
      <c r="S250" s="81">
        <v>3</v>
      </c>
      <c r="T250" s="81">
        <v>0</v>
      </c>
      <c r="U250" s="81">
        <v>0</v>
      </c>
      <c r="V250" s="81">
        <v>295</v>
      </c>
      <c r="W250" s="84" t="s">
        <v>474</v>
      </c>
      <c r="X250" s="86" t="str">
        <f>HYPERLINK("https://www.higheredjobs.com/faculty/details.cfm?JobCode=178596886")</f>
        <v>https://www.higheredjobs.com/faculty/details.cfm?JobCode=178596886</v>
      </c>
      <c r="Y250" s="81" t="s">
        <v>498</v>
      </c>
      <c r="Z250" s="81" t="s">
        <v>268</v>
      </c>
      <c r="AA250" s="81"/>
      <c r="AB250" s="81"/>
      <c r="AC250" s="84" t="s">
        <v>580</v>
      </c>
      <c r="AD250" s="81" t="s">
        <v>588</v>
      </c>
      <c r="AE250" s="86" t="str">
        <f>HYPERLINK("https://twitter.com/willthewordguy/status/1720475048329228593")</f>
        <v>https://twitter.com/willthewordguy/status/1720475048329228593</v>
      </c>
      <c r="AF250" s="83">
        <v>45233.678136574075</v>
      </c>
      <c r="AG250" s="89">
        <v>45233</v>
      </c>
      <c r="AH250" s="84" t="s">
        <v>702</v>
      </c>
      <c r="AI250" s="81" t="b">
        <v>0</v>
      </c>
      <c r="AJ250" s="81"/>
      <c r="AK250" s="81"/>
      <c r="AL250" s="81"/>
      <c r="AM250" s="81"/>
      <c r="AN250" s="81"/>
      <c r="AO250" s="81"/>
      <c r="AP250" s="81"/>
      <c r="AQ250" s="81"/>
      <c r="AR250" s="81"/>
      <c r="AS250" s="81"/>
      <c r="AT250" s="81"/>
      <c r="AU250" s="81"/>
      <c r="AV250" s="86" t="str">
        <f>HYPERLINK("https://pbs.twimg.com/profile_images/1331376273755664384/mF7tQg3B_normal.jpg")</f>
        <v>https://pbs.twimg.com/profile_images/1331376273755664384/mF7tQg3B_normal.jpg</v>
      </c>
      <c r="AW250" s="84" t="s">
        <v>856</v>
      </c>
      <c r="AX250" s="84" t="s">
        <v>856</v>
      </c>
      <c r="AY250" s="81"/>
      <c r="AZ250" s="84" t="s">
        <v>879</v>
      </c>
      <c r="BA250" s="84" t="s">
        <v>879</v>
      </c>
      <c r="BB250" s="84" t="s">
        <v>879</v>
      </c>
      <c r="BC250" s="84" t="s">
        <v>856</v>
      </c>
      <c r="BD250" s="81">
        <v>414179273</v>
      </c>
      <c r="BE250" s="81"/>
      <c r="BF250" s="81"/>
      <c r="BG250" s="81"/>
      <c r="BH250" s="81"/>
      <c r="BI250" s="81"/>
      <c r="BJ250">
        <v>8</v>
      </c>
      <c r="BK250" s="80" t="str">
        <f>REPLACE(INDEX(GroupVertices[Group], MATCH("~"&amp;Edges[[#This Row],[Vertex 1]],GroupVertices[Vertex],0)),1,1,"")</f>
        <v>2</v>
      </c>
      <c r="BL250" s="80" t="str">
        <f>REPLACE(INDEX(GroupVertices[Group], MATCH("~"&amp;Edges[[#This Row],[Vertex 2]],GroupVertices[Vertex],0)),1,1,"")</f>
        <v>1</v>
      </c>
      <c r="BM250" s="49">
        <v>0</v>
      </c>
      <c r="BN250" s="50">
        <v>0</v>
      </c>
      <c r="BO250" s="49">
        <v>0</v>
      </c>
      <c r="BP250" s="50">
        <v>0</v>
      </c>
      <c r="BQ250" s="49">
        <v>0</v>
      </c>
      <c r="BR250" s="50">
        <v>0</v>
      </c>
      <c r="BS250" s="49">
        <v>6</v>
      </c>
      <c r="BT250" s="50">
        <v>85.714285714285708</v>
      </c>
      <c r="BU250" s="49">
        <v>7</v>
      </c>
    </row>
    <row r="251" spans="1:73" x14ac:dyDescent="0.25">
      <c r="A251" s="65" t="s">
        <v>252</v>
      </c>
      <c r="B251" s="65" t="s">
        <v>268</v>
      </c>
      <c r="C251" s="66" t="s">
        <v>10075</v>
      </c>
      <c r="D251" s="67">
        <v>10</v>
      </c>
      <c r="E251" s="68" t="s">
        <v>136</v>
      </c>
      <c r="F251" s="69">
        <v>12</v>
      </c>
      <c r="G251" s="66"/>
      <c r="H251" s="70"/>
      <c r="I251" s="71"/>
      <c r="J251" s="71"/>
      <c r="K251" s="35" t="s">
        <v>65</v>
      </c>
      <c r="L251" s="79">
        <v>251</v>
      </c>
      <c r="M251" s="79"/>
      <c r="N251" s="73"/>
      <c r="O251" s="81" t="s">
        <v>367</v>
      </c>
      <c r="P251" s="83">
        <v>45233.679722222223</v>
      </c>
      <c r="Q251" s="81" t="s">
        <v>402</v>
      </c>
      <c r="R251" s="81">
        <v>0</v>
      </c>
      <c r="S251" s="81">
        <v>1</v>
      </c>
      <c r="T251" s="81">
        <v>0</v>
      </c>
      <c r="U251" s="81">
        <v>0</v>
      </c>
      <c r="V251" s="81">
        <v>104</v>
      </c>
      <c r="W251" s="84" t="s">
        <v>474</v>
      </c>
      <c r="X251" s="86" t="str">
        <f>HYPERLINK("https://www.higheredjobs.com/faculty/details.cfm?JobCode=178595177")</f>
        <v>https://www.higheredjobs.com/faculty/details.cfm?JobCode=178595177</v>
      </c>
      <c r="Y251" s="81" t="s">
        <v>498</v>
      </c>
      <c r="Z251" s="81" t="s">
        <v>534</v>
      </c>
      <c r="AA251" s="81"/>
      <c r="AB251" s="81"/>
      <c r="AC251" s="84" t="s">
        <v>580</v>
      </c>
      <c r="AD251" s="81" t="s">
        <v>588</v>
      </c>
      <c r="AE251" s="86" t="str">
        <f>HYPERLINK("https://twitter.com/willthewordguy/status/1720475626551881857")</f>
        <v>https://twitter.com/willthewordguy/status/1720475626551881857</v>
      </c>
      <c r="AF251" s="83">
        <v>45233.679722222223</v>
      </c>
      <c r="AG251" s="89">
        <v>45233</v>
      </c>
      <c r="AH251" s="84" t="s">
        <v>627</v>
      </c>
      <c r="AI251" s="81" t="b">
        <v>0</v>
      </c>
      <c r="AJ251" s="81"/>
      <c r="AK251" s="81"/>
      <c r="AL251" s="81"/>
      <c r="AM251" s="81"/>
      <c r="AN251" s="81"/>
      <c r="AO251" s="81"/>
      <c r="AP251" s="81"/>
      <c r="AQ251" s="81"/>
      <c r="AR251" s="81"/>
      <c r="AS251" s="81"/>
      <c r="AT251" s="81"/>
      <c r="AU251" s="81"/>
      <c r="AV251" s="86" t="str">
        <f>HYPERLINK("https://pbs.twimg.com/profile_images/1331376273755664384/mF7tQg3B_normal.jpg")</f>
        <v>https://pbs.twimg.com/profile_images/1331376273755664384/mF7tQg3B_normal.jpg</v>
      </c>
      <c r="AW251" s="84" t="s">
        <v>781</v>
      </c>
      <c r="AX251" s="84" t="s">
        <v>781</v>
      </c>
      <c r="AY251" s="81"/>
      <c r="AZ251" s="84" t="s">
        <v>879</v>
      </c>
      <c r="BA251" s="84" t="s">
        <v>879</v>
      </c>
      <c r="BB251" s="84" t="s">
        <v>879</v>
      </c>
      <c r="BC251" s="84" t="s">
        <v>781</v>
      </c>
      <c r="BD251" s="81">
        <v>414179273</v>
      </c>
      <c r="BE251" s="81"/>
      <c r="BF251" s="81"/>
      <c r="BG251" s="81"/>
      <c r="BH251" s="81"/>
      <c r="BI251" s="81"/>
      <c r="BJ251">
        <v>8</v>
      </c>
      <c r="BK251" s="80" t="str">
        <f>REPLACE(INDEX(GroupVertices[Group], MATCH("~"&amp;Edges[[#This Row],[Vertex 1]],GroupVertices[Vertex],0)),1,1,"")</f>
        <v>2</v>
      </c>
      <c r="BL251" s="80" t="str">
        <f>REPLACE(INDEX(GroupVertices[Group], MATCH("~"&amp;Edges[[#This Row],[Vertex 2]],GroupVertices[Vertex],0)),1,1,"")</f>
        <v>1</v>
      </c>
      <c r="BM251" s="49"/>
      <c r="BN251" s="50"/>
      <c r="BO251" s="49"/>
      <c r="BP251" s="50"/>
      <c r="BQ251" s="49"/>
      <c r="BR251" s="50"/>
      <c r="BS251" s="49"/>
      <c r="BT251" s="50"/>
      <c r="BU251" s="49"/>
    </row>
    <row r="252" spans="1:73" x14ac:dyDescent="0.25">
      <c r="A252" s="65" t="s">
        <v>252</v>
      </c>
      <c r="B252" s="65" t="s">
        <v>268</v>
      </c>
      <c r="C252" s="66" t="s">
        <v>10075</v>
      </c>
      <c r="D252" s="67">
        <v>10</v>
      </c>
      <c r="E252" s="68" t="s">
        <v>136</v>
      </c>
      <c r="F252" s="69">
        <v>12</v>
      </c>
      <c r="G252" s="66"/>
      <c r="H252" s="70"/>
      <c r="I252" s="71"/>
      <c r="J252" s="71"/>
      <c r="K252" s="35" t="s">
        <v>65</v>
      </c>
      <c r="L252" s="79">
        <v>252</v>
      </c>
      <c r="M252" s="79"/>
      <c r="N252" s="73"/>
      <c r="O252" s="81" t="s">
        <v>367</v>
      </c>
      <c r="P252" s="83">
        <v>45233.678900462961</v>
      </c>
      <c r="Q252" s="81" t="s">
        <v>456</v>
      </c>
      <c r="R252" s="81">
        <v>0</v>
      </c>
      <c r="S252" s="81">
        <v>1</v>
      </c>
      <c r="T252" s="81">
        <v>0</v>
      </c>
      <c r="U252" s="81">
        <v>0</v>
      </c>
      <c r="V252" s="81">
        <v>119</v>
      </c>
      <c r="W252" s="84" t="s">
        <v>474</v>
      </c>
      <c r="X252" s="86" t="str">
        <f>HYPERLINK("https://www.higheredjobs.com/faculty/details.cfm?JobCode=178596185")</f>
        <v>https://www.higheredjobs.com/faculty/details.cfm?JobCode=178596185</v>
      </c>
      <c r="Y252" s="81" t="s">
        <v>498</v>
      </c>
      <c r="Z252" s="81" t="s">
        <v>268</v>
      </c>
      <c r="AA252" s="81"/>
      <c r="AB252" s="81"/>
      <c r="AC252" s="84" t="s">
        <v>580</v>
      </c>
      <c r="AD252" s="81" t="s">
        <v>588</v>
      </c>
      <c r="AE252" s="86" t="str">
        <f>HYPERLINK("https://twitter.com/willthewordguy/status/1720475325337854362")</f>
        <v>https://twitter.com/willthewordguy/status/1720475325337854362</v>
      </c>
      <c r="AF252" s="83">
        <v>45233.678900462961</v>
      </c>
      <c r="AG252" s="89">
        <v>45233</v>
      </c>
      <c r="AH252" s="84" t="s">
        <v>703</v>
      </c>
      <c r="AI252" s="81" t="b">
        <v>0</v>
      </c>
      <c r="AJ252" s="81"/>
      <c r="AK252" s="81"/>
      <c r="AL252" s="81"/>
      <c r="AM252" s="81"/>
      <c r="AN252" s="81"/>
      <c r="AO252" s="81"/>
      <c r="AP252" s="81"/>
      <c r="AQ252" s="81"/>
      <c r="AR252" s="81"/>
      <c r="AS252" s="81"/>
      <c r="AT252" s="81"/>
      <c r="AU252" s="81"/>
      <c r="AV252" s="86" t="str">
        <f>HYPERLINK("https://pbs.twimg.com/profile_images/1331376273755664384/mF7tQg3B_normal.jpg")</f>
        <v>https://pbs.twimg.com/profile_images/1331376273755664384/mF7tQg3B_normal.jpg</v>
      </c>
      <c r="AW252" s="84" t="s">
        <v>857</v>
      </c>
      <c r="AX252" s="84" t="s">
        <v>857</v>
      </c>
      <c r="AY252" s="81"/>
      <c r="AZ252" s="84" t="s">
        <v>879</v>
      </c>
      <c r="BA252" s="84" t="s">
        <v>879</v>
      </c>
      <c r="BB252" s="84" t="s">
        <v>879</v>
      </c>
      <c r="BC252" s="84" t="s">
        <v>857</v>
      </c>
      <c r="BD252" s="81">
        <v>414179273</v>
      </c>
      <c r="BE252" s="81"/>
      <c r="BF252" s="81"/>
      <c r="BG252" s="81"/>
      <c r="BH252" s="81"/>
      <c r="BI252" s="81"/>
      <c r="BJ252">
        <v>8</v>
      </c>
      <c r="BK252" s="80" t="str">
        <f>REPLACE(INDEX(GroupVertices[Group], MATCH("~"&amp;Edges[[#This Row],[Vertex 1]],GroupVertices[Vertex],0)),1,1,"")</f>
        <v>2</v>
      </c>
      <c r="BL252" s="80" t="str">
        <f>REPLACE(INDEX(GroupVertices[Group], MATCH("~"&amp;Edges[[#This Row],[Vertex 2]],GroupVertices[Vertex],0)),1,1,"")</f>
        <v>1</v>
      </c>
      <c r="BM252" s="49">
        <v>0</v>
      </c>
      <c r="BN252" s="50">
        <v>0</v>
      </c>
      <c r="BO252" s="49">
        <v>0</v>
      </c>
      <c r="BP252" s="50">
        <v>0</v>
      </c>
      <c r="BQ252" s="49">
        <v>0</v>
      </c>
      <c r="BR252" s="50">
        <v>0</v>
      </c>
      <c r="BS252" s="49">
        <v>6</v>
      </c>
      <c r="BT252" s="50">
        <v>100</v>
      </c>
      <c r="BU252" s="49">
        <v>6</v>
      </c>
    </row>
    <row r="253" spans="1:73" x14ac:dyDescent="0.25">
      <c r="A253" s="65" t="s">
        <v>252</v>
      </c>
      <c r="B253" s="65" t="s">
        <v>268</v>
      </c>
      <c r="C253" s="66" t="s">
        <v>10075</v>
      </c>
      <c r="D253" s="67">
        <v>10</v>
      </c>
      <c r="E253" s="68" t="s">
        <v>136</v>
      </c>
      <c r="F253" s="69">
        <v>12</v>
      </c>
      <c r="G253" s="66"/>
      <c r="H253" s="70"/>
      <c r="I253" s="71"/>
      <c r="J253" s="71"/>
      <c r="K253" s="35" t="s">
        <v>65</v>
      </c>
      <c r="L253" s="79">
        <v>253</v>
      </c>
      <c r="M253" s="79"/>
      <c r="N253" s="73"/>
      <c r="O253" s="81" t="s">
        <v>367</v>
      </c>
      <c r="P253" s="83">
        <v>45233.678576388891</v>
      </c>
      <c r="Q253" s="81" t="s">
        <v>457</v>
      </c>
      <c r="R253" s="81">
        <v>0</v>
      </c>
      <c r="S253" s="81">
        <v>1</v>
      </c>
      <c r="T253" s="81">
        <v>0</v>
      </c>
      <c r="U253" s="81">
        <v>0</v>
      </c>
      <c r="V253" s="81">
        <v>98</v>
      </c>
      <c r="W253" s="84" t="s">
        <v>474</v>
      </c>
      <c r="X253" s="86" t="str">
        <f>HYPERLINK("https://www.higheredjobs.com/faculty/details.cfm?JobCode=178596364")</f>
        <v>https://www.higheredjobs.com/faculty/details.cfm?JobCode=178596364</v>
      </c>
      <c r="Y253" s="81" t="s">
        <v>498</v>
      </c>
      <c r="Z253" s="81" t="s">
        <v>268</v>
      </c>
      <c r="AA253" s="81"/>
      <c r="AB253" s="81"/>
      <c r="AC253" s="84" t="s">
        <v>580</v>
      </c>
      <c r="AD253" s="81" t="s">
        <v>588</v>
      </c>
      <c r="AE253" s="86" t="str">
        <f>HYPERLINK("https://twitter.com/willthewordguy/status/1720475208295887090")</f>
        <v>https://twitter.com/willthewordguy/status/1720475208295887090</v>
      </c>
      <c r="AF253" s="83">
        <v>45233.678576388891</v>
      </c>
      <c r="AG253" s="89">
        <v>45233</v>
      </c>
      <c r="AH253" s="84" t="s">
        <v>704</v>
      </c>
      <c r="AI253" s="81" t="b">
        <v>0</v>
      </c>
      <c r="AJ253" s="81"/>
      <c r="AK253" s="81"/>
      <c r="AL253" s="81"/>
      <c r="AM253" s="81"/>
      <c r="AN253" s="81"/>
      <c r="AO253" s="81"/>
      <c r="AP253" s="81"/>
      <c r="AQ253" s="81"/>
      <c r="AR253" s="81"/>
      <c r="AS253" s="81"/>
      <c r="AT253" s="81"/>
      <c r="AU253" s="81"/>
      <c r="AV253" s="86" t="str">
        <f>HYPERLINK("https://pbs.twimg.com/profile_images/1331376273755664384/mF7tQg3B_normal.jpg")</f>
        <v>https://pbs.twimg.com/profile_images/1331376273755664384/mF7tQg3B_normal.jpg</v>
      </c>
      <c r="AW253" s="84" t="s">
        <v>858</v>
      </c>
      <c r="AX253" s="84" t="s">
        <v>858</v>
      </c>
      <c r="AY253" s="81"/>
      <c r="AZ253" s="84" t="s">
        <v>879</v>
      </c>
      <c r="BA253" s="84" t="s">
        <v>879</v>
      </c>
      <c r="BB253" s="84" t="s">
        <v>879</v>
      </c>
      <c r="BC253" s="84" t="s">
        <v>858</v>
      </c>
      <c r="BD253" s="81">
        <v>414179273</v>
      </c>
      <c r="BE253" s="81"/>
      <c r="BF253" s="81"/>
      <c r="BG253" s="81"/>
      <c r="BH253" s="81"/>
      <c r="BI253" s="81"/>
      <c r="BJ253">
        <v>8</v>
      </c>
      <c r="BK253" s="80" t="str">
        <f>REPLACE(INDEX(GroupVertices[Group], MATCH("~"&amp;Edges[[#This Row],[Vertex 1]],GroupVertices[Vertex],0)),1,1,"")</f>
        <v>2</v>
      </c>
      <c r="BL253" s="80" t="str">
        <f>REPLACE(INDEX(GroupVertices[Group], MATCH("~"&amp;Edges[[#This Row],[Vertex 2]],GroupVertices[Vertex],0)),1,1,"")</f>
        <v>1</v>
      </c>
      <c r="BM253" s="49">
        <v>0</v>
      </c>
      <c r="BN253" s="50">
        <v>0</v>
      </c>
      <c r="BO253" s="49">
        <v>0</v>
      </c>
      <c r="BP253" s="50">
        <v>0</v>
      </c>
      <c r="BQ253" s="49">
        <v>0</v>
      </c>
      <c r="BR253" s="50">
        <v>0</v>
      </c>
      <c r="BS253" s="49">
        <v>6</v>
      </c>
      <c r="BT253" s="50">
        <v>100</v>
      </c>
      <c r="BU253" s="49">
        <v>6</v>
      </c>
    </row>
    <row r="254" spans="1:73" x14ac:dyDescent="0.25">
      <c r="A254" s="65" t="s">
        <v>252</v>
      </c>
      <c r="B254" s="65" t="s">
        <v>268</v>
      </c>
      <c r="C254" s="66" t="s">
        <v>10075</v>
      </c>
      <c r="D254" s="67">
        <v>10</v>
      </c>
      <c r="E254" s="68" t="s">
        <v>136</v>
      </c>
      <c r="F254" s="69">
        <v>12</v>
      </c>
      <c r="G254" s="66"/>
      <c r="H254" s="70"/>
      <c r="I254" s="71"/>
      <c r="J254" s="71"/>
      <c r="K254" s="35" t="s">
        <v>65</v>
      </c>
      <c r="L254" s="79">
        <v>254</v>
      </c>
      <c r="M254" s="79"/>
      <c r="N254" s="73"/>
      <c r="O254" s="81" t="s">
        <v>367</v>
      </c>
      <c r="P254" s="83">
        <v>45231.96466435185</v>
      </c>
      <c r="Q254" s="81" t="s">
        <v>385</v>
      </c>
      <c r="R254" s="81">
        <v>5</v>
      </c>
      <c r="S254" s="81">
        <v>8</v>
      </c>
      <c r="T254" s="81">
        <v>0</v>
      </c>
      <c r="U254" s="81">
        <v>1</v>
      </c>
      <c r="V254" s="81">
        <v>1786</v>
      </c>
      <c r="W254" s="84" t="s">
        <v>474</v>
      </c>
      <c r="X254" s="86" t="str">
        <f>HYPERLINK("https://www.higheredjobs.com/faculty/details.cfm?JobCode=178594235")</f>
        <v>https://www.higheredjobs.com/faculty/details.cfm?JobCode=178594235</v>
      </c>
      <c r="Y254" s="81" t="s">
        <v>498</v>
      </c>
      <c r="Z254" s="81" t="s">
        <v>527</v>
      </c>
      <c r="AA254" s="81"/>
      <c r="AB254" s="81"/>
      <c r="AC254" s="84" t="s">
        <v>580</v>
      </c>
      <c r="AD254" s="81" t="s">
        <v>588</v>
      </c>
      <c r="AE254" s="86" t="str">
        <f>HYPERLINK("https://twitter.com/willthewordguy/status/1719854110231371957")</f>
        <v>https://twitter.com/willthewordguy/status/1719854110231371957</v>
      </c>
      <c r="AF254" s="83">
        <v>45231.96466435185</v>
      </c>
      <c r="AG254" s="89">
        <v>45231</v>
      </c>
      <c r="AH254" s="84" t="s">
        <v>603</v>
      </c>
      <c r="AI254" s="81" t="b">
        <v>0</v>
      </c>
      <c r="AJ254" s="81"/>
      <c r="AK254" s="81"/>
      <c r="AL254" s="81"/>
      <c r="AM254" s="81"/>
      <c r="AN254" s="81"/>
      <c r="AO254" s="81"/>
      <c r="AP254" s="81"/>
      <c r="AQ254" s="81"/>
      <c r="AR254" s="81"/>
      <c r="AS254" s="81"/>
      <c r="AT254" s="81"/>
      <c r="AU254" s="81"/>
      <c r="AV254" s="86" t="str">
        <f>HYPERLINK("https://pbs.twimg.com/profile_images/1331376273755664384/mF7tQg3B_normal.jpg")</f>
        <v>https://pbs.twimg.com/profile_images/1331376273755664384/mF7tQg3B_normal.jpg</v>
      </c>
      <c r="AW254" s="84" t="s">
        <v>757</v>
      </c>
      <c r="AX254" s="84" t="s">
        <v>757</v>
      </c>
      <c r="AY254" s="81"/>
      <c r="AZ254" s="84" t="s">
        <v>879</v>
      </c>
      <c r="BA254" s="84" t="s">
        <v>879</v>
      </c>
      <c r="BB254" s="84" t="s">
        <v>879</v>
      </c>
      <c r="BC254" s="84" t="s">
        <v>757</v>
      </c>
      <c r="BD254" s="81">
        <v>414179273</v>
      </c>
      <c r="BE254" s="81"/>
      <c r="BF254" s="81"/>
      <c r="BG254" s="81"/>
      <c r="BH254" s="81"/>
      <c r="BI254" s="81"/>
      <c r="BJ254">
        <v>8</v>
      </c>
      <c r="BK254" s="80" t="str">
        <f>REPLACE(INDEX(GroupVertices[Group], MATCH("~"&amp;Edges[[#This Row],[Vertex 1]],GroupVertices[Vertex],0)),1,1,"")</f>
        <v>2</v>
      </c>
      <c r="BL254" s="80" t="str">
        <f>REPLACE(INDEX(GroupVertices[Group], MATCH("~"&amp;Edges[[#This Row],[Vertex 2]],GroupVertices[Vertex],0)),1,1,"")</f>
        <v>1</v>
      </c>
      <c r="BM254" s="49"/>
      <c r="BN254" s="50"/>
      <c r="BO254" s="49"/>
      <c r="BP254" s="50"/>
      <c r="BQ254" s="49"/>
      <c r="BR254" s="50"/>
      <c r="BS254" s="49"/>
      <c r="BT254" s="50"/>
      <c r="BU254" s="49"/>
    </row>
    <row r="255" spans="1:73" x14ac:dyDescent="0.25">
      <c r="A255" s="65" t="s">
        <v>252</v>
      </c>
      <c r="B255" s="65" t="s">
        <v>268</v>
      </c>
      <c r="C255" s="66" t="s">
        <v>10075</v>
      </c>
      <c r="D255" s="67">
        <v>10</v>
      </c>
      <c r="E255" s="68" t="s">
        <v>136</v>
      </c>
      <c r="F255" s="69">
        <v>12</v>
      </c>
      <c r="G255" s="66"/>
      <c r="H255" s="70"/>
      <c r="I255" s="71"/>
      <c r="J255" s="71"/>
      <c r="K255" s="35" t="s">
        <v>65</v>
      </c>
      <c r="L255" s="79">
        <v>255</v>
      </c>
      <c r="M255" s="79"/>
      <c r="N255" s="73"/>
      <c r="O255" s="81" t="s">
        <v>367</v>
      </c>
      <c r="P255" s="83">
        <v>45231.048402777778</v>
      </c>
      <c r="Q255" s="81" t="s">
        <v>391</v>
      </c>
      <c r="R255" s="81">
        <v>2</v>
      </c>
      <c r="S255" s="81">
        <v>2</v>
      </c>
      <c r="T255" s="81">
        <v>0</v>
      </c>
      <c r="U255" s="81">
        <v>0</v>
      </c>
      <c r="V255" s="81">
        <v>396</v>
      </c>
      <c r="W255" s="84" t="s">
        <v>476</v>
      </c>
      <c r="X255" s="86" t="str">
        <f>HYPERLINK("https://www.schooljobs.com/careers/bgsu/jobs/4264712/assistant-professor-school-of-media-and-communication?page=3&amp;pagetype=jobOpportunitiesJobs")</f>
        <v>https://www.schooljobs.com/careers/bgsu/jobs/4264712/assistant-professor-school-of-media-and-communication?page=3&amp;pagetype=jobOpportunitiesJobs</v>
      </c>
      <c r="Y255" s="81" t="s">
        <v>499</v>
      </c>
      <c r="Z255" s="81" t="s">
        <v>533</v>
      </c>
      <c r="AA255" s="81"/>
      <c r="AB255" s="81"/>
      <c r="AC255" s="84" t="s">
        <v>580</v>
      </c>
      <c r="AD255" s="81" t="s">
        <v>588</v>
      </c>
      <c r="AE255" s="86" t="str">
        <f>HYPERLINK("https://twitter.com/willthewordguy/status/1719522068411085041")</f>
        <v>https://twitter.com/willthewordguy/status/1719522068411085041</v>
      </c>
      <c r="AF255" s="83">
        <v>45231.048402777778</v>
      </c>
      <c r="AG255" s="89">
        <v>45231</v>
      </c>
      <c r="AH255" s="84" t="s">
        <v>612</v>
      </c>
      <c r="AI255" s="81" t="b">
        <v>0</v>
      </c>
      <c r="AJ255" s="81"/>
      <c r="AK255" s="81"/>
      <c r="AL255" s="81"/>
      <c r="AM255" s="81"/>
      <c r="AN255" s="81"/>
      <c r="AO255" s="81"/>
      <c r="AP255" s="81"/>
      <c r="AQ255" s="81"/>
      <c r="AR255" s="81"/>
      <c r="AS255" s="81"/>
      <c r="AT255" s="81"/>
      <c r="AU255" s="81"/>
      <c r="AV255" s="86" t="str">
        <f>HYPERLINK("https://pbs.twimg.com/profile_images/1331376273755664384/mF7tQg3B_normal.jpg")</f>
        <v>https://pbs.twimg.com/profile_images/1331376273755664384/mF7tQg3B_normal.jpg</v>
      </c>
      <c r="AW255" s="84" t="s">
        <v>766</v>
      </c>
      <c r="AX255" s="84" t="s">
        <v>766</v>
      </c>
      <c r="AY255" s="81"/>
      <c r="AZ255" s="84" t="s">
        <v>879</v>
      </c>
      <c r="BA255" s="84" t="s">
        <v>879</v>
      </c>
      <c r="BB255" s="84" t="s">
        <v>879</v>
      </c>
      <c r="BC255" s="84" t="s">
        <v>766</v>
      </c>
      <c r="BD255" s="81">
        <v>414179273</v>
      </c>
      <c r="BE255" s="81"/>
      <c r="BF255" s="81"/>
      <c r="BG255" s="81"/>
      <c r="BH255" s="81"/>
      <c r="BI255" s="81"/>
      <c r="BJ255">
        <v>8</v>
      </c>
      <c r="BK255" s="80" t="str">
        <f>REPLACE(INDEX(GroupVertices[Group], MATCH("~"&amp;Edges[[#This Row],[Vertex 1]],GroupVertices[Vertex],0)),1,1,"")</f>
        <v>2</v>
      </c>
      <c r="BL255" s="80" t="str">
        <f>REPLACE(INDEX(GroupVertices[Group], MATCH("~"&amp;Edges[[#This Row],[Vertex 2]],GroupVertices[Vertex],0)),1,1,"")</f>
        <v>1</v>
      </c>
      <c r="BM255" s="49"/>
      <c r="BN255" s="50"/>
      <c r="BO255" s="49"/>
      <c r="BP255" s="50"/>
      <c r="BQ255" s="49"/>
      <c r="BR255" s="50"/>
      <c r="BS255" s="49"/>
      <c r="BT255" s="50"/>
      <c r="BU255" s="49"/>
    </row>
    <row r="256" spans="1:73" x14ac:dyDescent="0.25">
      <c r="A256" s="65" t="s">
        <v>299</v>
      </c>
      <c r="B256" s="65" t="s">
        <v>252</v>
      </c>
      <c r="C256" s="66" t="s">
        <v>10073</v>
      </c>
      <c r="D256" s="67">
        <v>3</v>
      </c>
      <c r="E256" s="68" t="s">
        <v>132</v>
      </c>
      <c r="F256" s="69">
        <v>35</v>
      </c>
      <c r="G256" s="66"/>
      <c r="H256" s="70"/>
      <c r="I256" s="71"/>
      <c r="J256" s="71"/>
      <c r="K256" s="35" t="s">
        <v>65</v>
      </c>
      <c r="L256" s="79">
        <v>256</v>
      </c>
      <c r="M256" s="79"/>
      <c r="N256" s="73"/>
      <c r="O256" s="81" t="s">
        <v>365</v>
      </c>
      <c r="P256" s="83">
        <v>45232.042453703703</v>
      </c>
      <c r="Q256" s="81" t="s">
        <v>379</v>
      </c>
      <c r="R256" s="81">
        <v>5</v>
      </c>
      <c r="S256" s="81">
        <v>0</v>
      </c>
      <c r="T256" s="81">
        <v>0</v>
      </c>
      <c r="U256" s="81">
        <v>0</v>
      </c>
      <c r="V256" s="81"/>
      <c r="W256" s="81"/>
      <c r="X256" s="81"/>
      <c r="Y256" s="81"/>
      <c r="Z256" s="81" t="s">
        <v>523</v>
      </c>
      <c r="AA256" s="81"/>
      <c r="AB256" s="81"/>
      <c r="AC256" s="84" t="s">
        <v>582</v>
      </c>
      <c r="AD256" s="81" t="s">
        <v>588</v>
      </c>
      <c r="AE256" s="86" t="str">
        <f>HYPERLINK("https://twitter.com/drsrivi/status/1719882297246167082")</f>
        <v>https://twitter.com/drsrivi/status/1719882297246167082</v>
      </c>
      <c r="AF256" s="83">
        <v>45232.042453703703</v>
      </c>
      <c r="AG256" s="89">
        <v>45232</v>
      </c>
      <c r="AH256" s="84" t="s">
        <v>700</v>
      </c>
      <c r="AI256" s="81"/>
      <c r="AJ256" s="81"/>
      <c r="AK256" s="81"/>
      <c r="AL256" s="81"/>
      <c r="AM256" s="81"/>
      <c r="AN256" s="81"/>
      <c r="AO256" s="81"/>
      <c r="AP256" s="81"/>
      <c r="AQ256" s="81"/>
      <c r="AR256" s="81"/>
      <c r="AS256" s="81"/>
      <c r="AT256" s="81"/>
      <c r="AU256" s="81"/>
      <c r="AV256" s="86" t="str">
        <f>HYPERLINK("https://pbs.twimg.com/profile_images/1708069099107139584/btI-fYmY_normal.jpg")</f>
        <v>https://pbs.twimg.com/profile_images/1708069099107139584/btI-fYmY_normal.jpg</v>
      </c>
      <c r="AW256" s="84" t="s">
        <v>854</v>
      </c>
      <c r="AX256" s="84" t="s">
        <v>854</v>
      </c>
      <c r="AY256" s="81"/>
      <c r="AZ256" s="84" t="s">
        <v>879</v>
      </c>
      <c r="BA256" s="84" t="s">
        <v>879</v>
      </c>
      <c r="BB256" s="84" t="s">
        <v>757</v>
      </c>
      <c r="BC256" s="84" t="s">
        <v>757</v>
      </c>
      <c r="BD256" s="81">
        <v>1485229458</v>
      </c>
      <c r="BE256" s="81"/>
      <c r="BF256" s="81"/>
      <c r="BG256" s="81"/>
      <c r="BH256" s="81"/>
      <c r="BI256" s="81"/>
      <c r="BJ256">
        <v>1</v>
      </c>
      <c r="BK256" s="80" t="str">
        <f>REPLACE(INDEX(GroupVertices[Group], MATCH("~"&amp;Edges[[#This Row],[Vertex 1]],GroupVertices[Vertex],0)),1,1,"")</f>
        <v>2</v>
      </c>
      <c r="BL256" s="80" t="str">
        <f>REPLACE(INDEX(GroupVertices[Group], MATCH("~"&amp;Edges[[#This Row],[Vertex 2]],GroupVertices[Vertex],0)),1,1,"")</f>
        <v>2</v>
      </c>
      <c r="BM256" s="49">
        <v>0</v>
      </c>
      <c r="BN256" s="50">
        <v>0</v>
      </c>
      <c r="BO256" s="49">
        <v>0</v>
      </c>
      <c r="BP256" s="50">
        <v>0</v>
      </c>
      <c r="BQ256" s="49">
        <v>0</v>
      </c>
      <c r="BR256" s="50">
        <v>0</v>
      </c>
      <c r="BS256" s="49">
        <v>10</v>
      </c>
      <c r="BT256" s="50">
        <v>58.823529411764703</v>
      </c>
      <c r="BU256" s="49">
        <v>17</v>
      </c>
    </row>
    <row r="257" spans="1:73" x14ac:dyDescent="0.25">
      <c r="A257" s="65" t="s">
        <v>298</v>
      </c>
      <c r="B257" s="65" t="s">
        <v>300</v>
      </c>
      <c r="C257" s="66" t="s">
        <v>10073</v>
      </c>
      <c r="D257" s="67">
        <v>3</v>
      </c>
      <c r="E257" s="68" t="s">
        <v>132</v>
      </c>
      <c r="F257" s="69">
        <v>35</v>
      </c>
      <c r="G257" s="66"/>
      <c r="H257" s="70"/>
      <c r="I257" s="71"/>
      <c r="J257" s="71"/>
      <c r="K257" s="35" t="s">
        <v>65</v>
      </c>
      <c r="L257" s="79">
        <v>257</v>
      </c>
      <c r="M257" s="79"/>
      <c r="N257" s="73"/>
      <c r="O257" s="81" t="s">
        <v>371</v>
      </c>
      <c r="P257" s="83">
        <v>45228.872465277775</v>
      </c>
      <c r="Q257" s="81" t="s">
        <v>453</v>
      </c>
      <c r="R257" s="81">
        <v>0</v>
      </c>
      <c r="S257" s="81">
        <v>0</v>
      </c>
      <c r="T257" s="81">
        <v>0</v>
      </c>
      <c r="U257" s="81">
        <v>0</v>
      </c>
      <c r="V257" s="81">
        <v>320</v>
      </c>
      <c r="W257" s="84" t="s">
        <v>492</v>
      </c>
      <c r="X257" s="81"/>
      <c r="Y257" s="81"/>
      <c r="Z257" s="81" t="s">
        <v>550</v>
      </c>
      <c r="AA257" s="81"/>
      <c r="AB257" s="81"/>
      <c r="AC257" s="84" t="s">
        <v>580</v>
      </c>
      <c r="AD257" s="81" t="s">
        <v>588</v>
      </c>
      <c r="AE257" s="86" t="str">
        <f>HYPERLINK("https://twitter.com/jeremyhl/status/1718733533605196087")</f>
        <v>https://twitter.com/jeremyhl/status/1718733533605196087</v>
      </c>
      <c r="AF257" s="83">
        <v>45228.872465277775</v>
      </c>
      <c r="AG257" s="89">
        <v>45228</v>
      </c>
      <c r="AH257" s="84" t="s">
        <v>699</v>
      </c>
      <c r="AI257" s="81"/>
      <c r="AJ257" s="81"/>
      <c r="AK257" s="81"/>
      <c r="AL257" s="81"/>
      <c r="AM257" s="81"/>
      <c r="AN257" s="81"/>
      <c r="AO257" s="81"/>
      <c r="AP257" s="81"/>
      <c r="AQ257" s="81"/>
      <c r="AR257" s="81"/>
      <c r="AS257" s="81"/>
      <c r="AT257" s="81"/>
      <c r="AU257" s="81"/>
      <c r="AV257" s="86" t="str">
        <f>HYPERLINK("https://pbs.twimg.com/profile_images/912667889395798022/pMoB2qc8_normal.jpg")</f>
        <v>https://pbs.twimg.com/profile_images/912667889395798022/pMoB2qc8_normal.jpg</v>
      </c>
      <c r="AW257" s="84" t="s">
        <v>853</v>
      </c>
      <c r="AX257" s="84" t="s">
        <v>853</v>
      </c>
      <c r="AY257" s="81"/>
      <c r="AZ257" s="84" t="s">
        <v>879</v>
      </c>
      <c r="BA257" s="84" t="s">
        <v>859</v>
      </c>
      <c r="BB257" s="84" t="s">
        <v>879</v>
      </c>
      <c r="BC257" s="84" t="s">
        <v>859</v>
      </c>
      <c r="BD257" s="81">
        <v>12006842</v>
      </c>
      <c r="BE257" s="81"/>
      <c r="BF257" s="81"/>
      <c r="BG257" s="81"/>
      <c r="BH257" s="81"/>
      <c r="BI257" s="81"/>
      <c r="BJ257">
        <v>1</v>
      </c>
      <c r="BK257" s="80" t="str">
        <f>REPLACE(INDEX(GroupVertices[Group], MATCH("~"&amp;Edges[[#This Row],[Vertex 1]],GroupVertices[Vertex],0)),1,1,"")</f>
        <v>5</v>
      </c>
      <c r="BL257" s="80" t="str">
        <f>REPLACE(INDEX(GroupVertices[Group], MATCH("~"&amp;Edges[[#This Row],[Vertex 2]],GroupVertices[Vertex],0)),1,1,"")</f>
        <v>5</v>
      </c>
      <c r="BM257" s="49">
        <v>1</v>
      </c>
      <c r="BN257" s="50">
        <v>7.1428571428571432</v>
      </c>
      <c r="BO257" s="49">
        <v>0</v>
      </c>
      <c r="BP257" s="50">
        <v>0</v>
      </c>
      <c r="BQ257" s="49">
        <v>0</v>
      </c>
      <c r="BR257" s="50">
        <v>0</v>
      </c>
      <c r="BS257" s="49">
        <v>8</v>
      </c>
      <c r="BT257" s="50">
        <v>57.142857142857146</v>
      </c>
      <c r="BU257" s="49">
        <v>14</v>
      </c>
    </row>
    <row r="258" spans="1:73" x14ac:dyDescent="0.25">
      <c r="A258" s="65" t="s">
        <v>300</v>
      </c>
      <c r="B258" s="65" t="s">
        <v>300</v>
      </c>
      <c r="C258" s="66" t="s">
        <v>10073</v>
      </c>
      <c r="D258" s="67">
        <v>3</v>
      </c>
      <c r="E258" s="68" t="s">
        <v>132</v>
      </c>
      <c r="F258" s="69">
        <v>35</v>
      </c>
      <c r="G258" s="66"/>
      <c r="H258" s="70"/>
      <c r="I258" s="71"/>
      <c r="J258" s="71"/>
      <c r="K258" s="35" t="s">
        <v>65</v>
      </c>
      <c r="L258" s="79">
        <v>258</v>
      </c>
      <c r="M258" s="79"/>
      <c r="N258" s="73"/>
      <c r="O258" s="81" t="s">
        <v>196</v>
      </c>
      <c r="P258" s="83">
        <v>45227.622129629628</v>
      </c>
      <c r="Q258" s="81" t="s">
        <v>458</v>
      </c>
      <c r="R258" s="81">
        <v>57571</v>
      </c>
      <c r="S258" s="81">
        <v>134613</v>
      </c>
      <c r="T258" s="81">
        <v>4</v>
      </c>
      <c r="U258" s="81">
        <v>2433</v>
      </c>
      <c r="V258" s="81">
        <v>20869064</v>
      </c>
      <c r="W258" s="81"/>
      <c r="X258" s="81"/>
      <c r="Y258" s="81"/>
      <c r="Z258" s="81"/>
      <c r="AA258" s="81" t="s">
        <v>572</v>
      </c>
      <c r="AB258" s="81" t="s">
        <v>578</v>
      </c>
      <c r="AC258" s="84" t="s">
        <v>580</v>
      </c>
      <c r="AD258" s="81" t="s">
        <v>588</v>
      </c>
      <c r="AE258" s="86" t="str">
        <f>HYPERLINK("https://twitter.com/deviiette/status/1718280425640951818")</f>
        <v>https://twitter.com/deviiette/status/1718280425640951818</v>
      </c>
      <c r="AF258" s="83">
        <v>45227.622129629628</v>
      </c>
      <c r="AG258" s="89">
        <v>45227</v>
      </c>
      <c r="AH258" s="84" t="s">
        <v>705</v>
      </c>
      <c r="AI258" s="81" t="b">
        <v>0</v>
      </c>
      <c r="AJ258" s="81"/>
      <c r="AK258" s="81"/>
      <c r="AL258" s="81"/>
      <c r="AM258" s="81"/>
      <c r="AN258" s="81"/>
      <c r="AO258" s="81"/>
      <c r="AP258" s="81"/>
      <c r="AQ258" s="81" t="s">
        <v>741</v>
      </c>
      <c r="AR258" s="81">
        <v>22173</v>
      </c>
      <c r="AS258" s="81"/>
      <c r="AT258" s="81"/>
      <c r="AU258" s="81"/>
      <c r="AV258" s="86" t="str">
        <f>HYPERLINK("https://pbs.twimg.com/amplify_video_thumb/1717288412196085760/img/DoDTnfixG4fizR8t.jpg")</f>
        <v>https://pbs.twimg.com/amplify_video_thumb/1717288412196085760/img/DoDTnfixG4fizR8t.jpg</v>
      </c>
      <c r="AW258" s="84" t="s">
        <v>859</v>
      </c>
      <c r="AX258" s="84" t="s">
        <v>859</v>
      </c>
      <c r="AY258" s="81"/>
      <c r="AZ258" s="84" t="s">
        <v>879</v>
      </c>
      <c r="BA258" s="84" t="s">
        <v>879</v>
      </c>
      <c r="BB258" s="84" t="s">
        <v>879</v>
      </c>
      <c r="BC258" s="84" t="s">
        <v>859</v>
      </c>
      <c r="BD258" s="81">
        <v>147931182</v>
      </c>
      <c r="BE258" s="81"/>
      <c r="BF258" s="81"/>
      <c r="BG258" s="81"/>
      <c r="BH258" s="81"/>
      <c r="BI258" s="81"/>
      <c r="BJ258">
        <v>1</v>
      </c>
      <c r="BK258" s="80" t="str">
        <f>REPLACE(INDEX(GroupVertices[Group], MATCH("~"&amp;Edges[[#This Row],[Vertex 1]],GroupVertices[Vertex],0)),1,1,"")</f>
        <v>5</v>
      </c>
      <c r="BL258" s="80" t="str">
        <f>REPLACE(INDEX(GroupVertices[Group], MATCH("~"&amp;Edges[[#This Row],[Vertex 2]],GroupVertices[Vertex],0)),1,1,"")</f>
        <v>5</v>
      </c>
      <c r="BM258" s="49">
        <v>0</v>
      </c>
      <c r="BN258" s="50">
        <v>0</v>
      </c>
      <c r="BO258" s="49">
        <v>2</v>
      </c>
      <c r="BP258" s="50">
        <v>22.222222222222221</v>
      </c>
      <c r="BQ258" s="49">
        <v>0</v>
      </c>
      <c r="BR258" s="50">
        <v>0</v>
      </c>
      <c r="BS258" s="49">
        <v>5</v>
      </c>
      <c r="BT258" s="50">
        <v>55.555555555555557</v>
      </c>
      <c r="BU258" s="49">
        <v>9</v>
      </c>
    </row>
    <row r="259" spans="1:73" x14ac:dyDescent="0.25">
      <c r="A259" s="65" t="s">
        <v>301</v>
      </c>
      <c r="B259" s="65" t="s">
        <v>352</v>
      </c>
      <c r="C259" s="66" t="s">
        <v>10073</v>
      </c>
      <c r="D259" s="67">
        <v>3</v>
      </c>
      <c r="E259" s="68" t="s">
        <v>132</v>
      </c>
      <c r="F259" s="69">
        <v>35</v>
      </c>
      <c r="G259" s="66"/>
      <c r="H259" s="70"/>
      <c r="I259" s="71"/>
      <c r="J259" s="71"/>
      <c r="K259" s="35" t="s">
        <v>65</v>
      </c>
      <c r="L259" s="79">
        <v>259</v>
      </c>
      <c r="M259" s="79"/>
      <c r="N259" s="73"/>
      <c r="O259" s="81" t="s">
        <v>367</v>
      </c>
      <c r="P259" s="83">
        <v>44993.371435185189</v>
      </c>
      <c r="Q259" s="81" t="s">
        <v>459</v>
      </c>
      <c r="R259" s="81">
        <v>6</v>
      </c>
      <c r="S259" s="81">
        <v>3</v>
      </c>
      <c r="T259" s="81">
        <v>1</v>
      </c>
      <c r="U259" s="81">
        <v>0</v>
      </c>
      <c r="V259" s="81">
        <v>124</v>
      </c>
      <c r="W259" s="84" t="s">
        <v>493</v>
      </c>
      <c r="X259" s="81"/>
      <c r="Y259" s="81"/>
      <c r="Z259" s="81" t="s">
        <v>551</v>
      </c>
      <c r="AA259" s="81"/>
      <c r="AB259" s="81"/>
      <c r="AC259" s="84" t="s">
        <v>579</v>
      </c>
      <c r="AD259" s="81" t="s">
        <v>588</v>
      </c>
      <c r="AE259" s="86" t="str">
        <f>HYPERLINK("https://twitter.com/michaelbathurst/status/1633390819326545921")</f>
        <v>https://twitter.com/michaelbathurst/status/1633390819326545921</v>
      </c>
      <c r="AF259" s="83">
        <v>44993.371435185189</v>
      </c>
      <c r="AG259" s="89">
        <v>44993</v>
      </c>
      <c r="AH259" s="84" t="s">
        <v>706</v>
      </c>
      <c r="AI259" s="81"/>
      <c r="AJ259" s="81" t="s">
        <v>719</v>
      </c>
      <c r="AK259" s="81" t="s">
        <v>720</v>
      </c>
      <c r="AL259" s="81" t="s">
        <v>721</v>
      </c>
      <c r="AM259" s="81" t="s">
        <v>722</v>
      </c>
      <c r="AN259" s="81" t="s">
        <v>723</v>
      </c>
      <c r="AO259" s="81" t="s">
        <v>724</v>
      </c>
      <c r="AP259" s="81" t="s">
        <v>725</v>
      </c>
      <c r="AQ259" s="81"/>
      <c r="AR259" s="81"/>
      <c r="AS259" s="81"/>
      <c r="AT259" s="81"/>
      <c r="AU259" s="81"/>
      <c r="AV259" s="86" t="str">
        <f>HYPERLINK("https://pbs.twimg.com/profile_images/1331610042748051458/8NtBN_eL_normal.jpg")</f>
        <v>https://pbs.twimg.com/profile_images/1331610042748051458/8NtBN_eL_normal.jpg</v>
      </c>
      <c r="AW259" s="84" t="s">
        <v>860</v>
      </c>
      <c r="AX259" s="84" t="s">
        <v>860</v>
      </c>
      <c r="AY259" s="81"/>
      <c r="AZ259" s="84" t="s">
        <v>879</v>
      </c>
      <c r="BA259" s="84" t="s">
        <v>879</v>
      </c>
      <c r="BB259" s="84" t="s">
        <v>879</v>
      </c>
      <c r="BC259" s="84" t="s">
        <v>860</v>
      </c>
      <c r="BD259" s="81">
        <v>37188645</v>
      </c>
      <c r="BE259" s="81"/>
      <c r="BF259" s="81"/>
      <c r="BG259" s="81"/>
      <c r="BH259" s="81"/>
      <c r="BI259" s="81"/>
      <c r="BJ259">
        <v>1</v>
      </c>
      <c r="BK259" s="80" t="str">
        <f>REPLACE(INDEX(GroupVertices[Group], MATCH("~"&amp;Edges[[#This Row],[Vertex 1]],GroupVertices[Vertex],0)),1,1,"")</f>
        <v>5</v>
      </c>
      <c r="BL259" s="80" t="str">
        <f>REPLACE(INDEX(GroupVertices[Group], MATCH("~"&amp;Edges[[#This Row],[Vertex 2]],GroupVertices[Vertex],0)),1,1,"")</f>
        <v>5</v>
      </c>
      <c r="BM259" s="49"/>
      <c r="BN259" s="50"/>
      <c r="BO259" s="49"/>
      <c r="BP259" s="50"/>
      <c r="BQ259" s="49"/>
      <c r="BR259" s="50"/>
      <c r="BS259" s="49"/>
      <c r="BT259" s="50"/>
      <c r="BU259" s="49"/>
    </row>
    <row r="260" spans="1:73" x14ac:dyDescent="0.25">
      <c r="A260" s="65" t="s">
        <v>301</v>
      </c>
      <c r="B260" s="65" t="s">
        <v>353</v>
      </c>
      <c r="C260" s="66" t="s">
        <v>10073</v>
      </c>
      <c r="D260" s="67">
        <v>3</v>
      </c>
      <c r="E260" s="68" t="s">
        <v>132</v>
      </c>
      <c r="F260" s="69">
        <v>35</v>
      </c>
      <c r="G260" s="66"/>
      <c r="H260" s="70"/>
      <c r="I260" s="71"/>
      <c r="J260" s="71"/>
      <c r="K260" s="35" t="s">
        <v>65</v>
      </c>
      <c r="L260" s="79">
        <v>260</v>
      </c>
      <c r="M260" s="79"/>
      <c r="N260" s="73"/>
      <c r="O260" s="81" t="s">
        <v>367</v>
      </c>
      <c r="P260" s="83">
        <v>44993.371435185189</v>
      </c>
      <c r="Q260" s="81" t="s">
        <v>459</v>
      </c>
      <c r="R260" s="81">
        <v>6</v>
      </c>
      <c r="S260" s="81">
        <v>3</v>
      </c>
      <c r="T260" s="81">
        <v>1</v>
      </c>
      <c r="U260" s="81">
        <v>0</v>
      </c>
      <c r="V260" s="81">
        <v>124</v>
      </c>
      <c r="W260" s="84" t="s">
        <v>493</v>
      </c>
      <c r="X260" s="81"/>
      <c r="Y260" s="81"/>
      <c r="Z260" s="81" t="s">
        <v>551</v>
      </c>
      <c r="AA260" s="81"/>
      <c r="AB260" s="81"/>
      <c r="AC260" s="84" t="s">
        <v>579</v>
      </c>
      <c r="AD260" s="81" t="s">
        <v>588</v>
      </c>
      <c r="AE260" s="86" t="str">
        <f>HYPERLINK("https://twitter.com/michaelbathurst/status/1633390819326545921")</f>
        <v>https://twitter.com/michaelbathurst/status/1633390819326545921</v>
      </c>
      <c r="AF260" s="83">
        <v>44993.371435185189</v>
      </c>
      <c r="AG260" s="89">
        <v>44993</v>
      </c>
      <c r="AH260" s="84" t="s">
        <v>706</v>
      </c>
      <c r="AI260" s="81"/>
      <c r="AJ260" s="81" t="s">
        <v>719</v>
      </c>
      <c r="AK260" s="81" t="s">
        <v>720</v>
      </c>
      <c r="AL260" s="81" t="s">
        <v>721</v>
      </c>
      <c r="AM260" s="81" t="s">
        <v>722</v>
      </c>
      <c r="AN260" s="81" t="s">
        <v>723</v>
      </c>
      <c r="AO260" s="81" t="s">
        <v>724</v>
      </c>
      <c r="AP260" s="81" t="s">
        <v>725</v>
      </c>
      <c r="AQ260" s="81"/>
      <c r="AR260" s="81"/>
      <c r="AS260" s="81"/>
      <c r="AT260" s="81"/>
      <c r="AU260" s="81"/>
      <c r="AV260" s="86" t="str">
        <f>HYPERLINK("https://pbs.twimg.com/profile_images/1331610042748051458/8NtBN_eL_normal.jpg")</f>
        <v>https://pbs.twimg.com/profile_images/1331610042748051458/8NtBN_eL_normal.jpg</v>
      </c>
      <c r="AW260" s="84" t="s">
        <v>860</v>
      </c>
      <c r="AX260" s="84" t="s">
        <v>860</v>
      </c>
      <c r="AY260" s="81"/>
      <c r="AZ260" s="84" t="s">
        <v>879</v>
      </c>
      <c r="BA260" s="84" t="s">
        <v>879</v>
      </c>
      <c r="BB260" s="84" t="s">
        <v>879</v>
      </c>
      <c r="BC260" s="84" t="s">
        <v>860</v>
      </c>
      <c r="BD260" s="81">
        <v>37188645</v>
      </c>
      <c r="BE260" s="81"/>
      <c r="BF260" s="81"/>
      <c r="BG260" s="81"/>
      <c r="BH260" s="81"/>
      <c r="BI260" s="81"/>
      <c r="BJ260">
        <v>1</v>
      </c>
      <c r="BK260" s="80" t="str">
        <f>REPLACE(INDEX(GroupVertices[Group], MATCH("~"&amp;Edges[[#This Row],[Vertex 1]],GroupVertices[Vertex],0)),1,1,"")</f>
        <v>5</v>
      </c>
      <c r="BL260" s="80" t="str">
        <f>REPLACE(INDEX(GroupVertices[Group], MATCH("~"&amp;Edges[[#This Row],[Vertex 2]],GroupVertices[Vertex],0)),1,1,"")</f>
        <v>5</v>
      </c>
      <c r="BM260" s="49"/>
      <c r="BN260" s="50"/>
      <c r="BO260" s="49"/>
      <c r="BP260" s="50"/>
      <c r="BQ260" s="49"/>
      <c r="BR260" s="50"/>
      <c r="BS260" s="49"/>
      <c r="BT260" s="50"/>
      <c r="BU260" s="49"/>
    </row>
    <row r="261" spans="1:73" x14ac:dyDescent="0.25">
      <c r="A261" s="65" t="s">
        <v>268</v>
      </c>
      <c r="B261" s="65" t="s">
        <v>308</v>
      </c>
      <c r="C261" s="66" t="s">
        <v>10073</v>
      </c>
      <c r="D261" s="67">
        <v>3</v>
      </c>
      <c r="E261" s="68" t="s">
        <v>132</v>
      </c>
      <c r="F261" s="69">
        <v>35</v>
      </c>
      <c r="G261" s="66"/>
      <c r="H261" s="70"/>
      <c r="I261" s="71"/>
      <c r="J261" s="71"/>
      <c r="K261" s="35" t="s">
        <v>65</v>
      </c>
      <c r="L261" s="79">
        <v>261</v>
      </c>
      <c r="M261" s="79"/>
      <c r="N261" s="73"/>
      <c r="O261" s="81" t="s">
        <v>366</v>
      </c>
      <c r="P261" s="83">
        <v>45229.644074074073</v>
      </c>
      <c r="Q261" s="81" t="s">
        <v>460</v>
      </c>
      <c r="R261" s="81">
        <v>4</v>
      </c>
      <c r="S261" s="81">
        <v>0</v>
      </c>
      <c r="T261" s="81">
        <v>0</v>
      </c>
      <c r="U261" s="81">
        <v>0</v>
      </c>
      <c r="V261" s="81"/>
      <c r="W261" s="84" t="s">
        <v>494</v>
      </c>
      <c r="X261" s="81"/>
      <c r="Y261" s="81"/>
      <c r="Z261" s="81" t="s">
        <v>552</v>
      </c>
      <c r="AA261" s="81"/>
      <c r="AB261" s="81"/>
      <c r="AC261" s="84" t="s">
        <v>582</v>
      </c>
      <c r="AD261" s="81" t="s">
        <v>588</v>
      </c>
      <c r="AE261" s="86" t="str">
        <f>HYPERLINK("https://twitter.com/aejmc/status/1719013154087190717")</f>
        <v>https://twitter.com/aejmc/status/1719013154087190717</v>
      </c>
      <c r="AF261" s="83">
        <v>45229.644074074073</v>
      </c>
      <c r="AG261" s="89">
        <v>45229</v>
      </c>
      <c r="AH261" s="84" t="s">
        <v>707</v>
      </c>
      <c r="AI261" s="81"/>
      <c r="AJ261" s="81"/>
      <c r="AK261" s="81"/>
      <c r="AL261" s="81"/>
      <c r="AM261" s="81"/>
      <c r="AN261" s="81"/>
      <c r="AO261" s="81"/>
      <c r="AP261" s="81"/>
      <c r="AQ261" s="81"/>
      <c r="AR261" s="81"/>
      <c r="AS261" s="81"/>
      <c r="AT261" s="81"/>
      <c r="AU261" s="81"/>
      <c r="AV261" s="86" t="str">
        <f>HYPERLINK("https://pbs.twimg.com/profile_images/1559584982439444482/vOVkFGh3_normal.png")</f>
        <v>https://pbs.twimg.com/profile_images/1559584982439444482/vOVkFGh3_normal.png</v>
      </c>
      <c r="AW261" s="84" t="s">
        <v>861</v>
      </c>
      <c r="AX261" s="84" t="s">
        <v>861</v>
      </c>
      <c r="AY261" s="81"/>
      <c r="AZ261" s="84" t="s">
        <v>879</v>
      </c>
      <c r="BA261" s="84" t="s">
        <v>879</v>
      </c>
      <c r="BB261" s="84" t="s">
        <v>872</v>
      </c>
      <c r="BC261" s="84" t="s">
        <v>872</v>
      </c>
      <c r="BD261" s="81">
        <v>8442592</v>
      </c>
      <c r="BE261" s="81"/>
      <c r="BF261" s="81"/>
      <c r="BG261" s="81"/>
      <c r="BH261" s="81"/>
      <c r="BI261" s="81"/>
      <c r="BJ261">
        <v>1</v>
      </c>
      <c r="BK261" s="80" t="str">
        <f>REPLACE(INDEX(GroupVertices[Group], MATCH("~"&amp;Edges[[#This Row],[Vertex 1]],GroupVertices[Vertex],0)),1,1,"")</f>
        <v>1</v>
      </c>
      <c r="BL261" s="80" t="str">
        <f>REPLACE(INDEX(GroupVertices[Group], MATCH("~"&amp;Edges[[#This Row],[Vertex 2]],GroupVertices[Vertex],0)),1,1,"")</f>
        <v>11</v>
      </c>
      <c r="BM261" s="49"/>
      <c r="BN261" s="50"/>
      <c r="BO261" s="49"/>
      <c r="BP261" s="50"/>
      <c r="BQ261" s="49"/>
      <c r="BR261" s="50"/>
      <c r="BS261" s="49"/>
      <c r="BT261" s="50"/>
      <c r="BU261" s="49"/>
    </row>
    <row r="262" spans="1:73" x14ac:dyDescent="0.25">
      <c r="A262" s="65" t="s">
        <v>268</v>
      </c>
      <c r="B262" s="65" t="s">
        <v>308</v>
      </c>
      <c r="C262" s="66" t="s">
        <v>10073</v>
      </c>
      <c r="D262" s="67">
        <v>3</v>
      </c>
      <c r="E262" s="68" t="s">
        <v>132</v>
      </c>
      <c r="F262" s="69">
        <v>35</v>
      </c>
      <c r="G262" s="66"/>
      <c r="H262" s="70"/>
      <c r="I262" s="71"/>
      <c r="J262" s="71"/>
      <c r="K262" s="35" t="s">
        <v>65</v>
      </c>
      <c r="L262" s="79">
        <v>262</v>
      </c>
      <c r="M262" s="79"/>
      <c r="N262" s="73"/>
      <c r="O262" s="81" t="s">
        <v>365</v>
      </c>
      <c r="P262" s="83">
        <v>45229.644074074073</v>
      </c>
      <c r="Q262" s="81" t="s">
        <v>460</v>
      </c>
      <c r="R262" s="81">
        <v>4</v>
      </c>
      <c r="S262" s="81">
        <v>0</v>
      </c>
      <c r="T262" s="81">
        <v>0</v>
      </c>
      <c r="U262" s="81">
        <v>0</v>
      </c>
      <c r="V262" s="81"/>
      <c r="W262" s="84" t="s">
        <v>494</v>
      </c>
      <c r="X262" s="81"/>
      <c r="Y262" s="81"/>
      <c r="Z262" s="81" t="s">
        <v>552</v>
      </c>
      <c r="AA262" s="81"/>
      <c r="AB262" s="81"/>
      <c r="AC262" s="84" t="s">
        <v>582</v>
      </c>
      <c r="AD262" s="81" t="s">
        <v>588</v>
      </c>
      <c r="AE262" s="86" t="str">
        <f>HYPERLINK("https://twitter.com/aejmc/status/1719013154087190717")</f>
        <v>https://twitter.com/aejmc/status/1719013154087190717</v>
      </c>
      <c r="AF262" s="83">
        <v>45229.644074074073</v>
      </c>
      <c r="AG262" s="89">
        <v>45229</v>
      </c>
      <c r="AH262" s="84" t="s">
        <v>707</v>
      </c>
      <c r="AI262" s="81"/>
      <c r="AJ262" s="81"/>
      <c r="AK262" s="81"/>
      <c r="AL262" s="81"/>
      <c r="AM262" s="81"/>
      <c r="AN262" s="81"/>
      <c r="AO262" s="81"/>
      <c r="AP262" s="81"/>
      <c r="AQ262" s="81"/>
      <c r="AR262" s="81"/>
      <c r="AS262" s="81"/>
      <c r="AT262" s="81"/>
      <c r="AU262" s="81"/>
      <c r="AV262" s="86" t="str">
        <f>HYPERLINK("https://pbs.twimg.com/profile_images/1559584982439444482/vOVkFGh3_normal.png")</f>
        <v>https://pbs.twimg.com/profile_images/1559584982439444482/vOVkFGh3_normal.png</v>
      </c>
      <c r="AW262" s="84" t="s">
        <v>861</v>
      </c>
      <c r="AX262" s="84" t="s">
        <v>861</v>
      </c>
      <c r="AY262" s="81"/>
      <c r="AZ262" s="84" t="s">
        <v>879</v>
      </c>
      <c r="BA262" s="84" t="s">
        <v>879</v>
      </c>
      <c r="BB262" s="84" t="s">
        <v>872</v>
      </c>
      <c r="BC262" s="84" t="s">
        <v>872</v>
      </c>
      <c r="BD262" s="81">
        <v>8442592</v>
      </c>
      <c r="BE262" s="81"/>
      <c r="BF262" s="81"/>
      <c r="BG262" s="81"/>
      <c r="BH262" s="81"/>
      <c r="BI262" s="81"/>
      <c r="BJ262">
        <v>1</v>
      </c>
      <c r="BK262" s="80" t="str">
        <f>REPLACE(INDEX(GroupVertices[Group], MATCH("~"&amp;Edges[[#This Row],[Vertex 1]],GroupVertices[Vertex],0)),1,1,"")</f>
        <v>1</v>
      </c>
      <c r="BL262" s="80" t="str">
        <f>REPLACE(INDEX(GroupVertices[Group], MATCH("~"&amp;Edges[[#This Row],[Vertex 2]],GroupVertices[Vertex],0)),1,1,"")</f>
        <v>11</v>
      </c>
      <c r="BM262" s="49">
        <v>2</v>
      </c>
      <c r="BN262" s="50">
        <v>8.3333333333333339</v>
      </c>
      <c r="BO262" s="49">
        <v>0</v>
      </c>
      <c r="BP262" s="50">
        <v>0</v>
      </c>
      <c r="BQ262" s="49">
        <v>0</v>
      </c>
      <c r="BR262" s="50">
        <v>0</v>
      </c>
      <c r="BS262" s="49">
        <v>12</v>
      </c>
      <c r="BT262" s="50">
        <v>50</v>
      </c>
      <c r="BU262" s="49">
        <v>24</v>
      </c>
    </row>
    <row r="263" spans="1:73" x14ac:dyDescent="0.25">
      <c r="A263" s="65" t="s">
        <v>268</v>
      </c>
      <c r="B263" s="65" t="s">
        <v>268</v>
      </c>
      <c r="C263" s="66" t="s">
        <v>10075</v>
      </c>
      <c r="D263" s="67">
        <v>10</v>
      </c>
      <c r="E263" s="68" t="s">
        <v>132</v>
      </c>
      <c r="F263" s="69">
        <v>12</v>
      </c>
      <c r="G263" s="66"/>
      <c r="H263" s="70"/>
      <c r="I263" s="71"/>
      <c r="J263" s="71"/>
      <c r="K263" s="35" t="s">
        <v>65</v>
      </c>
      <c r="L263" s="79">
        <v>263</v>
      </c>
      <c r="M263" s="79"/>
      <c r="N263" s="73"/>
      <c r="O263" s="81" t="s">
        <v>196</v>
      </c>
      <c r="P263" s="83">
        <v>45233.700069444443</v>
      </c>
      <c r="Q263" s="81" t="s">
        <v>461</v>
      </c>
      <c r="R263" s="81">
        <v>3</v>
      </c>
      <c r="S263" s="81">
        <v>3</v>
      </c>
      <c r="T263" s="81">
        <v>0</v>
      </c>
      <c r="U263" s="81">
        <v>0</v>
      </c>
      <c r="V263" s="81">
        <v>889</v>
      </c>
      <c r="W263" s="81"/>
      <c r="X263" s="86" t="str">
        <f>HYPERLINK("https://www.aejmc.com/home/wp-content/uploads/2023/10/Eleanor-Blum-Distinguished-Service-to-Research-Award.pdf")</f>
        <v>https://www.aejmc.com/home/wp-content/uploads/2023/10/Eleanor-Blum-Distinguished-Service-to-Research-Award.pdf</v>
      </c>
      <c r="Y263" s="81" t="s">
        <v>514</v>
      </c>
      <c r="Z263" s="81"/>
      <c r="AA263" s="81"/>
      <c r="AB263" s="81"/>
      <c r="AC263" s="84" t="s">
        <v>582</v>
      </c>
      <c r="AD263" s="81" t="s">
        <v>588</v>
      </c>
      <c r="AE263" s="86" t="str">
        <f>HYPERLINK("https://twitter.com/aejmc/status/1720483000461181036")</f>
        <v>https://twitter.com/aejmc/status/1720483000461181036</v>
      </c>
      <c r="AF263" s="83">
        <v>45233.700069444443</v>
      </c>
      <c r="AG263" s="89">
        <v>45233</v>
      </c>
      <c r="AH263" s="84" t="s">
        <v>708</v>
      </c>
      <c r="AI263" s="81" t="b">
        <v>0</v>
      </c>
      <c r="AJ263" s="81"/>
      <c r="AK263" s="81"/>
      <c r="AL263" s="81"/>
      <c r="AM263" s="81"/>
      <c r="AN263" s="81"/>
      <c r="AO263" s="81"/>
      <c r="AP263" s="81"/>
      <c r="AQ263" s="81"/>
      <c r="AR263" s="81"/>
      <c r="AS263" s="81"/>
      <c r="AT263" s="81"/>
      <c r="AU263" s="81"/>
      <c r="AV263" s="86" t="str">
        <f>HYPERLINK("https://pbs.twimg.com/profile_images/1559584982439444482/vOVkFGh3_normal.png")</f>
        <v>https://pbs.twimg.com/profile_images/1559584982439444482/vOVkFGh3_normal.png</v>
      </c>
      <c r="AW263" s="84" t="s">
        <v>862</v>
      </c>
      <c r="AX263" s="84" t="s">
        <v>862</v>
      </c>
      <c r="AY263" s="81"/>
      <c r="AZ263" s="84" t="s">
        <v>879</v>
      </c>
      <c r="BA263" s="84" t="s">
        <v>879</v>
      </c>
      <c r="BB263" s="84" t="s">
        <v>879</v>
      </c>
      <c r="BC263" s="84" t="s">
        <v>862</v>
      </c>
      <c r="BD263" s="81">
        <v>8442592</v>
      </c>
      <c r="BE263" s="81"/>
      <c r="BF263" s="81"/>
      <c r="BG263" s="81"/>
      <c r="BH263" s="81"/>
      <c r="BI263" s="81"/>
      <c r="BJ263">
        <v>4</v>
      </c>
      <c r="BK263" s="80" t="str">
        <f>REPLACE(INDEX(GroupVertices[Group], MATCH("~"&amp;Edges[[#This Row],[Vertex 1]],GroupVertices[Vertex],0)),1,1,"")</f>
        <v>1</v>
      </c>
      <c r="BL263" s="80" t="str">
        <f>REPLACE(INDEX(GroupVertices[Group], MATCH("~"&amp;Edges[[#This Row],[Vertex 2]],GroupVertices[Vertex],0)),1,1,"")</f>
        <v>1</v>
      </c>
      <c r="BM263" s="49">
        <v>2</v>
      </c>
      <c r="BN263" s="50">
        <v>5.882352941176471</v>
      </c>
      <c r="BO263" s="49">
        <v>0</v>
      </c>
      <c r="BP263" s="50">
        <v>0</v>
      </c>
      <c r="BQ263" s="49">
        <v>0</v>
      </c>
      <c r="BR263" s="50">
        <v>0</v>
      </c>
      <c r="BS263" s="49">
        <v>20</v>
      </c>
      <c r="BT263" s="50">
        <v>58.823529411764703</v>
      </c>
      <c r="BU263" s="49">
        <v>34</v>
      </c>
    </row>
    <row r="264" spans="1:73" x14ac:dyDescent="0.25">
      <c r="A264" s="65" t="s">
        <v>268</v>
      </c>
      <c r="B264" s="65" t="s">
        <v>268</v>
      </c>
      <c r="C264" s="66" t="s">
        <v>10075</v>
      </c>
      <c r="D264" s="67">
        <v>10</v>
      </c>
      <c r="E264" s="68" t="s">
        <v>132</v>
      </c>
      <c r="F264" s="69">
        <v>12</v>
      </c>
      <c r="G264" s="66"/>
      <c r="H264" s="70"/>
      <c r="I264" s="71"/>
      <c r="J264" s="71"/>
      <c r="K264" s="35" t="s">
        <v>65</v>
      </c>
      <c r="L264" s="79">
        <v>264</v>
      </c>
      <c r="M264" s="79"/>
      <c r="N264" s="73"/>
      <c r="O264" s="81" t="s">
        <v>196</v>
      </c>
      <c r="P264" s="83">
        <v>45230.809814814813</v>
      </c>
      <c r="Q264" s="81" t="s">
        <v>462</v>
      </c>
      <c r="R264" s="81">
        <v>1</v>
      </c>
      <c r="S264" s="81">
        <v>5</v>
      </c>
      <c r="T264" s="81">
        <v>1</v>
      </c>
      <c r="U264" s="81">
        <v>0</v>
      </c>
      <c r="V264" s="81">
        <v>841</v>
      </c>
      <c r="W264" s="81"/>
      <c r="X264" s="86" t="str">
        <f>HYPERLINK("https://www.aejmc.com/home/2023/09/resolution-four-2023/")</f>
        <v>https://www.aejmc.com/home/2023/09/resolution-four-2023/</v>
      </c>
      <c r="Y264" s="81" t="s">
        <v>514</v>
      </c>
      <c r="Z264" s="81"/>
      <c r="AA264" s="81"/>
      <c r="AB264" s="81"/>
      <c r="AC264" s="84" t="s">
        <v>582</v>
      </c>
      <c r="AD264" s="81" t="s">
        <v>588</v>
      </c>
      <c r="AE264" s="86" t="str">
        <f>HYPERLINK("https://twitter.com/aejmc/status/1719435606160265633")</f>
        <v>https://twitter.com/aejmc/status/1719435606160265633</v>
      </c>
      <c r="AF264" s="83">
        <v>45230.809814814813</v>
      </c>
      <c r="AG264" s="89">
        <v>45230</v>
      </c>
      <c r="AH264" s="84" t="s">
        <v>709</v>
      </c>
      <c r="AI264" s="81" t="b">
        <v>0</v>
      </c>
      <c r="AJ264" s="81"/>
      <c r="AK264" s="81"/>
      <c r="AL264" s="81"/>
      <c r="AM264" s="81"/>
      <c r="AN264" s="81"/>
      <c r="AO264" s="81"/>
      <c r="AP264" s="81"/>
      <c r="AQ264" s="81"/>
      <c r="AR264" s="81"/>
      <c r="AS264" s="81"/>
      <c r="AT264" s="81"/>
      <c r="AU264" s="81"/>
      <c r="AV264" s="86" t="str">
        <f>HYPERLINK("https://pbs.twimg.com/profile_images/1559584982439444482/vOVkFGh3_normal.png")</f>
        <v>https://pbs.twimg.com/profile_images/1559584982439444482/vOVkFGh3_normal.png</v>
      </c>
      <c r="AW264" s="84" t="s">
        <v>863</v>
      </c>
      <c r="AX264" s="84" t="s">
        <v>863</v>
      </c>
      <c r="AY264" s="81"/>
      <c r="AZ264" s="84" t="s">
        <v>879</v>
      </c>
      <c r="BA264" s="84" t="s">
        <v>879</v>
      </c>
      <c r="BB264" s="84" t="s">
        <v>879</v>
      </c>
      <c r="BC264" s="84" t="s">
        <v>863</v>
      </c>
      <c r="BD264" s="81">
        <v>8442592</v>
      </c>
      <c r="BE264" s="81"/>
      <c r="BF264" s="81"/>
      <c r="BG264" s="81"/>
      <c r="BH264" s="81"/>
      <c r="BI264" s="81"/>
      <c r="BJ264">
        <v>4</v>
      </c>
      <c r="BK264" s="80" t="str">
        <f>REPLACE(INDEX(GroupVertices[Group], MATCH("~"&amp;Edges[[#This Row],[Vertex 1]],GroupVertices[Vertex],0)),1,1,"")</f>
        <v>1</v>
      </c>
      <c r="BL264" s="80" t="str">
        <f>REPLACE(INDEX(GroupVertices[Group], MATCH("~"&amp;Edges[[#This Row],[Vertex 2]],GroupVertices[Vertex],0)),1,1,"")</f>
        <v>1</v>
      </c>
      <c r="BM264" s="49">
        <v>0</v>
      </c>
      <c r="BN264" s="50">
        <v>0</v>
      </c>
      <c r="BO264" s="49">
        <v>0</v>
      </c>
      <c r="BP264" s="50">
        <v>0</v>
      </c>
      <c r="BQ264" s="49">
        <v>0</v>
      </c>
      <c r="BR264" s="50">
        <v>0</v>
      </c>
      <c r="BS264" s="49">
        <v>14</v>
      </c>
      <c r="BT264" s="50">
        <v>82.352941176470594</v>
      </c>
      <c r="BU264" s="49">
        <v>17</v>
      </c>
    </row>
    <row r="265" spans="1:73" x14ac:dyDescent="0.25">
      <c r="A265" s="65" t="s">
        <v>268</v>
      </c>
      <c r="B265" s="65" t="s">
        <v>268</v>
      </c>
      <c r="C265" s="66" t="s">
        <v>10075</v>
      </c>
      <c r="D265" s="67">
        <v>10</v>
      </c>
      <c r="E265" s="68" t="s">
        <v>132</v>
      </c>
      <c r="F265" s="69">
        <v>12</v>
      </c>
      <c r="G265" s="66"/>
      <c r="H265" s="70"/>
      <c r="I265" s="71"/>
      <c r="J265" s="71"/>
      <c r="K265" s="35" t="s">
        <v>65</v>
      </c>
      <c r="L265" s="79">
        <v>265</v>
      </c>
      <c r="M265" s="79"/>
      <c r="N265" s="73"/>
      <c r="O265" s="81" t="s">
        <v>196</v>
      </c>
      <c r="P265" s="83">
        <v>45230.770752314813</v>
      </c>
      <c r="Q265" s="81" t="s">
        <v>463</v>
      </c>
      <c r="R265" s="81">
        <v>0</v>
      </c>
      <c r="S265" s="81">
        <v>0</v>
      </c>
      <c r="T265" s="81">
        <v>0</v>
      </c>
      <c r="U265" s="81">
        <v>0</v>
      </c>
      <c r="V265" s="81">
        <v>273</v>
      </c>
      <c r="W265" s="81"/>
      <c r="X265" s="86" t="str">
        <f>HYPERLINK("https://www.aejmc.com/home/wp-content/uploads/2023/10/Burd-Award-for-Research-in-Urban-Journalism-Studies.pdf")</f>
        <v>https://www.aejmc.com/home/wp-content/uploads/2023/10/Burd-Award-for-Research-in-Urban-Journalism-Studies.pdf</v>
      </c>
      <c r="Y265" s="81" t="s">
        <v>514</v>
      </c>
      <c r="Z265" s="81"/>
      <c r="AA265" s="81"/>
      <c r="AB265" s="81"/>
      <c r="AC265" s="84" t="s">
        <v>582</v>
      </c>
      <c r="AD265" s="81" t="s">
        <v>588</v>
      </c>
      <c r="AE265" s="86" t="str">
        <f>HYPERLINK("https://twitter.com/aejmc/status/1719421450392613239")</f>
        <v>https://twitter.com/aejmc/status/1719421450392613239</v>
      </c>
      <c r="AF265" s="83">
        <v>45230.770752314813</v>
      </c>
      <c r="AG265" s="89">
        <v>45230</v>
      </c>
      <c r="AH265" s="84" t="s">
        <v>710</v>
      </c>
      <c r="AI265" s="81" t="b">
        <v>0</v>
      </c>
      <c r="AJ265" s="81"/>
      <c r="AK265" s="81"/>
      <c r="AL265" s="81"/>
      <c r="AM265" s="81"/>
      <c r="AN265" s="81"/>
      <c r="AO265" s="81"/>
      <c r="AP265" s="81"/>
      <c r="AQ265" s="81"/>
      <c r="AR265" s="81"/>
      <c r="AS265" s="81"/>
      <c r="AT265" s="81"/>
      <c r="AU265" s="81"/>
      <c r="AV265" s="86" t="str">
        <f>HYPERLINK("https://pbs.twimg.com/profile_images/1559584982439444482/vOVkFGh3_normal.png")</f>
        <v>https://pbs.twimg.com/profile_images/1559584982439444482/vOVkFGh3_normal.png</v>
      </c>
      <c r="AW265" s="84" t="s">
        <v>864</v>
      </c>
      <c r="AX265" s="84" t="s">
        <v>864</v>
      </c>
      <c r="AY265" s="81"/>
      <c r="AZ265" s="84" t="s">
        <v>879</v>
      </c>
      <c r="BA265" s="84" t="s">
        <v>879</v>
      </c>
      <c r="BB265" s="84" t="s">
        <v>879</v>
      </c>
      <c r="BC265" s="84" t="s">
        <v>864</v>
      </c>
      <c r="BD265" s="81">
        <v>8442592</v>
      </c>
      <c r="BE265" s="81"/>
      <c r="BF265" s="81"/>
      <c r="BG265" s="81"/>
      <c r="BH265" s="81"/>
      <c r="BI265" s="81"/>
      <c r="BJ265">
        <v>4</v>
      </c>
      <c r="BK265" s="80" t="str">
        <f>REPLACE(INDEX(GroupVertices[Group], MATCH("~"&amp;Edges[[#This Row],[Vertex 1]],GroupVertices[Vertex],0)),1,1,"")</f>
        <v>1</v>
      </c>
      <c r="BL265" s="80" t="str">
        <f>REPLACE(INDEX(GroupVertices[Group], MATCH("~"&amp;Edges[[#This Row],[Vertex 2]],GroupVertices[Vertex],0)),1,1,"")</f>
        <v>1</v>
      </c>
      <c r="BM265" s="49">
        <v>1</v>
      </c>
      <c r="BN265" s="50">
        <v>3.4482758620689653</v>
      </c>
      <c r="BO265" s="49">
        <v>0</v>
      </c>
      <c r="BP265" s="50">
        <v>0</v>
      </c>
      <c r="BQ265" s="49">
        <v>0</v>
      </c>
      <c r="BR265" s="50">
        <v>0</v>
      </c>
      <c r="BS265" s="49">
        <v>19</v>
      </c>
      <c r="BT265" s="50">
        <v>65.517241379310349</v>
      </c>
      <c r="BU265" s="49">
        <v>29</v>
      </c>
    </row>
    <row r="266" spans="1:73" x14ac:dyDescent="0.25">
      <c r="A266" s="65" t="s">
        <v>268</v>
      </c>
      <c r="B266" s="65" t="s">
        <v>268</v>
      </c>
      <c r="C266" s="66" t="s">
        <v>10075</v>
      </c>
      <c r="D266" s="67">
        <v>10</v>
      </c>
      <c r="E266" s="68" t="s">
        <v>132</v>
      </c>
      <c r="F266" s="69">
        <v>12</v>
      </c>
      <c r="G266" s="66"/>
      <c r="H266" s="70"/>
      <c r="I266" s="71"/>
      <c r="J266" s="71"/>
      <c r="K266" s="35" t="s">
        <v>65</v>
      </c>
      <c r="L266" s="79">
        <v>266</v>
      </c>
      <c r="M266" s="79"/>
      <c r="N266" s="73"/>
      <c r="O266" s="81" t="s">
        <v>196</v>
      </c>
      <c r="P266" s="83">
        <v>45225.778078703705</v>
      </c>
      <c r="Q266" s="81" t="s">
        <v>464</v>
      </c>
      <c r="R266" s="81">
        <v>7</v>
      </c>
      <c r="S266" s="81">
        <v>7</v>
      </c>
      <c r="T266" s="81">
        <v>0</v>
      </c>
      <c r="U266" s="81">
        <v>0</v>
      </c>
      <c r="V266" s="81">
        <v>1151</v>
      </c>
      <c r="W266" s="81"/>
      <c r="X266" s="86" t="str">
        <f>HYPERLINK("https://www.aejmc.com/home/wp-content/uploads/2023/10/Deutschmann-Award.pdf")</f>
        <v>https://www.aejmc.com/home/wp-content/uploads/2023/10/Deutschmann-Award.pdf</v>
      </c>
      <c r="Y266" s="81" t="s">
        <v>514</v>
      </c>
      <c r="Z266" s="81"/>
      <c r="AA266" s="81"/>
      <c r="AB266" s="81"/>
      <c r="AC266" s="84" t="s">
        <v>582</v>
      </c>
      <c r="AD266" s="81" t="s">
        <v>588</v>
      </c>
      <c r="AE266" s="86" t="str">
        <f>HYPERLINK("https://twitter.com/aejmc/status/1717612166008766732")</f>
        <v>https://twitter.com/aejmc/status/1717612166008766732</v>
      </c>
      <c r="AF266" s="83">
        <v>45225.778078703705</v>
      </c>
      <c r="AG266" s="89">
        <v>45225</v>
      </c>
      <c r="AH266" s="84" t="s">
        <v>711</v>
      </c>
      <c r="AI266" s="81" t="b">
        <v>0</v>
      </c>
      <c r="AJ266" s="81"/>
      <c r="AK266" s="81"/>
      <c r="AL266" s="81"/>
      <c r="AM266" s="81"/>
      <c r="AN266" s="81"/>
      <c r="AO266" s="81"/>
      <c r="AP266" s="81"/>
      <c r="AQ266" s="81"/>
      <c r="AR266" s="81"/>
      <c r="AS266" s="81"/>
      <c r="AT266" s="81"/>
      <c r="AU266" s="81"/>
      <c r="AV266" s="86" t="str">
        <f>HYPERLINK("https://pbs.twimg.com/profile_images/1559584982439444482/vOVkFGh3_normal.png")</f>
        <v>https://pbs.twimg.com/profile_images/1559584982439444482/vOVkFGh3_normal.png</v>
      </c>
      <c r="AW266" s="84" t="s">
        <v>865</v>
      </c>
      <c r="AX266" s="84" t="s">
        <v>865</v>
      </c>
      <c r="AY266" s="81"/>
      <c r="AZ266" s="84" t="s">
        <v>879</v>
      </c>
      <c r="BA266" s="84" t="s">
        <v>879</v>
      </c>
      <c r="BB266" s="84" t="s">
        <v>879</v>
      </c>
      <c r="BC266" s="84" t="s">
        <v>865</v>
      </c>
      <c r="BD266" s="81">
        <v>8442592</v>
      </c>
      <c r="BE266" s="81"/>
      <c r="BF266" s="81"/>
      <c r="BG266" s="81"/>
      <c r="BH266" s="81"/>
      <c r="BI266" s="81"/>
      <c r="BJ266">
        <v>4</v>
      </c>
      <c r="BK266" s="80" t="str">
        <f>REPLACE(INDEX(GroupVertices[Group], MATCH("~"&amp;Edges[[#This Row],[Vertex 1]],GroupVertices[Vertex],0)),1,1,"")</f>
        <v>1</v>
      </c>
      <c r="BL266" s="80" t="str">
        <f>REPLACE(INDEX(GroupVertices[Group], MATCH("~"&amp;Edges[[#This Row],[Vertex 2]],GroupVertices[Vertex],0)),1,1,"")</f>
        <v>1</v>
      </c>
      <c r="BM266" s="49">
        <v>2</v>
      </c>
      <c r="BN266" s="50">
        <v>7.1428571428571432</v>
      </c>
      <c r="BO266" s="49">
        <v>0</v>
      </c>
      <c r="BP266" s="50">
        <v>0</v>
      </c>
      <c r="BQ266" s="49">
        <v>0</v>
      </c>
      <c r="BR266" s="50">
        <v>0</v>
      </c>
      <c r="BS266" s="49">
        <v>14</v>
      </c>
      <c r="BT266" s="50">
        <v>50</v>
      </c>
      <c r="BU266" s="49">
        <v>28</v>
      </c>
    </row>
    <row r="267" spans="1:73" x14ac:dyDescent="0.25">
      <c r="A267" s="65" t="s">
        <v>298</v>
      </c>
      <c r="B267" s="65" t="s">
        <v>268</v>
      </c>
      <c r="C267" s="66" t="s">
        <v>10073</v>
      </c>
      <c r="D267" s="67">
        <v>3</v>
      </c>
      <c r="E267" s="68" t="s">
        <v>132</v>
      </c>
      <c r="F267" s="69">
        <v>35</v>
      </c>
      <c r="G267" s="66"/>
      <c r="H267" s="70"/>
      <c r="I267" s="71"/>
      <c r="J267" s="71"/>
      <c r="K267" s="35" t="s">
        <v>65</v>
      </c>
      <c r="L267" s="79">
        <v>267</v>
      </c>
      <c r="M267" s="79"/>
      <c r="N267" s="73"/>
      <c r="O267" s="81" t="s">
        <v>370</v>
      </c>
      <c r="P267" s="83">
        <v>45228.872465277775</v>
      </c>
      <c r="Q267" s="81" t="s">
        <v>453</v>
      </c>
      <c r="R267" s="81">
        <v>0</v>
      </c>
      <c r="S267" s="81">
        <v>0</v>
      </c>
      <c r="T267" s="81">
        <v>0</v>
      </c>
      <c r="U267" s="81">
        <v>0</v>
      </c>
      <c r="V267" s="81">
        <v>320</v>
      </c>
      <c r="W267" s="84" t="s">
        <v>492</v>
      </c>
      <c r="X267" s="81"/>
      <c r="Y267" s="81"/>
      <c r="Z267" s="81" t="s">
        <v>550</v>
      </c>
      <c r="AA267" s="81"/>
      <c r="AB267" s="81"/>
      <c r="AC267" s="84" t="s">
        <v>580</v>
      </c>
      <c r="AD267" s="81" t="s">
        <v>588</v>
      </c>
      <c r="AE267" s="86" t="str">
        <f>HYPERLINK("https://twitter.com/jeremyhl/status/1718733533605196087")</f>
        <v>https://twitter.com/jeremyhl/status/1718733533605196087</v>
      </c>
      <c r="AF267" s="83">
        <v>45228.872465277775</v>
      </c>
      <c r="AG267" s="89">
        <v>45228</v>
      </c>
      <c r="AH267" s="84" t="s">
        <v>699</v>
      </c>
      <c r="AI267" s="81"/>
      <c r="AJ267" s="81"/>
      <c r="AK267" s="81"/>
      <c r="AL267" s="81"/>
      <c r="AM267" s="81"/>
      <c r="AN267" s="81"/>
      <c r="AO267" s="81"/>
      <c r="AP267" s="81"/>
      <c r="AQ267" s="81"/>
      <c r="AR267" s="81"/>
      <c r="AS267" s="81"/>
      <c r="AT267" s="81"/>
      <c r="AU267" s="81"/>
      <c r="AV267" s="86" t="str">
        <f>HYPERLINK("https://pbs.twimg.com/profile_images/912667889395798022/pMoB2qc8_normal.jpg")</f>
        <v>https://pbs.twimg.com/profile_images/912667889395798022/pMoB2qc8_normal.jpg</v>
      </c>
      <c r="AW267" s="84" t="s">
        <v>853</v>
      </c>
      <c r="AX267" s="84" t="s">
        <v>853</v>
      </c>
      <c r="AY267" s="81"/>
      <c r="AZ267" s="84" t="s">
        <v>879</v>
      </c>
      <c r="BA267" s="84" t="s">
        <v>859</v>
      </c>
      <c r="BB267" s="84" t="s">
        <v>879</v>
      </c>
      <c r="BC267" s="84" t="s">
        <v>859</v>
      </c>
      <c r="BD267" s="81">
        <v>12006842</v>
      </c>
      <c r="BE267" s="81"/>
      <c r="BF267" s="81"/>
      <c r="BG267" s="81"/>
      <c r="BH267" s="81"/>
      <c r="BI267" s="81"/>
      <c r="BJ267">
        <v>1</v>
      </c>
      <c r="BK267" s="80" t="str">
        <f>REPLACE(INDEX(GroupVertices[Group], MATCH("~"&amp;Edges[[#This Row],[Vertex 1]],GroupVertices[Vertex],0)),1,1,"")</f>
        <v>5</v>
      </c>
      <c r="BL267" s="80" t="str">
        <f>REPLACE(INDEX(GroupVertices[Group], MATCH("~"&amp;Edges[[#This Row],[Vertex 2]],GroupVertices[Vertex],0)),1,1,"")</f>
        <v>1</v>
      </c>
      <c r="BM267" s="49"/>
      <c r="BN267" s="50"/>
      <c r="BO267" s="49"/>
      <c r="BP267" s="50"/>
      <c r="BQ267" s="49"/>
      <c r="BR267" s="50"/>
      <c r="BS267" s="49"/>
      <c r="BT267" s="50"/>
      <c r="BU267" s="49"/>
    </row>
    <row r="268" spans="1:73" x14ac:dyDescent="0.25">
      <c r="A268" s="65" t="s">
        <v>302</v>
      </c>
      <c r="B268" s="65" t="s">
        <v>268</v>
      </c>
      <c r="C268" s="66" t="s">
        <v>10073</v>
      </c>
      <c r="D268" s="67">
        <v>3</v>
      </c>
      <c r="E268" s="68" t="s">
        <v>132</v>
      </c>
      <c r="F268" s="69">
        <v>35</v>
      </c>
      <c r="G268" s="66"/>
      <c r="H268" s="70"/>
      <c r="I268" s="71"/>
      <c r="J268" s="71"/>
      <c r="K268" s="35" t="s">
        <v>65</v>
      </c>
      <c r="L268" s="79">
        <v>268</v>
      </c>
      <c r="M268" s="79"/>
      <c r="N268" s="73"/>
      <c r="O268" s="81" t="s">
        <v>367</v>
      </c>
      <c r="P268" s="83">
        <v>45230.708333333336</v>
      </c>
      <c r="Q268" s="81" t="s">
        <v>465</v>
      </c>
      <c r="R268" s="81">
        <v>3</v>
      </c>
      <c r="S268" s="81">
        <v>5</v>
      </c>
      <c r="T268" s="81">
        <v>0</v>
      </c>
      <c r="U268" s="81">
        <v>0</v>
      </c>
      <c r="V268" s="81">
        <v>566</v>
      </c>
      <c r="W268" s="81"/>
      <c r="X268" s="86" t="str">
        <f>HYPERLINK("http://spr.ly/6013uYH8H")</f>
        <v>http://spr.ly/6013uYH8H</v>
      </c>
      <c r="Y268" s="81" t="s">
        <v>515</v>
      </c>
      <c r="Z268" s="81" t="s">
        <v>553</v>
      </c>
      <c r="AA268" s="81"/>
      <c r="AB268" s="81"/>
      <c r="AC268" s="84" t="s">
        <v>587</v>
      </c>
      <c r="AD268" s="81" t="s">
        <v>588</v>
      </c>
      <c r="AE268" s="86" t="str">
        <f>HYPERLINK("https://twitter.com/comatbu/status/1719398831287067049")</f>
        <v>https://twitter.com/comatbu/status/1719398831287067049</v>
      </c>
      <c r="AF268" s="83">
        <v>45230.708333333336</v>
      </c>
      <c r="AG268" s="89">
        <v>45230</v>
      </c>
      <c r="AH268" s="84" t="s">
        <v>712</v>
      </c>
      <c r="AI268" s="81" t="b">
        <v>0</v>
      </c>
      <c r="AJ268" s="81"/>
      <c r="AK268" s="81"/>
      <c r="AL268" s="81"/>
      <c r="AM268" s="81"/>
      <c r="AN268" s="81"/>
      <c r="AO268" s="81"/>
      <c r="AP268" s="81"/>
      <c r="AQ268" s="81"/>
      <c r="AR268" s="81"/>
      <c r="AS268" s="81"/>
      <c r="AT268" s="81"/>
      <c r="AU268" s="81"/>
      <c r="AV268" s="86" t="str">
        <f>HYPERLINK("https://pbs.twimg.com/profile_images/1087808935480999936/VEiq4JjJ_normal.jpg")</f>
        <v>https://pbs.twimg.com/profile_images/1087808935480999936/VEiq4JjJ_normal.jpg</v>
      </c>
      <c r="AW268" s="84" t="s">
        <v>866</v>
      </c>
      <c r="AX268" s="84" t="s">
        <v>866</v>
      </c>
      <c r="AY268" s="81"/>
      <c r="AZ268" s="84" t="s">
        <v>879</v>
      </c>
      <c r="BA268" s="84" t="s">
        <v>879</v>
      </c>
      <c r="BB268" s="84" t="s">
        <v>879</v>
      </c>
      <c r="BC268" s="84" t="s">
        <v>866</v>
      </c>
      <c r="BD268" s="81">
        <v>76056609</v>
      </c>
      <c r="BE268" s="81"/>
      <c r="BF268" s="81"/>
      <c r="BG268" s="81"/>
      <c r="BH268" s="81"/>
      <c r="BI268" s="81"/>
      <c r="BJ268">
        <v>1</v>
      </c>
      <c r="BK268" s="80" t="str">
        <f>REPLACE(INDEX(GroupVertices[Group], MATCH("~"&amp;Edges[[#This Row],[Vertex 1]],GroupVertices[Vertex],0)),1,1,"")</f>
        <v>8</v>
      </c>
      <c r="BL268" s="80" t="str">
        <f>REPLACE(INDEX(GroupVertices[Group], MATCH("~"&amp;Edges[[#This Row],[Vertex 2]],GroupVertices[Vertex],0)),1,1,"")</f>
        <v>1</v>
      </c>
      <c r="BM268" s="49"/>
      <c r="BN268" s="50"/>
      <c r="BO268" s="49"/>
      <c r="BP268" s="50"/>
      <c r="BQ268" s="49"/>
      <c r="BR268" s="50"/>
      <c r="BS268" s="49"/>
      <c r="BT268" s="50"/>
      <c r="BU268" s="49"/>
    </row>
    <row r="269" spans="1:73" x14ac:dyDescent="0.25">
      <c r="A269" s="65" t="s">
        <v>301</v>
      </c>
      <c r="B269" s="65" t="s">
        <v>268</v>
      </c>
      <c r="C269" s="66" t="s">
        <v>10073</v>
      </c>
      <c r="D269" s="67">
        <v>3</v>
      </c>
      <c r="E269" s="68" t="s">
        <v>132</v>
      </c>
      <c r="F269" s="69">
        <v>35</v>
      </c>
      <c r="G269" s="66"/>
      <c r="H269" s="70"/>
      <c r="I269" s="71"/>
      <c r="J269" s="71"/>
      <c r="K269" s="35" t="s">
        <v>65</v>
      </c>
      <c r="L269" s="79">
        <v>269</v>
      </c>
      <c r="M269" s="79"/>
      <c r="N269" s="73"/>
      <c r="O269" s="81" t="s">
        <v>367</v>
      </c>
      <c r="P269" s="83">
        <v>44993.371435185189</v>
      </c>
      <c r="Q269" s="81" t="s">
        <v>459</v>
      </c>
      <c r="R269" s="81">
        <v>6</v>
      </c>
      <c r="S269" s="81">
        <v>3</v>
      </c>
      <c r="T269" s="81">
        <v>1</v>
      </c>
      <c r="U269" s="81">
        <v>0</v>
      </c>
      <c r="V269" s="81">
        <v>124</v>
      </c>
      <c r="W269" s="84" t="s">
        <v>493</v>
      </c>
      <c r="X269" s="81"/>
      <c r="Y269" s="81"/>
      <c r="Z269" s="81" t="s">
        <v>551</v>
      </c>
      <c r="AA269" s="81"/>
      <c r="AB269" s="81"/>
      <c r="AC269" s="84" t="s">
        <v>579</v>
      </c>
      <c r="AD269" s="81" t="s">
        <v>588</v>
      </c>
      <c r="AE269" s="86" t="str">
        <f>HYPERLINK("https://twitter.com/michaelbathurst/status/1633390819326545921")</f>
        <v>https://twitter.com/michaelbathurst/status/1633390819326545921</v>
      </c>
      <c r="AF269" s="83">
        <v>44993.371435185189</v>
      </c>
      <c r="AG269" s="89">
        <v>44993</v>
      </c>
      <c r="AH269" s="84" t="s">
        <v>706</v>
      </c>
      <c r="AI269" s="81"/>
      <c r="AJ269" s="81" t="s">
        <v>719</v>
      </c>
      <c r="AK269" s="81" t="s">
        <v>720</v>
      </c>
      <c r="AL269" s="81" t="s">
        <v>721</v>
      </c>
      <c r="AM269" s="81" t="s">
        <v>722</v>
      </c>
      <c r="AN269" s="81" t="s">
        <v>723</v>
      </c>
      <c r="AO269" s="81" t="s">
        <v>724</v>
      </c>
      <c r="AP269" s="81" t="s">
        <v>725</v>
      </c>
      <c r="AQ269" s="81"/>
      <c r="AR269" s="81"/>
      <c r="AS269" s="81"/>
      <c r="AT269" s="81"/>
      <c r="AU269" s="81"/>
      <c r="AV269" s="86" t="str">
        <f>HYPERLINK("https://pbs.twimg.com/profile_images/1331610042748051458/8NtBN_eL_normal.jpg")</f>
        <v>https://pbs.twimg.com/profile_images/1331610042748051458/8NtBN_eL_normal.jpg</v>
      </c>
      <c r="AW269" s="84" t="s">
        <v>860</v>
      </c>
      <c r="AX269" s="84" t="s">
        <v>860</v>
      </c>
      <c r="AY269" s="81"/>
      <c r="AZ269" s="84" t="s">
        <v>879</v>
      </c>
      <c r="BA269" s="84" t="s">
        <v>879</v>
      </c>
      <c r="BB269" s="84" t="s">
        <v>879</v>
      </c>
      <c r="BC269" s="84" t="s">
        <v>860</v>
      </c>
      <c r="BD269" s="81">
        <v>37188645</v>
      </c>
      <c r="BE269" s="81"/>
      <c r="BF269" s="81"/>
      <c r="BG269" s="81"/>
      <c r="BH269" s="81"/>
      <c r="BI269" s="81"/>
      <c r="BJ269">
        <v>1</v>
      </c>
      <c r="BK269" s="80" t="str">
        <f>REPLACE(INDEX(GroupVertices[Group], MATCH("~"&amp;Edges[[#This Row],[Vertex 1]],GroupVertices[Vertex],0)),1,1,"")</f>
        <v>5</v>
      </c>
      <c r="BL269" s="80" t="str">
        <f>REPLACE(INDEX(GroupVertices[Group], MATCH("~"&amp;Edges[[#This Row],[Vertex 2]],GroupVertices[Vertex],0)),1,1,"")</f>
        <v>1</v>
      </c>
      <c r="BM269" s="49"/>
      <c r="BN269" s="50"/>
      <c r="BO269" s="49"/>
      <c r="BP269" s="50"/>
      <c r="BQ269" s="49"/>
      <c r="BR269" s="50"/>
      <c r="BS269" s="49"/>
      <c r="BT269" s="50"/>
      <c r="BU269" s="49"/>
    </row>
    <row r="270" spans="1:73" x14ac:dyDescent="0.25">
      <c r="A270" s="65" t="s">
        <v>303</v>
      </c>
      <c r="B270" s="65" t="s">
        <v>354</v>
      </c>
      <c r="C270" s="66" t="s">
        <v>10073</v>
      </c>
      <c r="D270" s="67">
        <v>3</v>
      </c>
      <c r="E270" s="68" t="s">
        <v>132</v>
      </c>
      <c r="F270" s="69">
        <v>35</v>
      </c>
      <c r="G270" s="66"/>
      <c r="H270" s="70"/>
      <c r="I270" s="71"/>
      <c r="J270" s="71"/>
      <c r="K270" s="35" t="s">
        <v>65</v>
      </c>
      <c r="L270" s="79">
        <v>270</v>
      </c>
      <c r="M270" s="79"/>
      <c r="N270" s="73"/>
      <c r="O270" s="81" t="s">
        <v>366</v>
      </c>
      <c r="P270" s="83">
        <v>45233.373460648145</v>
      </c>
      <c r="Q270" s="81" t="s">
        <v>466</v>
      </c>
      <c r="R270" s="81">
        <v>6</v>
      </c>
      <c r="S270" s="81">
        <v>0</v>
      </c>
      <c r="T270" s="81">
        <v>0</v>
      </c>
      <c r="U270" s="81">
        <v>0</v>
      </c>
      <c r="V270" s="81"/>
      <c r="W270" s="81"/>
      <c r="X270" s="81"/>
      <c r="Y270" s="81"/>
      <c r="Z270" s="81" t="s">
        <v>554</v>
      </c>
      <c r="AA270" s="81"/>
      <c r="AB270" s="81"/>
      <c r="AC270" s="84" t="s">
        <v>582</v>
      </c>
      <c r="AD270" s="81" t="s">
        <v>588</v>
      </c>
      <c r="AE270" s="86" t="str">
        <f>HYPERLINK("https://twitter.com/reutsmichael1/status/1720364640884940940")</f>
        <v>https://twitter.com/reutsmichael1/status/1720364640884940940</v>
      </c>
      <c r="AF270" s="83">
        <v>45233.373460648145</v>
      </c>
      <c r="AG270" s="89">
        <v>45233</v>
      </c>
      <c r="AH270" s="84" t="s">
        <v>713</v>
      </c>
      <c r="AI270" s="81"/>
      <c r="AJ270" s="81"/>
      <c r="AK270" s="81"/>
      <c r="AL270" s="81"/>
      <c r="AM270" s="81"/>
      <c r="AN270" s="81"/>
      <c r="AO270" s="81"/>
      <c r="AP270" s="81"/>
      <c r="AQ270" s="81"/>
      <c r="AR270" s="81"/>
      <c r="AS270" s="81"/>
      <c r="AT270" s="81"/>
      <c r="AU270" s="81"/>
      <c r="AV270" s="86" t="str">
        <f>HYPERLINK("https://pbs.twimg.com/profile_images/1689952558293356544/DcOJhVT1_normal.jpg")</f>
        <v>https://pbs.twimg.com/profile_images/1689952558293356544/DcOJhVT1_normal.jpg</v>
      </c>
      <c r="AW270" s="84" t="s">
        <v>867</v>
      </c>
      <c r="AX270" s="84" t="s">
        <v>867</v>
      </c>
      <c r="AY270" s="81"/>
      <c r="AZ270" s="84" t="s">
        <v>879</v>
      </c>
      <c r="BA270" s="84" t="s">
        <v>879</v>
      </c>
      <c r="BB270" s="84" t="s">
        <v>860</v>
      </c>
      <c r="BC270" s="84" t="s">
        <v>860</v>
      </c>
      <c r="BD270" s="84" t="s">
        <v>892</v>
      </c>
      <c r="BE270" s="81"/>
      <c r="BF270" s="81"/>
      <c r="BG270" s="81"/>
      <c r="BH270" s="81"/>
      <c r="BI270" s="81"/>
      <c r="BJ270">
        <v>1</v>
      </c>
      <c r="BK270" s="80" t="str">
        <f>REPLACE(INDEX(GroupVertices[Group], MATCH("~"&amp;Edges[[#This Row],[Vertex 1]],GroupVertices[Vertex],0)),1,1,"")</f>
        <v>5</v>
      </c>
      <c r="BL270" s="80" t="str">
        <f>REPLACE(INDEX(GroupVertices[Group], MATCH("~"&amp;Edges[[#This Row],[Vertex 2]],GroupVertices[Vertex],0)),1,1,"")</f>
        <v>5</v>
      </c>
      <c r="BM270" s="49"/>
      <c r="BN270" s="50"/>
      <c r="BO270" s="49"/>
      <c r="BP270" s="50"/>
      <c r="BQ270" s="49"/>
      <c r="BR270" s="50"/>
      <c r="BS270" s="49"/>
      <c r="BT270" s="50"/>
      <c r="BU270" s="49"/>
    </row>
    <row r="271" spans="1:73" x14ac:dyDescent="0.25">
      <c r="A271" s="65" t="s">
        <v>303</v>
      </c>
      <c r="B271" s="65" t="s">
        <v>355</v>
      </c>
      <c r="C271" s="66" t="s">
        <v>10073</v>
      </c>
      <c r="D271" s="67">
        <v>3</v>
      </c>
      <c r="E271" s="68" t="s">
        <v>132</v>
      </c>
      <c r="F271" s="69">
        <v>35</v>
      </c>
      <c r="G271" s="66"/>
      <c r="H271" s="70"/>
      <c r="I271" s="71"/>
      <c r="J271" s="71"/>
      <c r="K271" s="35" t="s">
        <v>65</v>
      </c>
      <c r="L271" s="79">
        <v>271</v>
      </c>
      <c r="M271" s="79"/>
      <c r="N271" s="73"/>
      <c r="O271" s="81" t="s">
        <v>366</v>
      </c>
      <c r="P271" s="83">
        <v>45233.373460648145</v>
      </c>
      <c r="Q271" s="81" t="s">
        <v>466</v>
      </c>
      <c r="R271" s="81">
        <v>6</v>
      </c>
      <c r="S271" s="81">
        <v>0</v>
      </c>
      <c r="T271" s="81">
        <v>0</v>
      </c>
      <c r="U271" s="81">
        <v>0</v>
      </c>
      <c r="V271" s="81"/>
      <c r="W271" s="81"/>
      <c r="X271" s="81"/>
      <c r="Y271" s="81"/>
      <c r="Z271" s="81" t="s">
        <v>554</v>
      </c>
      <c r="AA271" s="81"/>
      <c r="AB271" s="81"/>
      <c r="AC271" s="84" t="s">
        <v>582</v>
      </c>
      <c r="AD271" s="81" t="s">
        <v>588</v>
      </c>
      <c r="AE271" s="86" t="str">
        <f>HYPERLINK("https://twitter.com/reutsmichael1/status/1720364640884940940")</f>
        <v>https://twitter.com/reutsmichael1/status/1720364640884940940</v>
      </c>
      <c r="AF271" s="83">
        <v>45233.373460648145</v>
      </c>
      <c r="AG271" s="89">
        <v>45233</v>
      </c>
      <c r="AH271" s="84" t="s">
        <v>713</v>
      </c>
      <c r="AI271" s="81"/>
      <c r="AJ271" s="81"/>
      <c r="AK271" s="81"/>
      <c r="AL271" s="81"/>
      <c r="AM271" s="81"/>
      <c r="AN271" s="81"/>
      <c r="AO271" s="81"/>
      <c r="AP271" s="81"/>
      <c r="AQ271" s="81"/>
      <c r="AR271" s="81"/>
      <c r="AS271" s="81"/>
      <c r="AT271" s="81"/>
      <c r="AU271" s="81"/>
      <c r="AV271" s="86" t="str">
        <f>HYPERLINK("https://pbs.twimg.com/profile_images/1689952558293356544/DcOJhVT1_normal.jpg")</f>
        <v>https://pbs.twimg.com/profile_images/1689952558293356544/DcOJhVT1_normal.jpg</v>
      </c>
      <c r="AW271" s="84" t="s">
        <v>867</v>
      </c>
      <c r="AX271" s="84" t="s">
        <v>867</v>
      </c>
      <c r="AY271" s="81"/>
      <c r="AZ271" s="84" t="s">
        <v>879</v>
      </c>
      <c r="BA271" s="84" t="s">
        <v>879</v>
      </c>
      <c r="BB271" s="84" t="s">
        <v>860</v>
      </c>
      <c r="BC271" s="84" t="s">
        <v>860</v>
      </c>
      <c r="BD271" s="84" t="s">
        <v>892</v>
      </c>
      <c r="BE271" s="81"/>
      <c r="BF271" s="81"/>
      <c r="BG271" s="81"/>
      <c r="BH271" s="81"/>
      <c r="BI271" s="81"/>
      <c r="BJ271">
        <v>1</v>
      </c>
      <c r="BK271" s="80" t="str">
        <f>REPLACE(INDEX(GroupVertices[Group], MATCH("~"&amp;Edges[[#This Row],[Vertex 1]],GroupVertices[Vertex],0)),1,1,"")</f>
        <v>5</v>
      </c>
      <c r="BL271" s="80" t="str">
        <f>REPLACE(INDEX(GroupVertices[Group], MATCH("~"&amp;Edges[[#This Row],[Vertex 2]],GroupVertices[Vertex],0)),1,1,"")</f>
        <v>5</v>
      </c>
      <c r="BM271" s="49"/>
      <c r="BN271" s="50"/>
      <c r="BO271" s="49"/>
      <c r="BP271" s="50"/>
      <c r="BQ271" s="49"/>
      <c r="BR271" s="50"/>
      <c r="BS271" s="49"/>
      <c r="BT271" s="50"/>
      <c r="BU271" s="49"/>
    </row>
    <row r="272" spans="1:73" x14ac:dyDescent="0.25">
      <c r="A272" s="65" t="s">
        <v>303</v>
      </c>
      <c r="B272" s="65" t="s">
        <v>356</v>
      </c>
      <c r="C272" s="66" t="s">
        <v>10073</v>
      </c>
      <c r="D272" s="67">
        <v>3</v>
      </c>
      <c r="E272" s="68" t="s">
        <v>132</v>
      </c>
      <c r="F272" s="69">
        <v>35</v>
      </c>
      <c r="G272" s="66"/>
      <c r="H272" s="70"/>
      <c r="I272" s="71"/>
      <c r="J272" s="71"/>
      <c r="K272" s="35" t="s">
        <v>65</v>
      </c>
      <c r="L272" s="79">
        <v>272</v>
      </c>
      <c r="M272" s="79"/>
      <c r="N272" s="73"/>
      <c r="O272" s="81" t="s">
        <v>366</v>
      </c>
      <c r="P272" s="83">
        <v>45233.373460648145</v>
      </c>
      <c r="Q272" s="81" t="s">
        <v>466</v>
      </c>
      <c r="R272" s="81">
        <v>6</v>
      </c>
      <c r="S272" s="81">
        <v>0</v>
      </c>
      <c r="T272" s="81">
        <v>0</v>
      </c>
      <c r="U272" s="81">
        <v>0</v>
      </c>
      <c r="V272" s="81"/>
      <c r="W272" s="81"/>
      <c r="X272" s="81"/>
      <c r="Y272" s="81"/>
      <c r="Z272" s="81" t="s">
        <v>554</v>
      </c>
      <c r="AA272" s="81"/>
      <c r="AB272" s="81"/>
      <c r="AC272" s="84" t="s">
        <v>582</v>
      </c>
      <c r="AD272" s="81" t="s">
        <v>588</v>
      </c>
      <c r="AE272" s="86" t="str">
        <f>HYPERLINK("https://twitter.com/reutsmichael1/status/1720364640884940940")</f>
        <v>https://twitter.com/reutsmichael1/status/1720364640884940940</v>
      </c>
      <c r="AF272" s="83">
        <v>45233.373460648145</v>
      </c>
      <c r="AG272" s="89">
        <v>45233</v>
      </c>
      <c r="AH272" s="84" t="s">
        <v>713</v>
      </c>
      <c r="AI272" s="81"/>
      <c r="AJ272" s="81"/>
      <c r="AK272" s="81"/>
      <c r="AL272" s="81"/>
      <c r="AM272" s="81"/>
      <c r="AN272" s="81"/>
      <c r="AO272" s="81"/>
      <c r="AP272" s="81"/>
      <c r="AQ272" s="81"/>
      <c r="AR272" s="81"/>
      <c r="AS272" s="81"/>
      <c r="AT272" s="81"/>
      <c r="AU272" s="81"/>
      <c r="AV272" s="86" t="str">
        <f>HYPERLINK("https://pbs.twimg.com/profile_images/1689952558293356544/DcOJhVT1_normal.jpg")</f>
        <v>https://pbs.twimg.com/profile_images/1689952558293356544/DcOJhVT1_normal.jpg</v>
      </c>
      <c r="AW272" s="84" t="s">
        <v>867</v>
      </c>
      <c r="AX272" s="84" t="s">
        <v>867</v>
      </c>
      <c r="AY272" s="81"/>
      <c r="AZ272" s="84" t="s">
        <v>879</v>
      </c>
      <c r="BA272" s="84" t="s">
        <v>879</v>
      </c>
      <c r="BB272" s="84" t="s">
        <v>860</v>
      </c>
      <c r="BC272" s="84" t="s">
        <v>860</v>
      </c>
      <c r="BD272" s="84" t="s">
        <v>892</v>
      </c>
      <c r="BE272" s="81"/>
      <c r="BF272" s="81"/>
      <c r="BG272" s="81"/>
      <c r="BH272" s="81"/>
      <c r="BI272" s="81"/>
      <c r="BJ272">
        <v>1</v>
      </c>
      <c r="BK272" s="80" t="str">
        <f>REPLACE(INDEX(GroupVertices[Group], MATCH("~"&amp;Edges[[#This Row],[Vertex 1]],GroupVertices[Vertex],0)),1,1,"")</f>
        <v>5</v>
      </c>
      <c r="BL272" s="80" t="str">
        <f>REPLACE(INDEX(GroupVertices[Group], MATCH("~"&amp;Edges[[#This Row],[Vertex 2]],GroupVertices[Vertex],0)),1,1,"")</f>
        <v>5</v>
      </c>
      <c r="BM272" s="49"/>
      <c r="BN272" s="50"/>
      <c r="BO272" s="49"/>
      <c r="BP272" s="50"/>
      <c r="BQ272" s="49"/>
      <c r="BR272" s="50"/>
      <c r="BS272" s="49"/>
      <c r="BT272" s="50"/>
      <c r="BU272" s="49"/>
    </row>
    <row r="273" spans="1:73" x14ac:dyDescent="0.25">
      <c r="A273" s="65" t="s">
        <v>303</v>
      </c>
      <c r="B273" s="65" t="s">
        <v>301</v>
      </c>
      <c r="C273" s="66" t="s">
        <v>10073</v>
      </c>
      <c r="D273" s="67">
        <v>3</v>
      </c>
      <c r="E273" s="68" t="s">
        <v>132</v>
      </c>
      <c r="F273" s="69">
        <v>35</v>
      </c>
      <c r="G273" s="66"/>
      <c r="H273" s="70"/>
      <c r="I273" s="71"/>
      <c r="J273" s="71"/>
      <c r="K273" s="35" t="s">
        <v>66</v>
      </c>
      <c r="L273" s="79">
        <v>273</v>
      </c>
      <c r="M273" s="79"/>
      <c r="N273" s="73"/>
      <c r="O273" s="81" t="s">
        <v>366</v>
      </c>
      <c r="P273" s="83">
        <v>45233.373460648145</v>
      </c>
      <c r="Q273" s="81" t="s">
        <v>466</v>
      </c>
      <c r="R273" s="81">
        <v>6</v>
      </c>
      <c r="S273" s="81">
        <v>0</v>
      </c>
      <c r="T273" s="81">
        <v>0</v>
      </c>
      <c r="U273" s="81">
        <v>0</v>
      </c>
      <c r="V273" s="81"/>
      <c r="W273" s="81"/>
      <c r="X273" s="81"/>
      <c r="Y273" s="81"/>
      <c r="Z273" s="81" t="s">
        <v>554</v>
      </c>
      <c r="AA273" s="81"/>
      <c r="AB273" s="81"/>
      <c r="AC273" s="84" t="s">
        <v>582</v>
      </c>
      <c r="AD273" s="81" t="s">
        <v>588</v>
      </c>
      <c r="AE273" s="86" t="str">
        <f>HYPERLINK("https://twitter.com/reutsmichael1/status/1720364640884940940")</f>
        <v>https://twitter.com/reutsmichael1/status/1720364640884940940</v>
      </c>
      <c r="AF273" s="83">
        <v>45233.373460648145</v>
      </c>
      <c r="AG273" s="89">
        <v>45233</v>
      </c>
      <c r="AH273" s="84" t="s">
        <v>713</v>
      </c>
      <c r="AI273" s="81"/>
      <c r="AJ273" s="81"/>
      <c r="AK273" s="81"/>
      <c r="AL273" s="81"/>
      <c r="AM273" s="81"/>
      <c r="AN273" s="81"/>
      <c r="AO273" s="81"/>
      <c r="AP273" s="81"/>
      <c r="AQ273" s="81"/>
      <c r="AR273" s="81"/>
      <c r="AS273" s="81"/>
      <c r="AT273" s="81"/>
      <c r="AU273" s="81"/>
      <c r="AV273" s="86" t="str">
        <f>HYPERLINK("https://pbs.twimg.com/profile_images/1689952558293356544/DcOJhVT1_normal.jpg")</f>
        <v>https://pbs.twimg.com/profile_images/1689952558293356544/DcOJhVT1_normal.jpg</v>
      </c>
      <c r="AW273" s="84" t="s">
        <v>867</v>
      </c>
      <c r="AX273" s="84" t="s">
        <v>867</v>
      </c>
      <c r="AY273" s="81"/>
      <c r="AZ273" s="84" t="s">
        <v>879</v>
      </c>
      <c r="BA273" s="84" t="s">
        <v>879</v>
      </c>
      <c r="BB273" s="84" t="s">
        <v>860</v>
      </c>
      <c r="BC273" s="84" t="s">
        <v>860</v>
      </c>
      <c r="BD273" s="84" t="s">
        <v>892</v>
      </c>
      <c r="BE273" s="81"/>
      <c r="BF273" s="81"/>
      <c r="BG273" s="81"/>
      <c r="BH273" s="81"/>
      <c r="BI273" s="81"/>
      <c r="BJ273">
        <v>1</v>
      </c>
      <c r="BK273" s="80" t="str">
        <f>REPLACE(INDEX(GroupVertices[Group], MATCH("~"&amp;Edges[[#This Row],[Vertex 1]],GroupVertices[Vertex],0)),1,1,"")</f>
        <v>5</v>
      </c>
      <c r="BL273" s="80" t="str">
        <f>REPLACE(INDEX(GroupVertices[Group], MATCH("~"&amp;Edges[[#This Row],[Vertex 2]],GroupVertices[Vertex],0)),1,1,"")</f>
        <v>5</v>
      </c>
      <c r="BM273" s="49"/>
      <c r="BN273" s="50"/>
      <c r="BO273" s="49"/>
      <c r="BP273" s="50"/>
      <c r="BQ273" s="49"/>
      <c r="BR273" s="50"/>
      <c r="BS273" s="49"/>
      <c r="BT273" s="50"/>
      <c r="BU273" s="49"/>
    </row>
    <row r="274" spans="1:73" x14ac:dyDescent="0.25">
      <c r="A274" s="65" t="s">
        <v>303</v>
      </c>
      <c r="B274" s="65" t="s">
        <v>357</v>
      </c>
      <c r="C274" s="66" t="s">
        <v>10073</v>
      </c>
      <c r="D274" s="67">
        <v>3</v>
      </c>
      <c r="E274" s="68" t="s">
        <v>132</v>
      </c>
      <c r="F274" s="69">
        <v>35</v>
      </c>
      <c r="G274" s="66"/>
      <c r="H274" s="70"/>
      <c r="I274" s="71"/>
      <c r="J274" s="71"/>
      <c r="K274" s="35" t="s">
        <v>65</v>
      </c>
      <c r="L274" s="79">
        <v>274</v>
      </c>
      <c r="M274" s="79"/>
      <c r="N274" s="73"/>
      <c r="O274" s="81" t="s">
        <v>366</v>
      </c>
      <c r="P274" s="83">
        <v>45233.373460648145</v>
      </c>
      <c r="Q274" s="81" t="s">
        <v>466</v>
      </c>
      <c r="R274" s="81">
        <v>6</v>
      </c>
      <c r="S274" s="81">
        <v>0</v>
      </c>
      <c r="T274" s="81">
        <v>0</v>
      </c>
      <c r="U274" s="81">
        <v>0</v>
      </c>
      <c r="V274" s="81"/>
      <c r="W274" s="81"/>
      <c r="X274" s="81"/>
      <c r="Y274" s="81"/>
      <c r="Z274" s="81" t="s">
        <v>554</v>
      </c>
      <c r="AA274" s="81"/>
      <c r="AB274" s="81"/>
      <c r="AC274" s="84" t="s">
        <v>582</v>
      </c>
      <c r="AD274" s="81" t="s">
        <v>588</v>
      </c>
      <c r="AE274" s="86" t="str">
        <f>HYPERLINK("https://twitter.com/reutsmichael1/status/1720364640884940940")</f>
        <v>https://twitter.com/reutsmichael1/status/1720364640884940940</v>
      </c>
      <c r="AF274" s="83">
        <v>45233.373460648145</v>
      </c>
      <c r="AG274" s="89">
        <v>45233</v>
      </c>
      <c r="AH274" s="84" t="s">
        <v>713</v>
      </c>
      <c r="AI274" s="81"/>
      <c r="AJ274" s="81"/>
      <c r="AK274" s="81"/>
      <c r="AL274" s="81"/>
      <c r="AM274" s="81"/>
      <c r="AN274" s="81"/>
      <c r="AO274" s="81"/>
      <c r="AP274" s="81"/>
      <c r="AQ274" s="81"/>
      <c r="AR274" s="81"/>
      <c r="AS274" s="81"/>
      <c r="AT274" s="81"/>
      <c r="AU274" s="81"/>
      <c r="AV274" s="86" t="str">
        <f>HYPERLINK("https://pbs.twimg.com/profile_images/1689952558293356544/DcOJhVT1_normal.jpg")</f>
        <v>https://pbs.twimg.com/profile_images/1689952558293356544/DcOJhVT1_normal.jpg</v>
      </c>
      <c r="AW274" s="84" t="s">
        <v>867</v>
      </c>
      <c r="AX274" s="84" t="s">
        <v>867</v>
      </c>
      <c r="AY274" s="81"/>
      <c r="AZ274" s="84" t="s">
        <v>879</v>
      </c>
      <c r="BA274" s="84" t="s">
        <v>879</v>
      </c>
      <c r="BB274" s="84" t="s">
        <v>860</v>
      </c>
      <c r="BC274" s="84" t="s">
        <v>860</v>
      </c>
      <c r="BD274" s="84" t="s">
        <v>892</v>
      </c>
      <c r="BE274" s="81"/>
      <c r="BF274" s="81"/>
      <c r="BG274" s="81"/>
      <c r="BH274" s="81"/>
      <c r="BI274" s="81"/>
      <c r="BJ274">
        <v>1</v>
      </c>
      <c r="BK274" s="80" t="str">
        <f>REPLACE(INDEX(GroupVertices[Group], MATCH("~"&amp;Edges[[#This Row],[Vertex 1]],GroupVertices[Vertex],0)),1,1,"")</f>
        <v>5</v>
      </c>
      <c r="BL274" s="80" t="str">
        <f>REPLACE(INDEX(GroupVertices[Group], MATCH("~"&amp;Edges[[#This Row],[Vertex 2]],GroupVertices[Vertex],0)),1,1,"")</f>
        <v>5</v>
      </c>
      <c r="BM274" s="49">
        <v>2</v>
      </c>
      <c r="BN274" s="50">
        <v>16.666666666666668</v>
      </c>
      <c r="BO274" s="49">
        <v>0</v>
      </c>
      <c r="BP274" s="50">
        <v>0</v>
      </c>
      <c r="BQ274" s="49">
        <v>0</v>
      </c>
      <c r="BR274" s="50">
        <v>0</v>
      </c>
      <c r="BS274" s="49">
        <v>9</v>
      </c>
      <c r="BT274" s="50">
        <v>75</v>
      </c>
      <c r="BU274" s="49">
        <v>12</v>
      </c>
    </row>
    <row r="275" spans="1:73" x14ac:dyDescent="0.25">
      <c r="A275" s="65" t="s">
        <v>303</v>
      </c>
      <c r="B275" s="65" t="s">
        <v>298</v>
      </c>
      <c r="C275" s="66" t="s">
        <v>10073</v>
      </c>
      <c r="D275" s="67">
        <v>3</v>
      </c>
      <c r="E275" s="68" t="s">
        <v>132</v>
      </c>
      <c r="F275" s="69">
        <v>35</v>
      </c>
      <c r="G275" s="66"/>
      <c r="H275" s="70"/>
      <c r="I275" s="71"/>
      <c r="J275" s="71"/>
      <c r="K275" s="35" t="s">
        <v>65</v>
      </c>
      <c r="L275" s="79">
        <v>275</v>
      </c>
      <c r="M275" s="79"/>
      <c r="N275" s="73"/>
      <c r="O275" s="81" t="s">
        <v>366</v>
      </c>
      <c r="P275" s="83">
        <v>45233.373460648145</v>
      </c>
      <c r="Q275" s="81" t="s">
        <v>466</v>
      </c>
      <c r="R275" s="81">
        <v>6</v>
      </c>
      <c r="S275" s="81">
        <v>0</v>
      </c>
      <c r="T275" s="81">
        <v>0</v>
      </c>
      <c r="U275" s="81">
        <v>0</v>
      </c>
      <c r="V275" s="81"/>
      <c r="W275" s="81"/>
      <c r="X275" s="81"/>
      <c r="Y275" s="81"/>
      <c r="Z275" s="81" t="s">
        <v>554</v>
      </c>
      <c r="AA275" s="81"/>
      <c r="AB275" s="81"/>
      <c r="AC275" s="84" t="s">
        <v>582</v>
      </c>
      <c r="AD275" s="81" t="s">
        <v>588</v>
      </c>
      <c r="AE275" s="86" t="str">
        <f>HYPERLINK("https://twitter.com/reutsmichael1/status/1720364640884940940")</f>
        <v>https://twitter.com/reutsmichael1/status/1720364640884940940</v>
      </c>
      <c r="AF275" s="83">
        <v>45233.373460648145</v>
      </c>
      <c r="AG275" s="89">
        <v>45233</v>
      </c>
      <c r="AH275" s="84" t="s">
        <v>713</v>
      </c>
      <c r="AI275" s="81"/>
      <c r="AJ275" s="81"/>
      <c r="AK275" s="81"/>
      <c r="AL275" s="81"/>
      <c r="AM275" s="81"/>
      <c r="AN275" s="81"/>
      <c r="AO275" s="81"/>
      <c r="AP275" s="81"/>
      <c r="AQ275" s="81"/>
      <c r="AR275" s="81"/>
      <c r="AS275" s="81"/>
      <c r="AT275" s="81"/>
      <c r="AU275" s="81"/>
      <c r="AV275" s="86" t="str">
        <f>HYPERLINK("https://pbs.twimg.com/profile_images/1689952558293356544/DcOJhVT1_normal.jpg")</f>
        <v>https://pbs.twimg.com/profile_images/1689952558293356544/DcOJhVT1_normal.jpg</v>
      </c>
      <c r="AW275" s="84" t="s">
        <v>867</v>
      </c>
      <c r="AX275" s="84" t="s">
        <v>867</v>
      </c>
      <c r="AY275" s="81"/>
      <c r="AZ275" s="84" t="s">
        <v>879</v>
      </c>
      <c r="BA275" s="84" t="s">
        <v>879</v>
      </c>
      <c r="BB275" s="84" t="s">
        <v>860</v>
      </c>
      <c r="BC275" s="84" t="s">
        <v>860</v>
      </c>
      <c r="BD275" s="84" t="s">
        <v>892</v>
      </c>
      <c r="BE275" s="81"/>
      <c r="BF275" s="81"/>
      <c r="BG275" s="81"/>
      <c r="BH275" s="81"/>
      <c r="BI275" s="81"/>
      <c r="BJ275">
        <v>1</v>
      </c>
      <c r="BK275" s="80" t="str">
        <f>REPLACE(INDEX(GroupVertices[Group], MATCH("~"&amp;Edges[[#This Row],[Vertex 1]],GroupVertices[Vertex],0)),1,1,"")</f>
        <v>5</v>
      </c>
      <c r="BL275" s="80" t="str">
        <f>REPLACE(INDEX(GroupVertices[Group], MATCH("~"&amp;Edges[[#This Row],[Vertex 2]],GroupVertices[Vertex],0)),1,1,"")</f>
        <v>5</v>
      </c>
      <c r="BM275" s="49"/>
      <c r="BN275" s="50"/>
      <c r="BO275" s="49"/>
      <c r="BP275" s="50"/>
      <c r="BQ275" s="49"/>
      <c r="BR275" s="50"/>
      <c r="BS275" s="49"/>
      <c r="BT275" s="50"/>
      <c r="BU275" s="49"/>
    </row>
    <row r="276" spans="1:73" x14ac:dyDescent="0.25">
      <c r="A276" s="65" t="s">
        <v>303</v>
      </c>
      <c r="B276" s="65" t="s">
        <v>301</v>
      </c>
      <c r="C276" s="66" t="s">
        <v>10073</v>
      </c>
      <c r="D276" s="67">
        <v>3</v>
      </c>
      <c r="E276" s="68" t="s">
        <v>132</v>
      </c>
      <c r="F276" s="69">
        <v>35</v>
      </c>
      <c r="G276" s="66"/>
      <c r="H276" s="70"/>
      <c r="I276" s="71"/>
      <c r="J276" s="71"/>
      <c r="K276" s="35" t="s">
        <v>66</v>
      </c>
      <c r="L276" s="79">
        <v>276</v>
      </c>
      <c r="M276" s="79"/>
      <c r="N276" s="73"/>
      <c r="O276" s="81" t="s">
        <v>365</v>
      </c>
      <c r="P276" s="83">
        <v>45233.373460648145</v>
      </c>
      <c r="Q276" s="81" t="s">
        <v>466</v>
      </c>
      <c r="R276" s="81">
        <v>6</v>
      </c>
      <c r="S276" s="81">
        <v>0</v>
      </c>
      <c r="T276" s="81">
        <v>0</v>
      </c>
      <c r="U276" s="81">
        <v>0</v>
      </c>
      <c r="V276" s="81"/>
      <c r="W276" s="81"/>
      <c r="X276" s="81"/>
      <c r="Y276" s="81"/>
      <c r="Z276" s="81" t="s">
        <v>554</v>
      </c>
      <c r="AA276" s="81"/>
      <c r="AB276" s="81"/>
      <c r="AC276" s="84" t="s">
        <v>582</v>
      </c>
      <c r="AD276" s="81" t="s">
        <v>588</v>
      </c>
      <c r="AE276" s="86" t="str">
        <f>HYPERLINK("https://twitter.com/reutsmichael1/status/1720364640884940940")</f>
        <v>https://twitter.com/reutsmichael1/status/1720364640884940940</v>
      </c>
      <c r="AF276" s="83">
        <v>45233.373460648145</v>
      </c>
      <c r="AG276" s="89">
        <v>45233</v>
      </c>
      <c r="AH276" s="84" t="s">
        <v>713</v>
      </c>
      <c r="AI276" s="81"/>
      <c r="AJ276" s="81"/>
      <c r="AK276" s="81"/>
      <c r="AL276" s="81"/>
      <c r="AM276" s="81"/>
      <c r="AN276" s="81"/>
      <c r="AO276" s="81"/>
      <c r="AP276" s="81"/>
      <c r="AQ276" s="81"/>
      <c r="AR276" s="81"/>
      <c r="AS276" s="81"/>
      <c r="AT276" s="81"/>
      <c r="AU276" s="81"/>
      <c r="AV276" s="86" t="str">
        <f>HYPERLINK("https://pbs.twimg.com/profile_images/1689952558293356544/DcOJhVT1_normal.jpg")</f>
        <v>https://pbs.twimg.com/profile_images/1689952558293356544/DcOJhVT1_normal.jpg</v>
      </c>
      <c r="AW276" s="84" t="s">
        <v>867</v>
      </c>
      <c r="AX276" s="84" t="s">
        <v>867</v>
      </c>
      <c r="AY276" s="81"/>
      <c r="AZ276" s="84" t="s">
        <v>879</v>
      </c>
      <c r="BA276" s="84" t="s">
        <v>879</v>
      </c>
      <c r="BB276" s="84" t="s">
        <v>860</v>
      </c>
      <c r="BC276" s="84" t="s">
        <v>860</v>
      </c>
      <c r="BD276" s="84" t="s">
        <v>892</v>
      </c>
      <c r="BE276" s="81"/>
      <c r="BF276" s="81"/>
      <c r="BG276" s="81"/>
      <c r="BH276" s="81"/>
      <c r="BI276" s="81"/>
      <c r="BJ276">
        <v>1</v>
      </c>
      <c r="BK276" s="80" t="str">
        <f>REPLACE(INDEX(GroupVertices[Group], MATCH("~"&amp;Edges[[#This Row],[Vertex 1]],GroupVertices[Vertex],0)),1,1,"")</f>
        <v>5</v>
      </c>
      <c r="BL276" s="80" t="str">
        <f>REPLACE(INDEX(GroupVertices[Group], MATCH("~"&amp;Edges[[#This Row],[Vertex 2]],GroupVertices[Vertex],0)),1,1,"")</f>
        <v>5</v>
      </c>
      <c r="BM276" s="49"/>
      <c r="BN276" s="50"/>
      <c r="BO276" s="49"/>
      <c r="BP276" s="50"/>
      <c r="BQ276" s="49"/>
      <c r="BR276" s="50"/>
      <c r="BS276" s="49"/>
      <c r="BT276" s="50"/>
      <c r="BU276" s="49"/>
    </row>
    <row r="277" spans="1:73" x14ac:dyDescent="0.25">
      <c r="A277" s="65" t="s">
        <v>301</v>
      </c>
      <c r="B277" s="65" t="s">
        <v>303</v>
      </c>
      <c r="C277" s="66" t="s">
        <v>10073</v>
      </c>
      <c r="D277" s="67">
        <v>3</v>
      </c>
      <c r="E277" s="68" t="s">
        <v>132</v>
      </c>
      <c r="F277" s="69">
        <v>35</v>
      </c>
      <c r="G277" s="66"/>
      <c r="H277" s="70"/>
      <c r="I277" s="71"/>
      <c r="J277" s="71"/>
      <c r="K277" s="35" t="s">
        <v>66</v>
      </c>
      <c r="L277" s="79">
        <v>277</v>
      </c>
      <c r="M277" s="79"/>
      <c r="N277" s="73"/>
      <c r="O277" s="81" t="s">
        <v>367</v>
      </c>
      <c r="P277" s="83">
        <v>44993.371435185189</v>
      </c>
      <c r="Q277" s="81" t="s">
        <v>459</v>
      </c>
      <c r="R277" s="81">
        <v>6</v>
      </c>
      <c r="S277" s="81">
        <v>3</v>
      </c>
      <c r="T277" s="81">
        <v>1</v>
      </c>
      <c r="U277" s="81">
        <v>0</v>
      </c>
      <c r="V277" s="81">
        <v>124</v>
      </c>
      <c r="W277" s="84" t="s">
        <v>493</v>
      </c>
      <c r="X277" s="81"/>
      <c r="Y277" s="81"/>
      <c r="Z277" s="81" t="s">
        <v>551</v>
      </c>
      <c r="AA277" s="81"/>
      <c r="AB277" s="81"/>
      <c r="AC277" s="84" t="s">
        <v>579</v>
      </c>
      <c r="AD277" s="81" t="s">
        <v>588</v>
      </c>
      <c r="AE277" s="86" t="str">
        <f>HYPERLINK("https://twitter.com/michaelbathurst/status/1633390819326545921")</f>
        <v>https://twitter.com/michaelbathurst/status/1633390819326545921</v>
      </c>
      <c r="AF277" s="83">
        <v>44993.371435185189</v>
      </c>
      <c r="AG277" s="89">
        <v>44993</v>
      </c>
      <c r="AH277" s="84" t="s">
        <v>706</v>
      </c>
      <c r="AI277" s="81"/>
      <c r="AJ277" s="81" t="s">
        <v>719</v>
      </c>
      <c r="AK277" s="81" t="s">
        <v>720</v>
      </c>
      <c r="AL277" s="81" t="s">
        <v>721</v>
      </c>
      <c r="AM277" s="81" t="s">
        <v>722</v>
      </c>
      <c r="AN277" s="81" t="s">
        <v>723</v>
      </c>
      <c r="AO277" s="81" t="s">
        <v>724</v>
      </c>
      <c r="AP277" s="81" t="s">
        <v>725</v>
      </c>
      <c r="AQ277" s="81"/>
      <c r="AR277" s="81"/>
      <c r="AS277" s="81"/>
      <c r="AT277" s="81"/>
      <c r="AU277" s="81"/>
      <c r="AV277" s="86" t="str">
        <f>HYPERLINK("https://pbs.twimg.com/profile_images/1331610042748051458/8NtBN_eL_normal.jpg")</f>
        <v>https://pbs.twimg.com/profile_images/1331610042748051458/8NtBN_eL_normal.jpg</v>
      </c>
      <c r="AW277" s="84" t="s">
        <v>860</v>
      </c>
      <c r="AX277" s="84" t="s">
        <v>860</v>
      </c>
      <c r="AY277" s="81"/>
      <c r="AZ277" s="84" t="s">
        <v>879</v>
      </c>
      <c r="BA277" s="84" t="s">
        <v>879</v>
      </c>
      <c r="BB277" s="84" t="s">
        <v>879</v>
      </c>
      <c r="BC277" s="84" t="s">
        <v>860</v>
      </c>
      <c r="BD277" s="81">
        <v>37188645</v>
      </c>
      <c r="BE277" s="81"/>
      <c r="BF277" s="81"/>
      <c r="BG277" s="81"/>
      <c r="BH277" s="81"/>
      <c r="BI277" s="81"/>
      <c r="BJ277">
        <v>1</v>
      </c>
      <c r="BK277" s="80" t="str">
        <f>REPLACE(INDEX(GroupVertices[Group], MATCH("~"&amp;Edges[[#This Row],[Vertex 1]],GroupVertices[Vertex],0)),1,1,"")</f>
        <v>5</v>
      </c>
      <c r="BL277" s="80" t="str">
        <f>REPLACE(INDEX(GroupVertices[Group], MATCH("~"&amp;Edges[[#This Row],[Vertex 2]],GroupVertices[Vertex],0)),1,1,"")</f>
        <v>5</v>
      </c>
      <c r="BM277" s="49"/>
      <c r="BN277" s="50"/>
      <c r="BO277" s="49"/>
      <c r="BP277" s="50"/>
      <c r="BQ277" s="49"/>
      <c r="BR277" s="50"/>
      <c r="BS277" s="49"/>
      <c r="BT277" s="50"/>
      <c r="BU277" s="49"/>
    </row>
    <row r="278" spans="1:73" x14ac:dyDescent="0.25">
      <c r="A278" s="65" t="s">
        <v>301</v>
      </c>
      <c r="B278" s="65" t="s">
        <v>358</v>
      </c>
      <c r="C278" s="66" t="s">
        <v>10073</v>
      </c>
      <c r="D278" s="67">
        <v>3</v>
      </c>
      <c r="E278" s="68" t="s">
        <v>132</v>
      </c>
      <c r="F278" s="69">
        <v>35</v>
      </c>
      <c r="G278" s="66"/>
      <c r="H278" s="70"/>
      <c r="I278" s="71"/>
      <c r="J278" s="71"/>
      <c r="K278" s="35" t="s">
        <v>65</v>
      </c>
      <c r="L278" s="79">
        <v>278</v>
      </c>
      <c r="M278" s="79"/>
      <c r="N278" s="73"/>
      <c r="O278" s="81" t="s">
        <v>367</v>
      </c>
      <c r="P278" s="83">
        <v>44993.371435185189</v>
      </c>
      <c r="Q278" s="81" t="s">
        <v>459</v>
      </c>
      <c r="R278" s="81">
        <v>6</v>
      </c>
      <c r="S278" s="81">
        <v>3</v>
      </c>
      <c r="T278" s="81">
        <v>1</v>
      </c>
      <c r="U278" s="81">
        <v>0</v>
      </c>
      <c r="V278" s="81">
        <v>124</v>
      </c>
      <c r="W278" s="84" t="s">
        <v>493</v>
      </c>
      <c r="X278" s="81"/>
      <c r="Y278" s="81"/>
      <c r="Z278" s="81" t="s">
        <v>551</v>
      </c>
      <c r="AA278" s="81"/>
      <c r="AB278" s="81"/>
      <c r="AC278" s="84" t="s">
        <v>579</v>
      </c>
      <c r="AD278" s="81" t="s">
        <v>588</v>
      </c>
      <c r="AE278" s="86" t="str">
        <f>HYPERLINK("https://twitter.com/michaelbathurst/status/1633390819326545921")</f>
        <v>https://twitter.com/michaelbathurst/status/1633390819326545921</v>
      </c>
      <c r="AF278" s="83">
        <v>44993.371435185189</v>
      </c>
      <c r="AG278" s="89">
        <v>44993</v>
      </c>
      <c r="AH278" s="84" t="s">
        <v>706</v>
      </c>
      <c r="AI278" s="81"/>
      <c r="AJ278" s="81" t="s">
        <v>719</v>
      </c>
      <c r="AK278" s="81" t="s">
        <v>720</v>
      </c>
      <c r="AL278" s="81" t="s">
        <v>721</v>
      </c>
      <c r="AM278" s="81" t="s">
        <v>722</v>
      </c>
      <c r="AN278" s="81" t="s">
        <v>723</v>
      </c>
      <c r="AO278" s="81" t="s">
        <v>724</v>
      </c>
      <c r="AP278" s="81" t="s">
        <v>725</v>
      </c>
      <c r="AQ278" s="81"/>
      <c r="AR278" s="81"/>
      <c r="AS278" s="81"/>
      <c r="AT278" s="81"/>
      <c r="AU278" s="81"/>
      <c r="AV278" s="86" t="str">
        <f>HYPERLINK("https://pbs.twimg.com/profile_images/1331610042748051458/8NtBN_eL_normal.jpg")</f>
        <v>https://pbs.twimg.com/profile_images/1331610042748051458/8NtBN_eL_normal.jpg</v>
      </c>
      <c r="AW278" s="84" t="s">
        <v>860</v>
      </c>
      <c r="AX278" s="84" t="s">
        <v>860</v>
      </c>
      <c r="AY278" s="81"/>
      <c r="AZ278" s="84" t="s">
        <v>879</v>
      </c>
      <c r="BA278" s="84" t="s">
        <v>879</v>
      </c>
      <c r="BB278" s="84" t="s">
        <v>879</v>
      </c>
      <c r="BC278" s="84" t="s">
        <v>860</v>
      </c>
      <c r="BD278" s="81">
        <v>37188645</v>
      </c>
      <c r="BE278" s="81"/>
      <c r="BF278" s="81"/>
      <c r="BG278" s="81"/>
      <c r="BH278" s="81"/>
      <c r="BI278" s="81"/>
      <c r="BJ278">
        <v>1</v>
      </c>
      <c r="BK278" s="80" t="str">
        <f>REPLACE(INDEX(GroupVertices[Group], MATCH("~"&amp;Edges[[#This Row],[Vertex 1]],GroupVertices[Vertex],0)),1,1,"")</f>
        <v>5</v>
      </c>
      <c r="BL278" s="80" t="str">
        <f>REPLACE(INDEX(GroupVertices[Group], MATCH("~"&amp;Edges[[#This Row],[Vertex 2]],GroupVertices[Vertex],0)),1,1,"")</f>
        <v>5</v>
      </c>
      <c r="BM278" s="49">
        <v>3</v>
      </c>
      <c r="BN278" s="50">
        <v>11.538461538461538</v>
      </c>
      <c r="BO278" s="49">
        <v>0</v>
      </c>
      <c r="BP278" s="50">
        <v>0</v>
      </c>
      <c r="BQ278" s="49">
        <v>0</v>
      </c>
      <c r="BR278" s="50">
        <v>0</v>
      </c>
      <c r="BS278" s="49">
        <v>23</v>
      </c>
      <c r="BT278" s="50">
        <v>88.461538461538467</v>
      </c>
      <c r="BU278" s="49">
        <v>26</v>
      </c>
    </row>
    <row r="279" spans="1:73" x14ac:dyDescent="0.25">
      <c r="A279" s="65" t="s">
        <v>301</v>
      </c>
      <c r="B279" s="65" t="s">
        <v>354</v>
      </c>
      <c r="C279" s="66" t="s">
        <v>10073</v>
      </c>
      <c r="D279" s="67">
        <v>3</v>
      </c>
      <c r="E279" s="68" t="s">
        <v>132</v>
      </c>
      <c r="F279" s="69">
        <v>35</v>
      </c>
      <c r="G279" s="66"/>
      <c r="H279" s="70"/>
      <c r="I279" s="71"/>
      <c r="J279" s="71"/>
      <c r="K279" s="35" t="s">
        <v>65</v>
      </c>
      <c r="L279" s="79">
        <v>279</v>
      </c>
      <c r="M279" s="79"/>
      <c r="N279" s="73"/>
      <c r="O279" s="81" t="s">
        <v>367</v>
      </c>
      <c r="P279" s="83">
        <v>44993.371435185189</v>
      </c>
      <c r="Q279" s="81" t="s">
        <v>459</v>
      </c>
      <c r="R279" s="81">
        <v>6</v>
      </c>
      <c r="S279" s="81">
        <v>3</v>
      </c>
      <c r="T279" s="81">
        <v>1</v>
      </c>
      <c r="U279" s="81">
        <v>0</v>
      </c>
      <c r="V279" s="81">
        <v>124</v>
      </c>
      <c r="W279" s="84" t="s">
        <v>493</v>
      </c>
      <c r="X279" s="81"/>
      <c r="Y279" s="81"/>
      <c r="Z279" s="81" t="s">
        <v>551</v>
      </c>
      <c r="AA279" s="81"/>
      <c r="AB279" s="81"/>
      <c r="AC279" s="84" t="s">
        <v>579</v>
      </c>
      <c r="AD279" s="81" t="s">
        <v>588</v>
      </c>
      <c r="AE279" s="86" t="str">
        <f>HYPERLINK("https://twitter.com/michaelbathurst/status/1633390819326545921")</f>
        <v>https://twitter.com/michaelbathurst/status/1633390819326545921</v>
      </c>
      <c r="AF279" s="83">
        <v>44993.371435185189</v>
      </c>
      <c r="AG279" s="89">
        <v>44993</v>
      </c>
      <c r="AH279" s="84" t="s">
        <v>706</v>
      </c>
      <c r="AI279" s="81"/>
      <c r="AJ279" s="81" t="s">
        <v>719</v>
      </c>
      <c r="AK279" s="81" t="s">
        <v>720</v>
      </c>
      <c r="AL279" s="81" t="s">
        <v>721</v>
      </c>
      <c r="AM279" s="81" t="s">
        <v>722</v>
      </c>
      <c r="AN279" s="81" t="s">
        <v>723</v>
      </c>
      <c r="AO279" s="81" t="s">
        <v>724</v>
      </c>
      <c r="AP279" s="81" t="s">
        <v>725</v>
      </c>
      <c r="AQ279" s="81"/>
      <c r="AR279" s="81"/>
      <c r="AS279" s="81"/>
      <c r="AT279" s="81"/>
      <c r="AU279" s="81"/>
      <c r="AV279" s="86" t="str">
        <f>HYPERLINK("https://pbs.twimg.com/profile_images/1331610042748051458/8NtBN_eL_normal.jpg")</f>
        <v>https://pbs.twimg.com/profile_images/1331610042748051458/8NtBN_eL_normal.jpg</v>
      </c>
      <c r="AW279" s="84" t="s">
        <v>860</v>
      </c>
      <c r="AX279" s="84" t="s">
        <v>860</v>
      </c>
      <c r="AY279" s="81"/>
      <c r="AZ279" s="84" t="s">
        <v>879</v>
      </c>
      <c r="BA279" s="84" t="s">
        <v>879</v>
      </c>
      <c r="BB279" s="84" t="s">
        <v>879</v>
      </c>
      <c r="BC279" s="84" t="s">
        <v>860</v>
      </c>
      <c r="BD279" s="81">
        <v>37188645</v>
      </c>
      <c r="BE279" s="81"/>
      <c r="BF279" s="81"/>
      <c r="BG279" s="81"/>
      <c r="BH279" s="81"/>
      <c r="BI279" s="81"/>
      <c r="BJ279">
        <v>1</v>
      </c>
      <c r="BK279" s="80" t="str">
        <f>REPLACE(INDEX(GroupVertices[Group], MATCH("~"&amp;Edges[[#This Row],[Vertex 1]],GroupVertices[Vertex],0)),1,1,"")</f>
        <v>5</v>
      </c>
      <c r="BL279" s="80" t="str">
        <f>REPLACE(INDEX(GroupVertices[Group], MATCH("~"&amp;Edges[[#This Row],[Vertex 2]],GroupVertices[Vertex],0)),1,1,"")</f>
        <v>5</v>
      </c>
      <c r="BM279" s="49"/>
      <c r="BN279" s="50"/>
      <c r="BO279" s="49"/>
      <c r="BP279" s="50"/>
      <c r="BQ279" s="49"/>
      <c r="BR279" s="50"/>
      <c r="BS279" s="49"/>
      <c r="BT279" s="50"/>
      <c r="BU279" s="49"/>
    </row>
    <row r="280" spans="1:73" x14ac:dyDescent="0.25">
      <c r="A280" s="65" t="s">
        <v>301</v>
      </c>
      <c r="B280" s="65" t="s">
        <v>355</v>
      </c>
      <c r="C280" s="66" t="s">
        <v>10073</v>
      </c>
      <c r="D280" s="67">
        <v>3</v>
      </c>
      <c r="E280" s="68" t="s">
        <v>132</v>
      </c>
      <c r="F280" s="69">
        <v>35</v>
      </c>
      <c r="G280" s="66"/>
      <c r="H280" s="70"/>
      <c r="I280" s="71"/>
      <c r="J280" s="71"/>
      <c r="K280" s="35" t="s">
        <v>65</v>
      </c>
      <c r="L280" s="79">
        <v>280</v>
      </c>
      <c r="M280" s="79"/>
      <c r="N280" s="73"/>
      <c r="O280" s="81" t="s">
        <v>367</v>
      </c>
      <c r="P280" s="83">
        <v>44993.371435185189</v>
      </c>
      <c r="Q280" s="81" t="s">
        <v>459</v>
      </c>
      <c r="R280" s="81">
        <v>6</v>
      </c>
      <c r="S280" s="81">
        <v>3</v>
      </c>
      <c r="T280" s="81">
        <v>1</v>
      </c>
      <c r="U280" s="81">
        <v>0</v>
      </c>
      <c r="V280" s="81">
        <v>124</v>
      </c>
      <c r="W280" s="84" t="s">
        <v>493</v>
      </c>
      <c r="X280" s="81"/>
      <c r="Y280" s="81"/>
      <c r="Z280" s="81" t="s">
        <v>551</v>
      </c>
      <c r="AA280" s="81"/>
      <c r="AB280" s="81"/>
      <c r="AC280" s="84" t="s">
        <v>579</v>
      </c>
      <c r="AD280" s="81" t="s">
        <v>588</v>
      </c>
      <c r="AE280" s="86" t="str">
        <f>HYPERLINK("https://twitter.com/michaelbathurst/status/1633390819326545921")</f>
        <v>https://twitter.com/michaelbathurst/status/1633390819326545921</v>
      </c>
      <c r="AF280" s="83">
        <v>44993.371435185189</v>
      </c>
      <c r="AG280" s="89">
        <v>44993</v>
      </c>
      <c r="AH280" s="84" t="s">
        <v>706</v>
      </c>
      <c r="AI280" s="81"/>
      <c r="AJ280" s="81" t="s">
        <v>719</v>
      </c>
      <c r="AK280" s="81" t="s">
        <v>720</v>
      </c>
      <c r="AL280" s="81" t="s">
        <v>721</v>
      </c>
      <c r="AM280" s="81" t="s">
        <v>722</v>
      </c>
      <c r="AN280" s="81" t="s">
        <v>723</v>
      </c>
      <c r="AO280" s="81" t="s">
        <v>724</v>
      </c>
      <c r="AP280" s="81" t="s">
        <v>725</v>
      </c>
      <c r="AQ280" s="81"/>
      <c r="AR280" s="81"/>
      <c r="AS280" s="81"/>
      <c r="AT280" s="81"/>
      <c r="AU280" s="81"/>
      <c r="AV280" s="86" t="str">
        <f>HYPERLINK("https://pbs.twimg.com/profile_images/1331610042748051458/8NtBN_eL_normal.jpg")</f>
        <v>https://pbs.twimg.com/profile_images/1331610042748051458/8NtBN_eL_normal.jpg</v>
      </c>
      <c r="AW280" s="84" t="s">
        <v>860</v>
      </c>
      <c r="AX280" s="84" t="s">
        <v>860</v>
      </c>
      <c r="AY280" s="81"/>
      <c r="AZ280" s="84" t="s">
        <v>879</v>
      </c>
      <c r="BA280" s="84" t="s">
        <v>879</v>
      </c>
      <c r="BB280" s="84" t="s">
        <v>879</v>
      </c>
      <c r="BC280" s="84" t="s">
        <v>860</v>
      </c>
      <c r="BD280" s="81">
        <v>37188645</v>
      </c>
      <c r="BE280" s="81"/>
      <c r="BF280" s="81"/>
      <c r="BG280" s="81"/>
      <c r="BH280" s="81"/>
      <c r="BI280" s="81"/>
      <c r="BJ280">
        <v>1</v>
      </c>
      <c r="BK280" s="80" t="str">
        <f>REPLACE(INDEX(GroupVertices[Group], MATCH("~"&amp;Edges[[#This Row],[Vertex 1]],GroupVertices[Vertex],0)),1,1,"")</f>
        <v>5</v>
      </c>
      <c r="BL280" s="80" t="str">
        <f>REPLACE(INDEX(GroupVertices[Group], MATCH("~"&amp;Edges[[#This Row],[Vertex 2]],GroupVertices[Vertex],0)),1,1,"")</f>
        <v>5</v>
      </c>
      <c r="BM280" s="49"/>
      <c r="BN280" s="50"/>
      <c r="BO280" s="49"/>
      <c r="BP280" s="50"/>
      <c r="BQ280" s="49"/>
      <c r="BR280" s="50"/>
      <c r="BS280" s="49"/>
      <c r="BT280" s="50"/>
      <c r="BU280" s="49"/>
    </row>
    <row r="281" spans="1:73" x14ac:dyDescent="0.25">
      <c r="A281" s="65" t="s">
        <v>301</v>
      </c>
      <c r="B281" s="65" t="s">
        <v>356</v>
      </c>
      <c r="C281" s="66" t="s">
        <v>10073</v>
      </c>
      <c r="D281" s="67">
        <v>3</v>
      </c>
      <c r="E281" s="68" t="s">
        <v>132</v>
      </c>
      <c r="F281" s="69">
        <v>35</v>
      </c>
      <c r="G281" s="66"/>
      <c r="H281" s="70"/>
      <c r="I281" s="71"/>
      <c r="J281" s="71"/>
      <c r="K281" s="35" t="s">
        <v>65</v>
      </c>
      <c r="L281" s="79">
        <v>281</v>
      </c>
      <c r="M281" s="79"/>
      <c r="N281" s="73"/>
      <c r="O281" s="81" t="s">
        <v>367</v>
      </c>
      <c r="P281" s="83">
        <v>44993.371435185189</v>
      </c>
      <c r="Q281" s="81" t="s">
        <v>459</v>
      </c>
      <c r="R281" s="81">
        <v>6</v>
      </c>
      <c r="S281" s="81">
        <v>3</v>
      </c>
      <c r="T281" s="81">
        <v>1</v>
      </c>
      <c r="U281" s="81">
        <v>0</v>
      </c>
      <c r="V281" s="81">
        <v>124</v>
      </c>
      <c r="W281" s="84" t="s">
        <v>493</v>
      </c>
      <c r="X281" s="81"/>
      <c r="Y281" s="81"/>
      <c r="Z281" s="81" t="s">
        <v>551</v>
      </c>
      <c r="AA281" s="81"/>
      <c r="AB281" s="81"/>
      <c r="AC281" s="84" t="s">
        <v>579</v>
      </c>
      <c r="AD281" s="81" t="s">
        <v>588</v>
      </c>
      <c r="AE281" s="86" t="str">
        <f>HYPERLINK("https://twitter.com/michaelbathurst/status/1633390819326545921")</f>
        <v>https://twitter.com/michaelbathurst/status/1633390819326545921</v>
      </c>
      <c r="AF281" s="83">
        <v>44993.371435185189</v>
      </c>
      <c r="AG281" s="89">
        <v>44993</v>
      </c>
      <c r="AH281" s="84" t="s">
        <v>706</v>
      </c>
      <c r="AI281" s="81"/>
      <c r="AJ281" s="81" t="s">
        <v>719</v>
      </c>
      <c r="AK281" s="81" t="s">
        <v>720</v>
      </c>
      <c r="AL281" s="81" t="s">
        <v>721</v>
      </c>
      <c r="AM281" s="81" t="s">
        <v>722</v>
      </c>
      <c r="AN281" s="81" t="s">
        <v>723</v>
      </c>
      <c r="AO281" s="81" t="s">
        <v>724</v>
      </c>
      <c r="AP281" s="81" t="s">
        <v>725</v>
      </c>
      <c r="AQ281" s="81"/>
      <c r="AR281" s="81"/>
      <c r="AS281" s="81"/>
      <c r="AT281" s="81"/>
      <c r="AU281" s="81"/>
      <c r="AV281" s="86" t="str">
        <f>HYPERLINK("https://pbs.twimg.com/profile_images/1331610042748051458/8NtBN_eL_normal.jpg")</f>
        <v>https://pbs.twimg.com/profile_images/1331610042748051458/8NtBN_eL_normal.jpg</v>
      </c>
      <c r="AW281" s="84" t="s">
        <v>860</v>
      </c>
      <c r="AX281" s="84" t="s">
        <v>860</v>
      </c>
      <c r="AY281" s="81"/>
      <c r="AZ281" s="84" t="s">
        <v>879</v>
      </c>
      <c r="BA281" s="84" t="s">
        <v>879</v>
      </c>
      <c r="BB281" s="84" t="s">
        <v>879</v>
      </c>
      <c r="BC281" s="84" t="s">
        <v>860</v>
      </c>
      <c r="BD281" s="81">
        <v>37188645</v>
      </c>
      <c r="BE281" s="81"/>
      <c r="BF281" s="81"/>
      <c r="BG281" s="81"/>
      <c r="BH281" s="81"/>
      <c r="BI281" s="81"/>
      <c r="BJ281">
        <v>1</v>
      </c>
      <c r="BK281" s="80" t="str">
        <f>REPLACE(INDEX(GroupVertices[Group], MATCH("~"&amp;Edges[[#This Row],[Vertex 1]],GroupVertices[Vertex],0)),1,1,"")</f>
        <v>5</v>
      </c>
      <c r="BL281" s="80" t="str">
        <f>REPLACE(INDEX(GroupVertices[Group], MATCH("~"&amp;Edges[[#This Row],[Vertex 2]],GroupVertices[Vertex],0)),1,1,"")</f>
        <v>5</v>
      </c>
      <c r="BM281" s="49"/>
      <c r="BN281" s="50"/>
      <c r="BO281" s="49"/>
      <c r="BP281" s="50"/>
      <c r="BQ281" s="49"/>
      <c r="BR281" s="50"/>
      <c r="BS281" s="49"/>
      <c r="BT281" s="50"/>
      <c r="BU281" s="49"/>
    </row>
    <row r="282" spans="1:73" x14ac:dyDescent="0.25">
      <c r="A282" s="65" t="s">
        <v>301</v>
      </c>
      <c r="B282" s="65" t="s">
        <v>357</v>
      </c>
      <c r="C282" s="66" t="s">
        <v>10073</v>
      </c>
      <c r="D282" s="67">
        <v>3</v>
      </c>
      <c r="E282" s="68" t="s">
        <v>132</v>
      </c>
      <c r="F282" s="69">
        <v>35</v>
      </c>
      <c r="G282" s="66"/>
      <c r="H282" s="70"/>
      <c r="I282" s="71"/>
      <c r="J282" s="71"/>
      <c r="K282" s="35" t="s">
        <v>65</v>
      </c>
      <c r="L282" s="79">
        <v>282</v>
      </c>
      <c r="M282" s="79"/>
      <c r="N282" s="73"/>
      <c r="O282" s="81" t="s">
        <v>367</v>
      </c>
      <c r="P282" s="83">
        <v>44993.371435185189</v>
      </c>
      <c r="Q282" s="81" t="s">
        <v>459</v>
      </c>
      <c r="R282" s="81">
        <v>6</v>
      </c>
      <c r="S282" s="81">
        <v>3</v>
      </c>
      <c r="T282" s="81">
        <v>1</v>
      </c>
      <c r="U282" s="81">
        <v>0</v>
      </c>
      <c r="V282" s="81">
        <v>124</v>
      </c>
      <c r="W282" s="84" t="s">
        <v>493</v>
      </c>
      <c r="X282" s="81"/>
      <c r="Y282" s="81"/>
      <c r="Z282" s="81" t="s">
        <v>551</v>
      </c>
      <c r="AA282" s="81"/>
      <c r="AB282" s="81"/>
      <c r="AC282" s="84" t="s">
        <v>579</v>
      </c>
      <c r="AD282" s="81" t="s">
        <v>588</v>
      </c>
      <c r="AE282" s="86" t="str">
        <f>HYPERLINK("https://twitter.com/michaelbathurst/status/1633390819326545921")</f>
        <v>https://twitter.com/michaelbathurst/status/1633390819326545921</v>
      </c>
      <c r="AF282" s="83">
        <v>44993.371435185189</v>
      </c>
      <c r="AG282" s="89">
        <v>44993</v>
      </c>
      <c r="AH282" s="84" t="s">
        <v>706</v>
      </c>
      <c r="AI282" s="81"/>
      <c r="AJ282" s="81" t="s">
        <v>719</v>
      </c>
      <c r="AK282" s="81" t="s">
        <v>720</v>
      </c>
      <c r="AL282" s="81" t="s">
        <v>721</v>
      </c>
      <c r="AM282" s="81" t="s">
        <v>722</v>
      </c>
      <c r="AN282" s="81" t="s">
        <v>723</v>
      </c>
      <c r="AO282" s="81" t="s">
        <v>724</v>
      </c>
      <c r="AP282" s="81" t="s">
        <v>725</v>
      </c>
      <c r="AQ282" s="81"/>
      <c r="AR282" s="81"/>
      <c r="AS282" s="81"/>
      <c r="AT282" s="81"/>
      <c r="AU282" s="81"/>
      <c r="AV282" s="86" t="str">
        <f>HYPERLINK("https://pbs.twimg.com/profile_images/1331610042748051458/8NtBN_eL_normal.jpg")</f>
        <v>https://pbs.twimg.com/profile_images/1331610042748051458/8NtBN_eL_normal.jpg</v>
      </c>
      <c r="AW282" s="84" t="s">
        <v>860</v>
      </c>
      <c r="AX282" s="84" t="s">
        <v>860</v>
      </c>
      <c r="AY282" s="81"/>
      <c r="AZ282" s="84" t="s">
        <v>879</v>
      </c>
      <c r="BA282" s="84" t="s">
        <v>879</v>
      </c>
      <c r="BB282" s="84" t="s">
        <v>879</v>
      </c>
      <c r="BC282" s="84" t="s">
        <v>860</v>
      </c>
      <c r="BD282" s="81">
        <v>37188645</v>
      </c>
      <c r="BE282" s="81"/>
      <c r="BF282" s="81"/>
      <c r="BG282" s="81"/>
      <c r="BH282" s="81"/>
      <c r="BI282" s="81"/>
      <c r="BJ282">
        <v>1</v>
      </c>
      <c r="BK282" s="80" t="str">
        <f>REPLACE(INDEX(GroupVertices[Group], MATCH("~"&amp;Edges[[#This Row],[Vertex 1]],GroupVertices[Vertex],0)),1,1,"")</f>
        <v>5</v>
      </c>
      <c r="BL282" s="80" t="str">
        <f>REPLACE(INDEX(GroupVertices[Group], MATCH("~"&amp;Edges[[#This Row],[Vertex 2]],GroupVertices[Vertex],0)),1,1,"")</f>
        <v>5</v>
      </c>
      <c r="BM282" s="49"/>
      <c r="BN282" s="50"/>
      <c r="BO282" s="49"/>
      <c r="BP282" s="50"/>
      <c r="BQ282" s="49"/>
      <c r="BR282" s="50"/>
      <c r="BS282" s="49"/>
      <c r="BT282" s="50"/>
      <c r="BU282" s="49"/>
    </row>
    <row r="283" spans="1:73" x14ac:dyDescent="0.25">
      <c r="A283" s="65" t="s">
        <v>301</v>
      </c>
      <c r="B283" s="65" t="s">
        <v>298</v>
      </c>
      <c r="C283" s="66" t="s">
        <v>10073</v>
      </c>
      <c r="D283" s="67">
        <v>3</v>
      </c>
      <c r="E283" s="68" t="s">
        <v>132</v>
      </c>
      <c r="F283" s="69">
        <v>35</v>
      </c>
      <c r="G283" s="66"/>
      <c r="H283" s="70"/>
      <c r="I283" s="71"/>
      <c r="J283" s="71"/>
      <c r="K283" s="35" t="s">
        <v>65</v>
      </c>
      <c r="L283" s="79">
        <v>283</v>
      </c>
      <c r="M283" s="79"/>
      <c r="N283" s="73"/>
      <c r="O283" s="81" t="s">
        <v>367</v>
      </c>
      <c r="P283" s="83">
        <v>44993.371435185189</v>
      </c>
      <c r="Q283" s="81" t="s">
        <v>459</v>
      </c>
      <c r="R283" s="81">
        <v>6</v>
      </c>
      <c r="S283" s="81">
        <v>3</v>
      </c>
      <c r="T283" s="81">
        <v>1</v>
      </c>
      <c r="U283" s="81">
        <v>0</v>
      </c>
      <c r="V283" s="81">
        <v>124</v>
      </c>
      <c r="W283" s="84" t="s">
        <v>493</v>
      </c>
      <c r="X283" s="81"/>
      <c r="Y283" s="81"/>
      <c r="Z283" s="81" t="s">
        <v>551</v>
      </c>
      <c r="AA283" s="81"/>
      <c r="AB283" s="81"/>
      <c r="AC283" s="84" t="s">
        <v>579</v>
      </c>
      <c r="AD283" s="81" t="s">
        <v>588</v>
      </c>
      <c r="AE283" s="86" t="str">
        <f>HYPERLINK("https://twitter.com/michaelbathurst/status/1633390819326545921")</f>
        <v>https://twitter.com/michaelbathurst/status/1633390819326545921</v>
      </c>
      <c r="AF283" s="83">
        <v>44993.371435185189</v>
      </c>
      <c r="AG283" s="89">
        <v>44993</v>
      </c>
      <c r="AH283" s="84" t="s">
        <v>706</v>
      </c>
      <c r="AI283" s="81"/>
      <c r="AJ283" s="81" t="s">
        <v>719</v>
      </c>
      <c r="AK283" s="81" t="s">
        <v>720</v>
      </c>
      <c r="AL283" s="81" t="s">
        <v>721</v>
      </c>
      <c r="AM283" s="81" t="s">
        <v>722</v>
      </c>
      <c r="AN283" s="81" t="s">
        <v>723</v>
      </c>
      <c r="AO283" s="81" t="s">
        <v>724</v>
      </c>
      <c r="AP283" s="81" t="s">
        <v>725</v>
      </c>
      <c r="AQ283" s="81"/>
      <c r="AR283" s="81"/>
      <c r="AS283" s="81"/>
      <c r="AT283" s="81"/>
      <c r="AU283" s="81"/>
      <c r="AV283" s="86" t="str">
        <f>HYPERLINK("https://pbs.twimg.com/profile_images/1331610042748051458/8NtBN_eL_normal.jpg")</f>
        <v>https://pbs.twimg.com/profile_images/1331610042748051458/8NtBN_eL_normal.jpg</v>
      </c>
      <c r="AW283" s="84" t="s">
        <v>860</v>
      </c>
      <c r="AX283" s="84" t="s">
        <v>860</v>
      </c>
      <c r="AY283" s="81"/>
      <c r="AZ283" s="84" t="s">
        <v>879</v>
      </c>
      <c r="BA283" s="84" t="s">
        <v>879</v>
      </c>
      <c r="BB283" s="84" t="s">
        <v>879</v>
      </c>
      <c r="BC283" s="84" t="s">
        <v>860</v>
      </c>
      <c r="BD283" s="81">
        <v>37188645</v>
      </c>
      <c r="BE283" s="81"/>
      <c r="BF283" s="81"/>
      <c r="BG283" s="81"/>
      <c r="BH283" s="81"/>
      <c r="BI283" s="81"/>
      <c r="BJ283">
        <v>1</v>
      </c>
      <c r="BK283" s="80" t="str">
        <f>REPLACE(INDEX(GroupVertices[Group], MATCH("~"&amp;Edges[[#This Row],[Vertex 1]],GroupVertices[Vertex],0)),1,1,"")</f>
        <v>5</v>
      </c>
      <c r="BL283" s="80" t="str">
        <f>REPLACE(INDEX(GroupVertices[Group], MATCH("~"&amp;Edges[[#This Row],[Vertex 2]],GroupVertices[Vertex],0)),1,1,"")</f>
        <v>5</v>
      </c>
      <c r="BM283" s="49"/>
      <c r="BN283" s="50"/>
      <c r="BO283" s="49"/>
      <c r="BP283" s="50"/>
      <c r="BQ283" s="49"/>
      <c r="BR283" s="50"/>
      <c r="BS283" s="49"/>
      <c r="BT283" s="50"/>
      <c r="BU283" s="49"/>
    </row>
    <row r="284" spans="1:73" x14ac:dyDescent="0.25">
      <c r="A284" s="65" t="s">
        <v>301</v>
      </c>
      <c r="B284" s="65" t="s">
        <v>301</v>
      </c>
      <c r="C284" s="66" t="s">
        <v>10073</v>
      </c>
      <c r="D284" s="67">
        <v>3</v>
      </c>
      <c r="E284" s="68" t="s">
        <v>132</v>
      </c>
      <c r="F284" s="69">
        <v>35</v>
      </c>
      <c r="G284" s="66"/>
      <c r="H284" s="70"/>
      <c r="I284" s="71"/>
      <c r="J284" s="71"/>
      <c r="K284" s="35" t="s">
        <v>65</v>
      </c>
      <c r="L284" s="79">
        <v>284</v>
      </c>
      <c r="M284" s="79"/>
      <c r="N284" s="73"/>
      <c r="O284" s="81" t="s">
        <v>367</v>
      </c>
      <c r="P284" s="83">
        <v>44993.371435185189</v>
      </c>
      <c r="Q284" s="81" t="s">
        <v>459</v>
      </c>
      <c r="R284" s="81">
        <v>6</v>
      </c>
      <c r="S284" s="81">
        <v>3</v>
      </c>
      <c r="T284" s="81">
        <v>1</v>
      </c>
      <c r="U284" s="81">
        <v>0</v>
      </c>
      <c r="V284" s="81">
        <v>124</v>
      </c>
      <c r="W284" s="84" t="s">
        <v>493</v>
      </c>
      <c r="X284" s="81"/>
      <c r="Y284" s="81"/>
      <c r="Z284" s="81" t="s">
        <v>551</v>
      </c>
      <c r="AA284" s="81"/>
      <c r="AB284" s="81"/>
      <c r="AC284" s="84" t="s">
        <v>579</v>
      </c>
      <c r="AD284" s="81" t="s">
        <v>588</v>
      </c>
      <c r="AE284" s="86" t="str">
        <f>HYPERLINK("https://twitter.com/michaelbathurst/status/1633390819326545921")</f>
        <v>https://twitter.com/michaelbathurst/status/1633390819326545921</v>
      </c>
      <c r="AF284" s="83">
        <v>44993.371435185189</v>
      </c>
      <c r="AG284" s="89">
        <v>44993</v>
      </c>
      <c r="AH284" s="84" t="s">
        <v>706</v>
      </c>
      <c r="AI284" s="81"/>
      <c r="AJ284" s="81" t="s">
        <v>719</v>
      </c>
      <c r="AK284" s="81" t="s">
        <v>720</v>
      </c>
      <c r="AL284" s="81" t="s">
        <v>721</v>
      </c>
      <c r="AM284" s="81" t="s">
        <v>722</v>
      </c>
      <c r="AN284" s="81" t="s">
        <v>723</v>
      </c>
      <c r="AO284" s="81" t="s">
        <v>724</v>
      </c>
      <c r="AP284" s="81" t="s">
        <v>725</v>
      </c>
      <c r="AQ284" s="81"/>
      <c r="AR284" s="81"/>
      <c r="AS284" s="81"/>
      <c r="AT284" s="81"/>
      <c r="AU284" s="81"/>
      <c r="AV284" s="86" t="str">
        <f>HYPERLINK("https://pbs.twimg.com/profile_images/1331610042748051458/8NtBN_eL_normal.jpg")</f>
        <v>https://pbs.twimg.com/profile_images/1331610042748051458/8NtBN_eL_normal.jpg</v>
      </c>
      <c r="AW284" s="84" t="s">
        <v>860</v>
      </c>
      <c r="AX284" s="84" t="s">
        <v>860</v>
      </c>
      <c r="AY284" s="81"/>
      <c r="AZ284" s="84" t="s">
        <v>879</v>
      </c>
      <c r="BA284" s="84" t="s">
        <v>879</v>
      </c>
      <c r="BB284" s="84" t="s">
        <v>879</v>
      </c>
      <c r="BC284" s="84" t="s">
        <v>860</v>
      </c>
      <c r="BD284" s="81">
        <v>37188645</v>
      </c>
      <c r="BE284" s="81"/>
      <c r="BF284" s="81"/>
      <c r="BG284" s="81"/>
      <c r="BH284" s="81"/>
      <c r="BI284" s="81"/>
      <c r="BJ284">
        <v>1</v>
      </c>
      <c r="BK284" s="80" t="str">
        <f>REPLACE(INDEX(GroupVertices[Group], MATCH("~"&amp;Edges[[#This Row],[Vertex 1]],GroupVertices[Vertex],0)),1,1,"")</f>
        <v>5</v>
      </c>
      <c r="BL284" s="80" t="str">
        <f>REPLACE(INDEX(GroupVertices[Group], MATCH("~"&amp;Edges[[#This Row],[Vertex 2]],GroupVertices[Vertex],0)),1,1,"")</f>
        <v>5</v>
      </c>
      <c r="BM284" s="49"/>
      <c r="BN284" s="50"/>
      <c r="BO284" s="49"/>
      <c r="BP284" s="50"/>
      <c r="BQ284" s="49"/>
      <c r="BR284" s="50"/>
      <c r="BS284" s="49"/>
      <c r="BT284" s="50"/>
      <c r="BU284" s="49"/>
    </row>
    <row r="285" spans="1:73" x14ac:dyDescent="0.25">
      <c r="A285" s="65" t="s">
        <v>304</v>
      </c>
      <c r="B285" s="65" t="s">
        <v>304</v>
      </c>
      <c r="C285" s="66" t="s">
        <v>10073</v>
      </c>
      <c r="D285" s="67">
        <v>3</v>
      </c>
      <c r="E285" s="68" t="s">
        <v>132</v>
      </c>
      <c r="F285" s="69">
        <v>35</v>
      </c>
      <c r="G285" s="66"/>
      <c r="H285" s="70"/>
      <c r="I285" s="71"/>
      <c r="J285" s="71"/>
      <c r="K285" s="35" t="s">
        <v>65</v>
      </c>
      <c r="L285" s="79">
        <v>285</v>
      </c>
      <c r="M285" s="79"/>
      <c r="N285" s="73"/>
      <c r="O285" s="81" t="s">
        <v>366</v>
      </c>
      <c r="P285" s="83">
        <v>45230.817673611113</v>
      </c>
      <c r="Q285" s="81" t="s">
        <v>378</v>
      </c>
      <c r="R285" s="81">
        <v>3</v>
      </c>
      <c r="S285" s="81">
        <v>0</v>
      </c>
      <c r="T285" s="81">
        <v>0</v>
      </c>
      <c r="U285" s="81">
        <v>0</v>
      </c>
      <c r="V285" s="81"/>
      <c r="W285" s="81"/>
      <c r="X285" s="81"/>
      <c r="Y285" s="81"/>
      <c r="Z285" s="81" t="s">
        <v>522</v>
      </c>
      <c r="AA285" s="81"/>
      <c r="AB285" s="81"/>
      <c r="AC285" s="84" t="s">
        <v>582</v>
      </c>
      <c r="AD285" s="81" t="s">
        <v>588</v>
      </c>
      <c r="AE285" s="86" t="str">
        <f>HYPERLINK("https://twitter.com/igs_bu/status/1719438454592032991")</f>
        <v>https://twitter.com/igs_bu/status/1719438454592032991</v>
      </c>
      <c r="AF285" s="83">
        <v>45230.817673611113</v>
      </c>
      <c r="AG285" s="89">
        <v>45230</v>
      </c>
      <c r="AH285" s="84" t="s">
        <v>714</v>
      </c>
      <c r="AI285" s="81" t="b">
        <v>0</v>
      </c>
      <c r="AJ285" s="81"/>
      <c r="AK285" s="81"/>
      <c r="AL285" s="81"/>
      <c r="AM285" s="81"/>
      <c r="AN285" s="81"/>
      <c r="AO285" s="81"/>
      <c r="AP285" s="81"/>
      <c r="AQ285" s="81"/>
      <c r="AR285" s="81"/>
      <c r="AS285" s="81"/>
      <c r="AT285" s="81"/>
      <c r="AU285" s="81"/>
      <c r="AV285" s="86" t="str">
        <f>HYPERLINK("https://pbs.twimg.com/profile_images/1545128935477940225/brWstWwf_normal.png")</f>
        <v>https://pbs.twimg.com/profile_images/1545128935477940225/brWstWwf_normal.png</v>
      </c>
      <c r="AW285" s="84" t="s">
        <v>868</v>
      </c>
      <c r="AX285" s="84" t="s">
        <v>868</v>
      </c>
      <c r="AY285" s="81"/>
      <c r="AZ285" s="84" t="s">
        <v>879</v>
      </c>
      <c r="BA285" s="84" t="s">
        <v>879</v>
      </c>
      <c r="BB285" s="84" t="s">
        <v>866</v>
      </c>
      <c r="BC285" s="84" t="s">
        <v>866</v>
      </c>
      <c r="BD285" s="84" t="s">
        <v>893</v>
      </c>
      <c r="BE285" s="81"/>
      <c r="BF285" s="81"/>
      <c r="BG285" s="81"/>
      <c r="BH285" s="81"/>
      <c r="BI285" s="81"/>
      <c r="BJ285">
        <v>1</v>
      </c>
      <c r="BK285" s="80" t="str">
        <f>REPLACE(INDEX(GroupVertices[Group], MATCH("~"&amp;Edges[[#This Row],[Vertex 1]],GroupVertices[Vertex],0)),1,1,"")</f>
        <v>8</v>
      </c>
      <c r="BL285" s="80" t="str">
        <f>REPLACE(INDEX(GroupVertices[Group], MATCH("~"&amp;Edges[[#This Row],[Vertex 2]],GroupVertices[Vertex],0)),1,1,"")</f>
        <v>8</v>
      </c>
      <c r="BM285" s="49"/>
      <c r="BN285" s="50"/>
      <c r="BO285" s="49"/>
      <c r="BP285" s="50"/>
      <c r="BQ285" s="49"/>
      <c r="BR285" s="50"/>
      <c r="BS285" s="49"/>
      <c r="BT285" s="50"/>
      <c r="BU285" s="49"/>
    </row>
    <row r="286" spans="1:73" x14ac:dyDescent="0.25">
      <c r="A286" s="65" t="s">
        <v>304</v>
      </c>
      <c r="B286" s="65" t="s">
        <v>302</v>
      </c>
      <c r="C286" s="66" t="s">
        <v>10073</v>
      </c>
      <c r="D286" s="67">
        <v>3</v>
      </c>
      <c r="E286" s="68" t="s">
        <v>132</v>
      </c>
      <c r="F286" s="69">
        <v>35</v>
      </c>
      <c r="G286" s="66"/>
      <c r="H286" s="70"/>
      <c r="I286" s="71"/>
      <c r="J286" s="71"/>
      <c r="K286" s="35" t="s">
        <v>66</v>
      </c>
      <c r="L286" s="79">
        <v>286</v>
      </c>
      <c r="M286" s="79"/>
      <c r="N286" s="73"/>
      <c r="O286" s="81" t="s">
        <v>365</v>
      </c>
      <c r="P286" s="83">
        <v>45230.817673611113</v>
      </c>
      <c r="Q286" s="81" t="s">
        <v>378</v>
      </c>
      <c r="R286" s="81">
        <v>3</v>
      </c>
      <c r="S286" s="81">
        <v>0</v>
      </c>
      <c r="T286" s="81">
        <v>0</v>
      </c>
      <c r="U286" s="81">
        <v>0</v>
      </c>
      <c r="V286" s="81"/>
      <c r="W286" s="81"/>
      <c r="X286" s="81"/>
      <c r="Y286" s="81"/>
      <c r="Z286" s="81" t="s">
        <v>522</v>
      </c>
      <c r="AA286" s="81"/>
      <c r="AB286" s="81"/>
      <c r="AC286" s="84" t="s">
        <v>582</v>
      </c>
      <c r="AD286" s="81" t="s">
        <v>588</v>
      </c>
      <c r="AE286" s="86" t="str">
        <f>HYPERLINK("https://twitter.com/igs_bu/status/1719438454592032991")</f>
        <v>https://twitter.com/igs_bu/status/1719438454592032991</v>
      </c>
      <c r="AF286" s="83">
        <v>45230.817673611113</v>
      </c>
      <c r="AG286" s="89">
        <v>45230</v>
      </c>
      <c r="AH286" s="84" t="s">
        <v>714</v>
      </c>
      <c r="AI286" s="81" t="b">
        <v>0</v>
      </c>
      <c r="AJ286" s="81"/>
      <c r="AK286" s="81"/>
      <c r="AL286" s="81"/>
      <c r="AM286" s="81"/>
      <c r="AN286" s="81"/>
      <c r="AO286" s="81"/>
      <c r="AP286" s="81"/>
      <c r="AQ286" s="81"/>
      <c r="AR286" s="81"/>
      <c r="AS286" s="81"/>
      <c r="AT286" s="81"/>
      <c r="AU286" s="81"/>
      <c r="AV286" s="86" t="str">
        <f>HYPERLINK("https://pbs.twimg.com/profile_images/1545128935477940225/brWstWwf_normal.png")</f>
        <v>https://pbs.twimg.com/profile_images/1545128935477940225/brWstWwf_normal.png</v>
      </c>
      <c r="AW286" s="84" t="s">
        <v>868</v>
      </c>
      <c r="AX286" s="84" t="s">
        <v>868</v>
      </c>
      <c r="AY286" s="81"/>
      <c r="AZ286" s="84" t="s">
        <v>879</v>
      </c>
      <c r="BA286" s="84" t="s">
        <v>879</v>
      </c>
      <c r="BB286" s="84" t="s">
        <v>866</v>
      </c>
      <c r="BC286" s="84" t="s">
        <v>866</v>
      </c>
      <c r="BD286" s="84" t="s">
        <v>893</v>
      </c>
      <c r="BE286" s="81"/>
      <c r="BF286" s="81"/>
      <c r="BG286" s="81"/>
      <c r="BH286" s="81"/>
      <c r="BI286" s="81"/>
      <c r="BJ286">
        <v>1</v>
      </c>
      <c r="BK286" s="80" t="str">
        <f>REPLACE(INDEX(GroupVertices[Group], MATCH("~"&amp;Edges[[#This Row],[Vertex 1]],GroupVertices[Vertex],0)),1,1,"")</f>
        <v>8</v>
      </c>
      <c r="BL286" s="80" t="str">
        <f>REPLACE(INDEX(GroupVertices[Group], MATCH("~"&amp;Edges[[#This Row],[Vertex 2]],GroupVertices[Vertex],0)),1,1,"")</f>
        <v>8</v>
      </c>
      <c r="BM286" s="49">
        <v>2</v>
      </c>
      <c r="BN286" s="50">
        <v>9.5238095238095237</v>
      </c>
      <c r="BO286" s="49">
        <v>0</v>
      </c>
      <c r="BP286" s="50">
        <v>0</v>
      </c>
      <c r="BQ286" s="49">
        <v>0</v>
      </c>
      <c r="BR286" s="50">
        <v>0</v>
      </c>
      <c r="BS286" s="49">
        <v>12</v>
      </c>
      <c r="BT286" s="50">
        <v>57.142857142857146</v>
      </c>
      <c r="BU286" s="49">
        <v>21</v>
      </c>
    </row>
    <row r="287" spans="1:73" x14ac:dyDescent="0.25">
      <c r="A287" s="65" t="s">
        <v>302</v>
      </c>
      <c r="B287" s="65" t="s">
        <v>304</v>
      </c>
      <c r="C287" s="66" t="s">
        <v>10073</v>
      </c>
      <c r="D287" s="67">
        <v>3</v>
      </c>
      <c r="E287" s="68" t="s">
        <v>132</v>
      </c>
      <c r="F287" s="69">
        <v>35</v>
      </c>
      <c r="G287" s="66"/>
      <c r="H287" s="70"/>
      <c r="I287" s="71"/>
      <c r="J287" s="71"/>
      <c r="K287" s="35" t="s">
        <v>66</v>
      </c>
      <c r="L287" s="79">
        <v>287</v>
      </c>
      <c r="M287" s="79"/>
      <c r="N287" s="73"/>
      <c r="O287" s="81" t="s">
        <v>367</v>
      </c>
      <c r="P287" s="83">
        <v>45230.708333333336</v>
      </c>
      <c r="Q287" s="81" t="s">
        <v>465</v>
      </c>
      <c r="R287" s="81">
        <v>3</v>
      </c>
      <c r="S287" s="81">
        <v>5</v>
      </c>
      <c r="T287" s="81">
        <v>0</v>
      </c>
      <c r="U287" s="81">
        <v>0</v>
      </c>
      <c r="V287" s="81">
        <v>566</v>
      </c>
      <c r="W287" s="81"/>
      <c r="X287" s="86" t="str">
        <f>HYPERLINK("http://spr.ly/6013uYH8H")</f>
        <v>http://spr.ly/6013uYH8H</v>
      </c>
      <c r="Y287" s="81" t="s">
        <v>515</v>
      </c>
      <c r="Z287" s="81" t="s">
        <v>553</v>
      </c>
      <c r="AA287" s="81"/>
      <c r="AB287" s="81"/>
      <c r="AC287" s="84" t="s">
        <v>587</v>
      </c>
      <c r="AD287" s="81" t="s">
        <v>588</v>
      </c>
      <c r="AE287" s="86" t="str">
        <f>HYPERLINK("https://twitter.com/comatbu/status/1719398831287067049")</f>
        <v>https://twitter.com/comatbu/status/1719398831287067049</v>
      </c>
      <c r="AF287" s="83">
        <v>45230.708333333336</v>
      </c>
      <c r="AG287" s="89">
        <v>45230</v>
      </c>
      <c r="AH287" s="84" t="s">
        <v>712</v>
      </c>
      <c r="AI287" s="81" t="b">
        <v>0</v>
      </c>
      <c r="AJ287" s="81"/>
      <c r="AK287" s="81"/>
      <c r="AL287" s="81"/>
      <c r="AM287" s="81"/>
      <c r="AN287" s="81"/>
      <c r="AO287" s="81"/>
      <c r="AP287" s="81"/>
      <c r="AQ287" s="81"/>
      <c r="AR287" s="81"/>
      <c r="AS287" s="81"/>
      <c r="AT287" s="81"/>
      <c r="AU287" s="81"/>
      <c r="AV287" s="86" t="str">
        <f>HYPERLINK("https://pbs.twimg.com/profile_images/1087808935480999936/VEiq4JjJ_normal.jpg")</f>
        <v>https://pbs.twimg.com/profile_images/1087808935480999936/VEiq4JjJ_normal.jpg</v>
      </c>
      <c r="AW287" s="84" t="s">
        <v>866</v>
      </c>
      <c r="AX287" s="84" t="s">
        <v>866</v>
      </c>
      <c r="AY287" s="81"/>
      <c r="AZ287" s="84" t="s">
        <v>879</v>
      </c>
      <c r="BA287" s="84" t="s">
        <v>879</v>
      </c>
      <c r="BB287" s="84" t="s">
        <v>879</v>
      </c>
      <c r="BC287" s="84" t="s">
        <v>866</v>
      </c>
      <c r="BD287" s="81">
        <v>76056609</v>
      </c>
      <c r="BE287" s="81"/>
      <c r="BF287" s="81"/>
      <c r="BG287" s="81"/>
      <c r="BH287" s="81"/>
      <c r="BI287" s="81"/>
      <c r="BJ287">
        <v>1</v>
      </c>
      <c r="BK287" s="80" t="str">
        <f>REPLACE(INDEX(GroupVertices[Group], MATCH("~"&amp;Edges[[#This Row],[Vertex 1]],GroupVertices[Vertex],0)),1,1,"")</f>
        <v>8</v>
      </c>
      <c r="BL287" s="80" t="str">
        <f>REPLACE(INDEX(GroupVertices[Group], MATCH("~"&amp;Edges[[#This Row],[Vertex 2]],GroupVertices[Vertex],0)),1,1,"")</f>
        <v>8</v>
      </c>
      <c r="BM287" s="49">
        <v>2</v>
      </c>
      <c r="BN287" s="50">
        <v>5.4054054054054053</v>
      </c>
      <c r="BO287" s="49">
        <v>0</v>
      </c>
      <c r="BP287" s="50">
        <v>0</v>
      </c>
      <c r="BQ287" s="49">
        <v>0</v>
      </c>
      <c r="BR287" s="50">
        <v>0</v>
      </c>
      <c r="BS287" s="49">
        <v>23</v>
      </c>
      <c r="BT287" s="50">
        <v>62.162162162162161</v>
      </c>
      <c r="BU287" s="49">
        <v>37</v>
      </c>
    </row>
    <row r="288" spans="1:73" x14ac:dyDescent="0.25">
      <c r="A288" s="65" t="s">
        <v>305</v>
      </c>
      <c r="B288" s="65" t="s">
        <v>304</v>
      </c>
      <c r="C288" s="66" t="s">
        <v>10073</v>
      </c>
      <c r="D288" s="67">
        <v>3</v>
      </c>
      <c r="E288" s="68" t="s">
        <v>132</v>
      </c>
      <c r="F288" s="69">
        <v>35</v>
      </c>
      <c r="G288" s="66"/>
      <c r="H288" s="70"/>
      <c r="I288" s="71"/>
      <c r="J288" s="71"/>
      <c r="K288" s="35" t="s">
        <v>65</v>
      </c>
      <c r="L288" s="79">
        <v>288</v>
      </c>
      <c r="M288" s="79"/>
      <c r="N288" s="73"/>
      <c r="O288" s="81" t="s">
        <v>366</v>
      </c>
      <c r="P288" s="83">
        <v>45230.974398148152</v>
      </c>
      <c r="Q288" s="81" t="s">
        <v>378</v>
      </c>
      <c r="R288" s="81">
        <v>3</v>
      </c>
      <c r="S288" s="81">
        <v>0</v>
      </c>
      <c r="T288" s="81">
        <v>0</v>
      </c>
      <c r="U288" s="81">
        <v>0</v>
      </c>
      <c r="V288" s="81"/>
      <c r="W288" s="81"/>
      <c r="X288" s="81"/>
      <c r="Y288" s="81"/>
      <c r="Z288" s="81" t="s">
        <v>522</v>
      </c>
      <c r="AA288" s="81"/>
      <c r="AB288" s="81"/>
      <c r="AC288" s="84" t="s">
        <v>580</v>
      </c>
      <c r="AD288" s="81" t="s">
        <v>588</v>
      </c>
      <c r="AE288" s="86" t="str">
        <f>HYPERLINK("https://twitter.com/benjaminsovaco1/status/1719495250173886549")</f>
        <v>https://twitter.com/benjaminsovaco1/status/1719495250173886549</v>
      </c>
      <c r="AF288" s="83">
        <v>45230.974398148152</v>
      </c>
      <c r="AG288" s="89">
        <v>45230</v>
      </c>
      <c r="AH288" s="84" t="s">
        <v>715</v>
      </c>
      <c r="AI288" s="81" t="b">
        <v>0</v>
      </c>
      <c r="AJ288" s="81"/>
      <c r="AK288" s="81"/>
      <c r="AL288" s="81"/>
      <c r="AM288" s="81"/>
      <c r="AN288" s="81"/>
      <c r="AO288" s="81"/>
      <c r="AP288" s="81"/>
      <c r="AQ288" s="81"/>
      <c r="AR288" s="81"/>
      <c r="AS288" s="81"/>
      <c r="AT288" s="81"/>
      <c r="AU288" s="81"/>
      <c r="AV288" s="86" t="str">
        <f>HYPERLINK("https://pbs.twimg.com/profile_images/1354830590676262913/PXUIlxtt_normal.jpg")</f>
        <v>https://pbs.twimg.com/profile_images/1354830590676262913/PXUIlxtt_normal.jpg</v>
      </c>
      <c r="AW288" s="84" t="s">
        <v>869</v>
      </c>
      <c r="AX288" s="84" t="s">
        <v>869</v>
      </c>
      <c r="AY288" s="81"/>
      <c r="AZ288" s="84" t="s">
        <v>879</v>
      </c>
      <c r="BA288" s="84" t="s">
        <v>879</v>
      </c>
      <c r="BB288" s="84" t="s">
        <v>866</v>
      </c>
      <c r="BC288" s="84" t="s">
        <v>866</v>
      </c>
      <c r="BD288" s="84" t="s">
        <v>894</v>
      </c>
      <c r="BE288" s="81"/>
      <c r="BF288" s="81"/>
      <c r="BG288" s="81"/>
      <c r="BH288" s="81"/>
      <c r="BI288" s="81"/>
      <c r="BJ288">
        <v>1</v>
      </c>
      <c r="BK288" s="80" t="str">
        <f>REPLACE(INDEX(GroupVertices[Group], MATCH("~"&amp;Edges[[#This Row],[Vertex 1]],GroupVertices[Vertex],0)),1,1,"")</f>
        <v>8</v>
      </c>
      <c r="BL288" s="80" t="str">
        <f>REPLACE(INDEX(GroupVertices[Group], MATCH("~"&amp;Edges[[#This Row],[Vertex 2]],GroupVertices[Vertex],0)),1,1,"")</f>
        <v>8</v>
      </c>
      <c r="BM288" s="49"/>
      <c r="BN288" s="50"/>
      <c r="BO288" s="49"/>
      <c r="BP288" s="50"/>
      <c r="BQ288" s="49"/>
      <c r="BR288" s="50"/>
      <c r="BS288" s="49"/>
      <c r="BT288" s="50"/>
      <c r="BU288" s="49"/>
    </row>
    <row r="289" spans="1:73" x14ac:dyDescent="0.25">
      <c r="A289" s="65" t="s">
        <v>305</v>
      </c>
      <c r="B289" s="65" t="s">
        <v>302</v>
      </c>
      <c r="C289" s="66" t="s">
        <v>10073</v>
      </c>
      <c r="D289" s="67">
        <v>3</v>
      </c>
      <c r="E289" s="68" t="s">
        <v>132</v>
      </c>
      <c r="F289" s="69">
        <v>35</v>
      </c>
      <c r="G289" s="66"/>
      <c r="H289" s="70"/>
      <c r="I289" s="71"/>
      <c r="J289" s="71"/>
      <c r="K289" s="35" t="s">
        <v>65</v>
      </c>
      <c r="L289" s="79">
        <v>289</v>
      </c>
      <c r="M289" s="79"/>
      <c r="N289" s="73"/>
      <c r="O289" s="81" t="s">
        <v>365</v>
      </c>
      <c r="P289" s="83">
        <v>45230.974398148152</v>
      </c>
      <c r="Q289" s="81" t="s">
        <v>378</v>
      </c>
      <c r="R289" s="81">
        <v>3</v>
      </c>
      <c r="S289" s="81">
        <v>0</v>
      </c>
      <c r="T289" s="81">
        <v>0</v>
      </c>
      <c r="U289" s="81">
        <v>0</v>
      </c>
      <c r="V289" s="81"/>
      <c r="W289" s="81"/>
      <c r="X289" s="81"/>
      <c r="Y289" s="81"/>
      <c r="Z289" s="81" t="s">
        <v>522</v>
      </c>
      <c r="AA289" s="81"/>
      <c r="AB289" s="81"/>
      <c r="AC289" s="84" t="s">
        <v>580</v>
      </c>
      <c r="AD289" s="81" t="s">
        <v>588</v>
      </c>
      <c r="AE289" s="86" t="str">
        <f>HYPERLINK("https://twitter.com/benjaminsovaco1/status/1719495250173886549")</f>
        <v>https://twitter.com/benjaminsovaco1/status/1719495250173886549</v>
      </c>
      <c r="AF289" s="83">
        <v>45230.974398148152</v>
      </c>
      <c r="AG289" s="89">
        <v>45230</v>
      </c>
      <c r="AH289" s="84" t="s">
        <v>715</v>
      </c>
      <c r="AI289" s="81" t="b">
        <v>0</v>
      </c>
      <c r="AJ289" s="81"/>
      <c r="AK289" s="81"/>
      <c r="AL289" s="81"/>
      <c r="AM289" s="81"/>
      <c r="AN289" s="81"/>
      <c r="AO289" s="81"/>
      <c r="AP289" s="81"/>
      <c r="AQ289" s="81"/>
      <c r="AR289" s="81"/>
      <c r="AS289" s="81"/>
      <c r="AT289" s="81"/>
      <c r="AU289" s="81"/>
      <c r="AV289" s="86" t="str">
        <f>HYPERLINK("https://pbs.twimg.com/profile_images/1354830590676262913/PXUIlxtt_normal.jpg")</f>
        <v>https://pbs.twimg.com/profile_images/1354830590676262913/PXUIlxtt_normal.jpg</v>
      </c>
      <c r="AW289" s="84" t="s">
        <v>869</v>
      </c>
      <c r="AX289" s="84" t="s">
        <v>869</v>
      </c>
      <c r="AY289" s="81"/>
      <c r="AZ289" s="84" t="s">
        <v>879</v>
      </c>
      <c r="BA289" s="84" t="s">
        <v>879</v>
      </c>
      <c r="BB289" s="84" t="s">
        <v>866</v>
      </c>
      <c r="BC289" s="84" t="s">
        <v>866</v>
      </c>
      <c r="BD289" s="84" t="s">
        <v>894</v>
      </c>
      <c r="BE289" s="81"/>
      <c r="BF289" s="81"/>
      <c r="BG289" s="81"/>
      <c r="BH289" s="81"/>
      <c r="BI289" s="81"/>
      <c r="BJ289">
        <v>1</v>
      </c>
      <c r="BK289" s="80" t="str">
        <f>REPLACE(INDEX(GroupVertices[Group], MATCH("~"&amp;Edges[[#This Row],[Vertex 1]],GroupVertices[Vertex],0)),1,1,"")</f>
        <v>8</v>
      </c>
      <c r="BL289" s="80" t="str">
        <f>REPLACE(INDEX(GroupVertices[Group], MATCH("~"&amp;Edges[[#This Row],[Vertex 2]],GroupVertices[Vertex],0)),1,1,"")</f>
        <v>8</v>
      </c>
      <c r="BM289" s="49">
        <v>2</v>
      </c>
      <c r="BN289" s="50">
        <v>9.5238095238095237</v>
      </c>
      <c r="BO289" s="49">
        <v>0</v>
      </c>
      <c r="BP289" s="50">
        <v>0</v>
      </c>
      <c r="BQ289" s="49">
        <v>0</v>
      </c>
      <c r="BR289" s="50">
        <v>0</v>
      </c>
      <c r="BS289" s="49">
        <v>12</v>
      </c>
      <c r="BT289" s="50">
        <v>57.142857142857146</v>
      </c>
      <c r="BU289" s="49">
        <v>21</v>
      </c>
    </row>
    <row r="290" spans="1:73" x14ac:dyDescent="0.25">
      <c r="A290" s="65" t="s">
        <v>306</v>
      </c>
      <c r="B290" s="65" t="s">
        <v>359</v>
      </c>
      <c r="C290" s="66" t="s">
        <v>10073</v>
      </c>
      <c r="D290" s="67">
        <v>3</v>
      </c>
      <c r="E290" s="68" t="s">
        <v>132</v>
      </c>
      <c r="F290" s="69">
        <v>35</v>
      </c>
      <c r="G290" s="66"/>
      <c r="H290" s="70"/>
      <c r="I290" s="71"/>
      <c r="J290" s="71"/>
      <c r="K290" s="35" t="s">
        <v>65</v>
      </c>
      <c r="L290" s="79">
        <v>290</v>
      </c>
      <c r="M290" s="79"/>
      <c r="N290" s="73"/>
      <c r="O290" s="81" t="s">
        <v>367</v>
      </c>
      <c r="P290" s="83">
        <v>45234.89875</v>
      </c>
      <c r="Q290" s="81" t="s">
        <v>467</v>
      </c>
      <c r="R290" s="81">
        <v>4</v>
      </c>
      <c r="S290" s="81">
        <v>7</v>
      </c>
      <c r="T290" s="81">
        <v>0</v>
      </c>
      <c r="U290" s="81">
        <v>0</v>
      </c>
      <c r="V290" s="81">
        <v>494</v>
      </c>
      <c r="W290" s="84" t="s">
        <v>495</v>
      </c>
      <c r="X290" s="86" t="str">
        <f>HYPERLINK("https://theieca.org/page/Join")</f>
        <v>https://theieca.org/page/Join</v>
      </c>
      <c r="Y290" s="81" t="s">
        <v>516</v>
      </c>
      <c r="Z290" s="81" t="s">
        <v>555</v>
      </c>
      <c r="AA290" s="81"/>
      <c r="AB290" s="81"/>
      <c r="AC290" s="84" t="s">
        <v>582</v>
      </c>
      <c r="AD290" s="81" t="s">
        <v>588</v>
      </c>
      <c r="AE290" s="86" t="str">
        <f>HYPERLINK("https://twitter.com/stevedepo/status/1720917387485020564")</f>
        <v>https://twitter.com/stevedepo/status/1720917387485020564</v>
      </c>
      <c r="AF290" s="83">
        <v>45234.89875</v>
      </c>
      <c r="AG290" s="89">
        <v>45234</v>
      </c>
      <c r="AH290" s="84" t="s">
        <v>716</v>
      </c>
      <c r="AI290" s="81" t="b">
        <v>0</v>
      </c>
      <c r="AJ290" s="81"/>
      <c r="AK290" s="81"/>
      <c r="AL290" s="81"/>
      <c r="AM290" s="81"/>
      <c r="AN290" s="81"/>
      <c r="AO290" s="81"/>
      <c r="AP290" s="81"/>
      <c r="AQ290" s="81"/>
      <c r="AR290" s="81"/>
      <c r="AS290" s="81"/>
      <c r="AT290" s="81"/>
      <c r="AU290" s="81"/>
      <c r="AV290" s="86" t="str">
        <f>HYPERLINK("https://pbs.twimg.com/profile_images/668944064755179520/mealRoFg_normal.jpg")</f>
        <v>https://pbs.twimg.com/profile_images/668944064755179520/mealRoFg_normal.jpg</v>
      </c>
      <c r="AW290" s="84" t="s">
        <v>870</v>
      </c>
      <c r="AX290" s="84" t="s">
        <v>870</v>
      </c>
      <c r="AY290" s="81"/>
      <c r="AZ290" s="84" t="s">
        <v>879</v>
      </c>
      <c r="BA290" s="84" t="s">
        <v>879</v>
      </c>
      <c r="BB290" s="84" t="s">
        <v>879</v>
      </c>
      <c r="BC290" s="84" t="s">
        <v>870</v>
      </c>
      <c r="BD290" s="81">
        <v>182686248</v>
      </c>
      <c r="BE290" s="81"/>
      <c r="BF290" s="81"/>
      <c r="BG290" s="81"/>
      <c r="BH290" s="81"/>
      <c r="BI290" s="81"/>
      <c r="BJ290">
        <v>1</v>
      </c>
      <c r="BK290" s="80" t="str">
        <f>REPLACE(INDEX(GroupVertices[Group], MATCH("~"&amp;Edges[[#This Row],[Vertex 1]],GroupVertices[Vertex],0)),1,1,"")</f>
        <v>7</v>
      </c>
      <c r="BL290" s="80" t="str">
        <f>REPLACE(INDEX(GroupVertices[Group], MATCH("~"&amp;Edges[[#This Row],[Vertex 2]],GroupVertices[Vertex],0)),1,1,"")</f>
        <v>7</v>
      </c>
      <c r="BM290" s="49"/>
      <c r="BN290" s="50"/>
      <c r="BO290" s="49"/>
      <c r="BP290" s="50"/>
      <c r="BQ290" s="49"/>
      <c r="BR290" s="50"/>
      <c r="BS290" s="49"/>
      <c r="BT290" s="50"/>
      <c r="BU290" s="49"/>
    </row>
    <row r="291" spans="1:73" x14ac:dyDescent="0.25">
      <c r="A291" s="65" t="s">
        <v>306</v>
      </c>
      <c r="B291" s="65" t="s">
        <v>360</v>
      </c>
      <c r="C291" s="66" t="s">
        <v>10073</v>
      </c>
      <c r="D291" s="67">
        <v>3</v>
      </c>
      <c r="E291" s="68" t="s">
        <v>132</v>
      </c>
      <c r="F291" s="69">
        <v>35</v>
      </c>
      <c r="G291" s="66"/>
      <c r="H291" s="70"/>
      <c r="I291" s="71"/>
      <c r="J291" s="71"/>
      <c r="K291" s="35" t="s">
        <v>65</v>
      </c>
      <c r="L291" s="79">
        <v>291</v>
      </c>
      <c r="M291" s="79"/>
      <c r="N291" s="73"/>
      <c r="O291" s="81" t="s">
        <v>367</v>
      </c>
      <c r="P291" s="83">
        <v>45234.89875</v>
      </c>
      <c r="Q291" s="81" t="s">
        <v>467</v>
      </c>
      <c r="R291" s="81">
        <v>4</v>
      </c>
      <c r="S291" s="81">
        <v>7</v>
      </c>
      <c r="T291" s="81">
        <v>0</v>
      </c>
      <c r="U291" s="81">
        <v>0</v>
      </c>
      <c r="V291" s="81">
        <v>494</v>
      </c>
      <c r="W291" s="84" t="s">
        <v>495</v>
      </c>
      <c r="X291" s="86" t="str">
        <f>HYPERLINK("https://theieca.org/page/Join")</f>
        <v>https://theieca.org/page/Join</v>
      </c>
      <c r="Y291" s="81" t="s">
        <v>516</v>
      </c>
      <c r="Z291" s="81" t="s">
        <v>555</v>
      </c>
      <c r="AA291" s="81"/>
      <c r="AB291" s="81"/>
      <c r="AC291" s="84" t="s">
        <v>582</v>
      </c>
      <c r="AD291" s="81" t="s">
        <v>588</v>
      </c>
      <c r="AE291" s="86" t="str">
        <f>HYPERLINK("https://twitter.com/stevedepo/status/1720917387485020564")</f>
        <v>https://twitter.com/stevedepo/status/1720917387485020564</v>
      </c>
      <c r="AF291" s="83">
        <v>45234.89875</v>
      </c>
      <c r="AG291" s="89">
        <v>45234</v>
      </c>
      <c r="AH291" s="84" t="s">
        <v>716</v>
      </c>
      <c r="AI291" s="81" t="b">
        <v>0</v>
      </c>
      <c r="AJ291" s="81"/>
      <c r="AK291" s="81"/>
      <c r="AL291" s="81"/>
      <c r="AM291" s="81"/>
      <c r="AN291" s="81"/>
      <c r="AO291" s="81"/>
      <c r="AP291" s="81"/>
      <c r="AQ291" s="81"/>
      <c r="AR291" s="81"/>
      <c r="AS291" s="81"/>
      <c r="AT291" s="81"/>
      <c r="AU291" s="81"/>
      <c r="AV291" s="86" t="str">
        <f>HYPERLINK("https://pbs.twimg.com/profile_images/668944064755179520/mealRoFg_normal.jpg")</f>
        <v>https://pbs.twimg.com/profile_images/668944064755179520/mealRoFg_normal.jpg</v>
      </c>
      <c r="AW291" s="84" t="s">
        <v>870</v>
      </c>
      <c r="AX291" s="84" t="s">
        <v>870</v>
      </c>
      <c r="AY291" s="81"/>
      <c r="AZ291" s="84" t="s">
        <v>879</v>
      </c>
      <c r="BA291" s="84" t="s">
        <v>879</v>
      </c>
      <c r="BB291" s="84" t="s">
        <v>879</v>
      </c>
      <c r="BC291" s="84" t="s">
        <v>870</v>
      </c>
      <c r="BD291" s="81">
        <v>182686248</v>
      </c>
      <c r="BE291" s="81"/>
      <c r="BF291" s="81"/>
      <c r="BG291" s="81"/>
      <c r="BH291" s="81"/>
      <c r="BI291" s="81"/>
      <c r="BJ291">
        <v>1</v>
      </c>
      <c r="BK291" s="80" t="str">
        <f>REPLACE(INDEX(GroupVertices[Group], MATCH("~"&amp;Edges[[#This Row],[Vertex 1]],GroupVertices[Vertex],0)),1,1,"")</f>
        <v>7</v>
      </c>
      <c r="BL291" s="80" t="str">
        <f>REPLACE(INDEX(GroupVertices[Group], MATCH("~"&amp;Edges[[#This Row],[Vertex 2]],GroupVertices[Vertex],0)),1,1,"")</f>
        <v>7</v>
      </c>
      <c r="BM291" s="49"/>
      <c r="BN291" s="50"/>
      <c r="BO291" s="49"/>
      <c r="BP291" s="50"/>
      <c r="BQ291" s="49"/>
      <c r="BR291" s="50"/>
      <c r="BS291" s="49"/>
      <c r="BT291" s="50"/>
      <c r="BU291" s="49"/>
    </row>
    <row r="292" spans="1:73" x14ac:dyDescent="0.25">
      <c r="A292" s="65" t="s">
        <v>306</v>
      </c>
      <c r="B292" s="65" t="s">
        <v>361</v>
      </c>
      <c r="C292" s="66" t="s">
        <v>10073</v>
      </c>
      <c r="D292" s="67">
        <v>3</v>
      </c>
      <c r="E292" s="68" t="s">
        <v>132</v>
      </c>
      <c r="F292" s="69">
        <v>35</v>
      </c>
      <c r="G292" s="66"/>
      <c r="H292" s="70"/>
      <c r="I292" s="71"/>
      <c r="J292" s="71"/>
      <c r="K292" s="35" t="s">
        <v>65</v>
      </c>
      <c r="L292" s="79">
        <v>292</v>
      </c>
      <c r="M292" s="79"/>
      <c r="N292" s="73"/>
      <c r="O292" s="81" t="s">
        <v>367</v>
      </c>
      <c r="P292" s="83">
        <v>45234.89875</v>
      </c>
      <c r="Q292" s="81" t="s">
        <v>467</v>
      </c>
      <c r="R292" s="81">
        <v>4</v>
      </c>
      <c r="S292" s="81">
        <v>7</v>
      </c>
      <c r="T292" s="81">
        <v>0</v>
      </c>
      <c r="U292" s="81">
        <v>0</v>
      </c>
      <c r="V292" s="81">
        <v>494</v>
      </c>
      <c r="W292" s="84" t="s">
        <v>495</v>
      </c>
      <c r="X292" s="86" t="str">
        <f>HYPERLINK("https://theieca.org/page/Join")</f>
        <v>https://theieca.org/page/Join</v>
      </c>
      <c r="Y292" s="81" t="s">
        <v>516</v>
      </c>
      <c r="Z292" s="81" t="s">
        <v>555</v>
      </c>
      <c r="AA292" s="81"/>
      <c r="AB292" s="81"/>
      <c r="AC292" s="84" t="s">
        <v>582</v>
      </c>
      <c r="AD292" s="81" t="s">
        <v>588</v>
      </c>
      <c r="AE292" s="86" t="str">
        <f>HYPERLINK("https://twitter.com/stevedepo/status/1720917387485020564")</f>
        <v>https://twitter.com/stevedepo/status/1720917387485020564</v>
      </c>
      <c r="AF292" s="83">
        <v>45234.89875</v>
      </c>
      <c r="AG292" s="89">
        <v>45234</v>
      </c>
      <c r="AH292" s="84" t="s">
        <v>716</v>
      </c>
      <c r="AI292" s="81" t="b">
        <v>0</v>
      </c>
      <c r="AJ292" s="81"/>
      <c r="AK292" s="81"/>
      <c r="AL292" s="81"/>
      <c r="AM292" s="81"/>
      <c r="AN292" s="81"/>
      <c r="AO292" s="81"/>
      <c r="AP292" s="81"/>
      <c r="AQ292" s="81"/>
      <c r="AR292" s="81"/>
      <c r="AS292" s="81"/>
      <c r="AT292" s="81"/>
      <c r="AU292" s="81"/>
      <c r="AV292" s="86" t="str">
        <f>HYPERLINK("https://pbs.twimg.com/profile_images/668944064755179520/mealRoFg_normal.jpg")</f>
        <v>https://pbs.twimg.com/profile_images/668944064755179520/mealRoFg_normal.jpg</v>
      </c>
      <c r="AW292" s="84" t="s">
        <v>870</v>
      </c>
      <c r="AX292" s="84" t="s">
        <v>870</v>
      </c>
      <c r="AY292" s="81"/>
      <c r="AZ292" s="84" t="s">
        <v>879</v>
      </c>
      <c r="BA292" s="84" t="s">
        <v>879</v>
      </c>
      <c r="BB292" s="84" t="s">
        <v>879</v>
      </c>
      <c r="BC292" s="84" t="s">
        <v>870</v>
      </c>
      <c r="BD292" s="81">
        <v>182686248</v>
      </c>
      <c r="BE292" s="81"/>
      <c r="BF292" s="81"/>
      <c r="BG292" s="81"/>
      <c r="BH292" s="81"/>
      <c r="BI292" s="81"/>
      <c r="BJ292">
        <v>1</v>
      </c>
      <c r="BK292" s="80" t="str">
        <f>REPLACE(INDEX(GroupVertices[Group], MATCH("~"&amp;Edges[[#This Row],[Vertex 1]],GroupVertices[Vertex],0)),1,1,"")</f>
        <v>7</v>
      </c>
      <c r="BL292" s="80" t="str">
        <f>REPLACE(INDEX(GroupVertices[Group], MATCH("~"&amp;Edges[[#This Row],[Vertex 2]],GroupVertices[Vertex],0)),1,1,"")</f>
        <v>7</v>
      </c>
      <c r="BM292" s="49">
        <v>1</v>
      </c>
      <c r="BN292" s="50">
        <v>2.9411764705882355</v>
      </c>
      <c r="BO292" s="49">
        <v>0</v>
      </c>
      <c r="BP292" s="50">
        <v>0</v>
      </c>
      <c r="BQ292" s="49">
        <v>0</v>
      </c>
      <c r="BR292" s="50">
        <v>0</v>
      </c>
      <c r="BS292" s="49">
        <v>22</v>
      </c>
      <c r="BT292" s="50">
        <v>64.705882352941174</v>
      </c>
      <c r="BU292" s="49">
        <v>34</v>
      </c>
    </row>
    <row r="293" spans="1:73" x14ac:dyDescent="0.25">
      <c r="A293" s="65" t="s">
        <v>307</v>
      </c>
      <c r="B293" s="65" t="s">
        <v>307</v>
      </c>
      <c r="C293" s="66" t="s">
        <v>10073</v>
      </c>
      <c r="D293" s="67">
        <v>3</v>
      </c>
      <c r="E293" s="68" t="s">
        <v>132</v>
      </c>
      <c r="F293" s="69">
        <v>35</v>
      </c>
      <c r="G293" s="66"/>
      <c r="H293" s="70"/>
      <c r="I293" s="71"/>
      <c r="J293" s="71"/>
      <c r="K293" s="35" t="s">
        <v>65</v>
      </c>
      <c r="L293" s="79">
        <v>293</v>
      </c>
      <c r="M293" s="79"/>
      <c r="N293" s="73"/>
      <c r="O293" s="81" t="s">
        <v>196</v>
      </c>
      <c r="P293" s="83">
        <v>45231.67046296296</v>
      </c>
      <c r="Q293" s="81" t="s">
        <v>468</v>
      </c>
      <c r="R293" s="81">
        <v>28453</v>
      </c>
      <c r="S293" s="81">
        <v>57035</v>
      </c>
      <c r="T293" s="81">
        <v>474</v>
      </c>
      <c r="U293" s="81">
        <v>584</v>
      </c>
      <c r="V293" s="81">
        <v>1903853</v>
      </c>
      <c r="W293" s="81"/>
      <c r="X293" s="81"/>
      <c r="Y293" s="81"/>
      <c r="Z293" s="81"/>
      <c r="AA293" s="81" t="s">
        <v>573</v>
      </c>
      <c r="AB293" s="81" t="s">
        <v>578</v>
      </c>
      <c r="AC293" s="84" t="s">
        <v>582</v>
      </c>
      <c r="AD293" s="81" t="s">
        <v>588</v>
      </c>
      <c r="AE293" s="86" t="str">
        <f>HYPERLINK("https://twitter.com/azaizamotaz9/status/1719747492466569538")</f>
        <v>https://twitter.com/azaizamotaz9/status/1719747492466569538</v>
      </c>
      <c r="AF293" s="83">
        <v>45231.67046296296</v>
      </c>
      <c r="AG293" s="89">
        <v>45231</v>
      </c>
      <c r="AH293" s="84" t="s">
        <v>717</v>
      </c>
      <c r="AI293" s="81" t="b">
        <v>0</v>
      </c>
      <c r="AJ293" s="81"/>
      <c r="AK293" s="81"/>
      <c r="AL293" s="81"/>
      <c r="AM293" s="81"/>
      <c r="AN293" s="81"/>
      <c r="AO293" s="81"/>
      <c r="AP293" s="81"/>
      <c r="AQ293" s="81" t="s">
        <v>742</v>
      </c>
      <c r="AR293" s="81">
        <v>83382</v>
      </c>
      <c r="AS293" s="81"/>
      <c r="AT293" s="81"/>
      <c r="AU293" s="81"/>
      <c r="AV293" s="86" t="str">
        <f>HYPERLINK("https://pbs.twimg.com/ext_tw_video_thumb/1719746771893571584/pu/img/alNHRUnfwoBxrA3j.jpg")</f>
        <v>https://pbs.twimg.com/ext_tw_video_thumb/1719746771893571584/pu/img/alNHRUnfwoBxrA3j.jpg</v>
      </c>
      <c r="AW293" s="84" t="s">
        <v>871</v>
      </c>
      <c r="AX293" s="84" t="s">
        <v>871</v>
      </c>
      <c r="AY293" s="81"/>
      <c r="AZ293" s="84" t="s">
        <v>879</v>
      </c>
      <c r="BA293" s="84" t="s">
        <v>879</v>
      </c>
      <c r="BB293" s="84" t="s">
        <v>879</v>
      </c>
      <c r="BC293" s="84" t="s">
        <v>871</v>
      </c>
      <c r="BD293" s="84" t="s">
        <v>895</v>
      </c>
      <c r="BE293" s="81"/>
      <c r="BF293" s="81"/>
      <c r="BG293" s="81"/>
      <c r="BH293" s="81"/>
      <c r="BI293" s="81"/>
      <c r="BJ293">
        <v>1</v>
      </c>
      <c r="BK293" s="80" t="str">
        <f>REPLACE(INDEX(GroupVertices[Group], MATCH("~"&amp;Edges[[#This Row],[Vertex 1]],GroupVertices[Vertex],0)),1,1,"")</f>
        <v>3</v>
      </c>
      <c r="BL293" s="80" t="str">
        <f>REPLACE(INDEX(GroupVertices[Group], MATCH("~"&amp;Edges[[#This Row],[Vertex 2]],GroupVertices[Vertex],0)),1,1,"")</f>
        <v>3</v>
      </c>
      <c r="BM293" s="49">
        <v>0</v>
      </c>
      <c r="BN293" s="50">
        <v>0</v>
      </c>
      <c r="BO293" s="49">
        <v>1</v>
      </c>
      <c r="BP293" s="50">
        <v>3.225806451612903</v>
      </c>
      <c r="BQ293" s="49">
        <v>0</v>
      </c>
      <c r="BR293" s="50">
        <v>0</v>
      </c>
      <c r="BS293" s="49">
        <v>16</v>
      </c>
      <c r="BT293" s="50">
        <v>51.612903225806448</v>
      </c>
      <c r="BU293" s="49">
        <v>31</v>
      </c>
    </row>
    <row r="294" spans="1:73" x14ac:dyDescent="0.25">
      <c r="A294" s="65" t="s">
        <v>308</v>
      </c>
      <c r="B294" s="65" t="s">
        <v>362</v>
      </c>
      <c r="C294" s="66" t="s">
        <v>10073</v>
      </c>
      <c r="D294" s="67">
        <v>3</v>
      </c>
      <c r="E294" s="68" t="s">
        <v>132</v>
      </c>
      <c r="F294" s="69">
        <v>35</v>
      </c>
      <c r="G294" s="66"/>
      <c r="H294" s="70"/>
      <c r="I294" s="71"/>
      <c r="J294" s="71"/>
      <c r="K294" s="35" t="s">
        <v>65</v>
      </c>
      <c r="L294" s="79">
        <v>294</v>
      </c>
      <c r="M294" s="79"/>
      <c r="N294" s="73"/>
      <c r="O294" s="81" t="s">
        <v>367</v>
      </c>
      <c r="P294" s="83">
        <v>45205.747824074075</v>
      </c>
      <c r="Q294" s="81" t="s">
        <v>469</v>
      </c>
      <c r="R294" s="81">
        <v>4</v>
      </c>
      <c r="S294" s="81">
        <v>9</v>
      </c>
      <c r="T294" s="81">
        <v>1</v>
      </c>
      <c r="U294" s="81">
        <v>3</v>
      </c>
      <c r="V294" s="81">
        <v>2839</v>
      </c>
      <c r="W294" s="84" t="s">
        <v>496</v>
      </c>
      <c r="X294" s="86" t="str">
        <f>HYPERLINK("https://tucsonagenda.substack.com/p/monday-q-and-a-with-dr-jessica-retis?utm_campaign=email-half-post&amp;r=n7i1h&amp;utm_source=substack&amp;utm_medium=email&amp;utm_source=trellis&amp;utm_medium=email&amp;utm_campaign=Clips%20for%20Sep.%2023-25,%202023")</f>
        <v>https://tucsonagenda.substack.com/p/monday-q-and-a-with-dr-jessica-retis?utm_campaign=email-half-post&amp;r=n7i1h&amp;utm_source=substack&amp;utm_medium=email&amp;utm_source=trellis&amp;utm_medium=email&amp;utm_campaign=Clips%20for%20Sep.%2023-25,%202023</v>
      </c>
      <c r="Y294" s="81" t="s">
        <v>517</v>
      </c>
      <c r="Z294" s="81" t="s">
        <v>556</v>
      </c>
      <c r="AA294" s="81" t="s">
        <v>574</v>
      </c>
      <c r="AB294" s="81" t="s">
        <v>575</v>
      </c>
      <c r="AC294" s="84" t="s">
        <v>582</v>
      </c>
      <c r="AD294" s="81" t="s">
        <v>588</v>
      </c>
      <c r="AE294" s="86" t="str">
        <f>HYPERLINK("https://twitter.com/nahj/status/1710353444362395779")</f>
        <v>https://twitter.com/nahj/status/1710353444362395779</v>
      </c>
      <c r="AF294" s="83">
        <v>45205.747824074075</v>
      </c>
      <c r="AG294" s="89">
        <v>45205</v>
      </c>
      <c r="AH294" s="84" t="s">
        <v>718</v>
      </c>
      <c r="AI294" s="81" t="b">
        <v>0</v>
      </c>
      <c r="AJ294" s="81"/>
      <c r="AK294" s="81"/>
      <c r="AL294" s="81"/>
      <c r="AM294" s="81"/>
      <c r="AN294" s="81"/>
      <c r="AO294" s="81"/>
      <c r="AP294" s="81"/>
      <c r="AQ294" s="81" t="s">
        <v>743</v>
      </c>
      <c r="AR294" s="81"/>
      <c r="AS294" s="81"/>
      <c r="AT294" s="81"/>
      <c r="AU294" s="81"/>
      <c r="AV294" s="86" t="str">
        <f>HYPERLINK("https://pbs.twimg.com/media/F7xjwoJXoAAZcqr.jpg")</f>
        <v>https://pbs.twimg.com/media/F7xjwoJXoAAZcqr.jpg</v>
      </c>
      <c r="AW294" s="84" t="s">
        <v>872</v>
      </c>
      <c r="AX294" s="84" t="s">
        <v>872</v>
      </c>
      <c r="AY294" s="81"/>
      <c r="AZ294" s="84" t="s">
        <v>879</v>
      </c>
      <c r="BA294" s="84" t="s">
        <v>879</v>
      </c>
      <c r="BB294" s="84" t="s">
        <v>879</v>
      </c>
      <c r="BC294" s="84" t="s">
        <v>872</v>
      </c>
      <c r="BD294" s="81">
        <v>6819732</v>
      </c>
      <c r="BE294" s="81"/>
      <c r="BF294" s="81"/>
      <c r="BG294" s="81"/>
      <c r="BH294" s="81"/>
      <c r="BI294" s="81"/>
      <c r="BJ294">
        <v>1</v>
      </c>
      <c r="BK294" s="80" t="str">
        <f>REPLACE(INDEX(GroupVertices[Group], MATCH("~"&amp;Edges[[#This Row],[Vertex 1]],GroupVertices[Vertex],0)),1,1,"")</f>
        <v>11</v>
      </c>
      <c r="BL294" s="80" t="str">
        <f>REPLACE(INDEX(GroupVertices[Group], MATCH("~"&amp;Edges[[#This Row],[Vertex 2]],GroupVertices[Vertex],0)),1,1,"")</f>
        <v>11</v>
      </c>
      <c r="BM294" s="49"/>
      <c r="BN294" s="50"/>
      <c r="BO294" s="49"/>
      <c r="BP294" s="50"/>
      <c r="BQ294" s="49"/>
      <c r="BR294" s="50"/>
      <c r="BS294" s="49"/>
      <c r="BT294" s="50"/>
      <c r="BU294" s="49"/>
    </row>
    <row r="295" spans="1:73" x14ac:dyDescent="0.25">
      <c r="A295" s="65" t="s">
        <v>308</v>
      </c>
      <c r="B295" s="65" t="s">
        <v>363</v>
      </c>
      <c r="C295" s="66" t="s">
        <v>10073</v>
      </c>
      <c r="D295" s="67">
        <v>3</v>
      </c>
      <c r="E295" s="68" t="s">
        <v>132</v>
      </c>
      <c r="F295" s="69">
        <v>35</v>
      </c>
      <c r="G295" s="66"/>
      <c r="H295" s="70"/>
      <c r="I295" s="71"/>
      <c r="J295" s="71"/>
      <c r="K295" s="35" t="s">
        <v>65</v>
      </c>
      <c r="L295" s="79">
        <v>295</v>
      </c>
      <c r="M295" s="79"/>
      <c r="N295" s="73"/>
      <c r="O295" s="81" t="s">
        <v>367</v>
      </c>
      <c r="P295" s="83">
        <v>45205.747824074075</v>
      </c>
      <c r="Q295" s="81" t="s">
        <v>469</v>
      </c>
      <c r="R295" s="81">
        <v>4</v>
      </c>
      <c r="S295" s="81">
        <v>9</v>
      </c>
      <c r="T295" s="81">
        <v>1</v>
      </c>
      <c r="U295" s="81">
        <v>3</v>
      </c>
      <c r="V295" s="81">
        <v>2839</v>
      </c>
      <c r="W295" s="84" t="s">
        <v>496</v>
      </c>
      <c r="X295" s="86" t="str">
        <f>HYPERLINK("https://tucsonagenda.substack.com/p/monday-q-and-a-with-dr-jessica-retis?utm_campaign=email-half-post&amp;r=n7i1h&amp;utm_source=substack&amp;utm_medium=email&amp;utm_source=trellis&amp;utm_medium=email&amp;utm_campaign=Clips%20for%20Sep.%2023-25,%202023")</f>
        <v>https://tucsonagenda.substack.com/p/monday-q-and-a-with-dr-jessica-retis?utm_campaign=email-half-post&amp;r=n7i1h&amp;utm_source=substack&amp;utm_medium=email&amp;utm_source=trellis&amp;utm_medium=email&amp;utm_campaign=Clips%20for%20Sep.%2023-25,%202023</v>
      </c>
      <c r="Y295" s="81" t="s">
        <v>517</v>
      </c>
      <c r="Z295" s="81" t="s">
        <v>556</v>
      </c>
      <c r="AA295" s="81" t="s">
        <v>574</v>
      </c>
      <c r="AB295" s="81" t="s">
        <v>575</v>
      </c>
      <c r="AC295" s="84" t="s">
        <v>582</v>
      </c>
      <c r="AD295" s="81" t="s">
        <v>588</v>
      </c>
      <c r="AE295" s="86" t="str">
        <f>HYPERLINK("https://twitter.com/nahj/status/1710353444362395779")</f>
        <v>https://twitter.com/nahj/status/1710353444362395779</v>
      </c>
      <c r="AF295" s="83">
        <v>45205.747824074075</v>
      </c>
      <c r="AG295" s="89">
        <v>45205</v>
      </c>
      <c r="AH295" s="84" t="s">
        <v>718</v>
      </c>
      <c r="AI295" s="81" t="b">
        <v>0</v>
      </c>
      <c r="AJ295" s="81"/>
      <c r="AK295" s="81"/>
      <c r="AL295" s="81"/>
      <c r="AM295" s="81"/>
      <c r="AN295" s="81"/>
      <c r="AO295" s="81"/>
      <c r="AP295" s="81"/>
      <c r="AQ295" s="81" t="s">
        <v>743</v>
      </c>
      <c r="AR295" s="81"/>
      <c r="AS295" s="81"/>
      <c r="AT295" s="81"/>
      <c r="AU295" s="81"/>
      <c r="AV295" s="86" t="str">
        <f>HYPERLINK("https://pbs.twimg.com/media/F7xjwoJXoAAZcqr.jpg")</f>
        <v>https://pbs.twimg.com/media/F7xjwoJXoAAZcqr.jpg</v>
      </c>
      <c r="AW295" s="84" t="s">
        <v>872</v>
      </c>
      <c r="AX295" s="84" t="s">
        <v>872</v>
      </c>
      <c r="AY295" s="81"/>
      <c r="AZ295" s="84" t="s">
        <v>879</v>
      </c>
      <c r="BA295" s="84" t="s">
        <v>879</v>
      </c>
      <c r="BB295" s="84" t="s">
        <v>879</v>
      </c>
      <c r="BC295" s="84" t="s">
        <v>872</v>
      </c>
      <c r="BD295" s="81">
        <v>6819732</v>
      </c>
      <c r="BE295" s="81"/>
      <c r="BF295" s="81"/>
      <c r="BG295" s="81"/>
      <c r="BH295" s="81"/>
      <c r="BI295" s="81"/>
      <c r="BJ295">
        <v>1</v>
      </c>
      <c r="BK295" s="80" t="str">
        <f>REPLACE(INDEX(GroupVertices[Group], MATCH("~"&amp;Edges[[#This Row],[Vertex 1]],GroupVertices[Vertex],0)),1,1,"")</f>
        <v>11</v>
      </c>
      <c r="BL295" s="80" t="str">
        <f>REPLACE(INDEX(GroupVertices[Group], MATCH("~"&amp;Edges[[#This Row],[Vertex 2]],GroupVertices[Vertex],0)),1,1,"")</f>
        <v>11</v>
      </c>
      <c r="BM295" s="49">
        <v>2</v>
      </c>
      <c r="BN295" s="50">
        <v>5.5555555555555554</v>
      </c>
      <c r="BO295" s="49">
        <v>0</v>
      </c>
      <c r="BP295" s="50">
        <v>0</v>
      </c>
      <c r="BQ295" s="49">
        <v>0</v>
      </c>
      <c r="BR295" s="50">
        <v>0</v>
      </c>
      <c r="BS295" s="49">
        <v>22</v>
      </c>
      <c r="BT295" s="50">
        <v>61.111111111111114</v>
      </c>
      <c r="BU295" s="49">
        <v>36</v>
      </c>
    </row>
    <row r="296" spans="1:73" x14ac:dyDescent="0.25">
      <c r="A296" s="65" t="s">
        <v>308</v>
      </c>
      <c r="B296" s="65" t="s">
        <v>308</v>
      </c>
      <c r="C296" s="66" t="s">
        <v>10073</v>
      </c>
      <c r="D296" s="67">
        <v>3</v>
      </c>
      <c r="E296" s="68" t="s">
        <v>132</v>
      </c>
      <c r="F296" s="69">
        <v>35</v>
      </c>
      <c r="G296" s="66"/>
      <c r="H296" s="70"/>
      <c r="I296" s="71"/>
      <c r="J296" s="71"/>
      <c r="K296" s="35" t="s">
        <v>65</v>
      </c>
      <c r="L296" s="79">
        <v>296</v>
      </c>
      <c r="M296" s="79"/>
      <c r="N296" s="73"/>
      <c r="O296" s="81" t="s">
        <v>367</v>
      </c>
      <c r="P296" s="83">
        <v>45205.747824074075</v>
      </c>
      <c r="Q296" s="81" t="s">
        <v>469</v>
      </c>
      <c r="R296" s="81">
        <v>4</v>
      </c>
      <c r="S296" s="81">
        <v>9</v>
      </c>
      <c r="T296" s="81">
        <v>1</v>
      </c>
      <c r="U296" s="81">
        <v>3</v>
      </c>
      <c r="V296" s="81">
        <v>2839</v>
      </c>
      <c r="W296" s="84" t="s">
        <v>496</v>
      </c>
      <c r="X296" s="86" t="str">
        <f>HYPERLINK("https://tucsonagenda.substack.com/p/monday-q-and-a-with-dr-jessica-retis?utm_campaign=email-half-post&amp;r=n7i1h&amp;utm_source=substack&amp;utm_medium=email&amp;utm_source=trellis&amp;utm_medium=email&amp;utm_campaign=Clips%20for%20Sep.%2023-25,%202023")</f>
        <v>https://tucsonagenda.substack.com/p/monday-q-and-a-with-dr-jessica-retis?utm_campaign=email-half-post&amp;r=n7i1h&amp;utm_source=substack&amp;utm_medium=email&amp;utm_source=trellis&amp;utm_medium=email&amp;utm_campaign=Clips%20for%20Sep.%2023-25,%202023</v>
      </c>
      <c r="Y296" s="81" t="s">
        <v>517</v>
      </c>
      <c r="Z296" s="81" t="s">
        <v>556</v>
      </c>
      <c r="AA296" s="81" t="s">
        <v>574</v>
      </c>
      <c r="AB296" s="81" t="s">
        <v>575</v>
      </c>
      <c r="AC296" s="84" t="s">
        <v>582</v>
      </c>
      <c r="AD296" s="81" t="s">
        <v>588</v>
      </c>
      <c r="AE296" s="86" t="str">
        <f>HYPERLINK("https://twitter.com/nahj/status/1710353444362395779")</f>
        <v>https://twitter.com/nahj/status/1710353444362395779</v>
      </c>
      <c r="AF296" s="83">
        <v>45205.747824074075</v>
      </c>
      <c r="AG296" s="89">
        <v>45205</v>
      </c>
      <c r="AH296" s="84" t="s">
        <v>718</v>
      </c>
      <c r="AI296" s="81" t="b">
        <v>0</v>
      </c>
      <c r="AJ296" s="81"/>
      <c r="AK296" s="81"/>
      <c r="AL296" s="81"/>
      <c r="AM296" s="81"/>
      <c r="AN296" s="81"/>
      <c r="AO296" s="81"/>
      <c r="AP296" s="81"/>
      <c r="AQ296" s="81" t="s">
        <v>743</v>
      </c>
      <c r="AR296" s="81"/>
      <c r="AS296" s="81"/>
      <c r="AT296" s="81"/>
      <c r="AU296" s="81"/>
      <c r="AV296" s="86" t="str">
        <f>HYPERLINK("https://pbs.twimg.com/media/F7xjwoJXoAAZcqr.jpg")</f>
        <v>https://pbs.twimg.com/media/F7xjwoJXoAAZcqr.jpg</v>
      </c>
      <c r="AW296" s="84" t="s">
        <v>872</v>
      </c>
      <c r="AX296" s="84" t="s">
        <v>872</v>
      </c>
      <c r="AY296" s="81"/>
      <c r="AZ296" s="84" t="s">
        <v>879</v>
      </c>
      <c r="BA296" s="84" t="s">
        <v>879</v>
      </c>
      <c r="BB296" s="84" t="s">
        <v>879</v>
      </c>
      <c r="BC296" s="84" t="s">
        <v>872</v>
      </c>
      <c r="BD296" s="81">
        <v>6819732</v>
      </c>
      <c r="BE296" s="81"/>
      <c r="BF296" s="81"/>
      <c r="BG296" s="81"/>
      <c r="BH296" s="81"/>
      <c r="BI296" s="81"/>
      <c r="BJ296">
        <v>1</v>
      </c>
      <c r="BK296" s="80" t="str">
        <f>REPLACE(INDEX(GroupVertices[Group], MATCH("~"&amp;Edges[[#This Row],[Vertex 1]],GroupVertices[Vertex],0)),1,1,"")</f>
        <v>11</v>
      </c>
      <c r="BL296" s="80" t="str">
        <f>REPLACE(INDEX(GroupVertices[Group], MATCH("~"&amp;Edges[[#This Row],[Vertex 2]],GroupVertices[Vertex],0)),1,1,"")</f>
        <v>11</v>
      </c>
      <c r="BM296" s="49"/>
      <c r="BN296" s="50"/>
      <c r="BO296" s="49"/>
      <c r="BP296" s="50"/>
      <c r="BQ296" s="49"/>
      <c r="BR296" s="50"/>
      <c r="BS296" s="49"/>
      <c r="BT296" s="50"/>
      <c r="BU296" s="49"/>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296" xr:uid="{00000000-0002-0000-0000-00000000000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296" xr:uid="{00000000-0002-0000-0000-000001000000}"/>
    <dataValidation allowBlank="1" showErrorMessage="1" sqref="N2:N296" xr:uid="{00000000-0002-0000-0000-000002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296" xr:uid="{00000000-0002-0000-0000-000003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296" xr:uid="{00000000-0002-0000-0000-000004000000}"/>
    <dataValidation allowBlank="1" showInputMessage="1" promptTitle="Edge Color" prompt="To select an optional edge color, right-click and select Select Color on the right-click menu." sqref="C3:C296" xr:uid="{00000000-0002-0000-0000-000005000000}"/>
    <dataValidation allowBlank="1" showInputMessage="1" errorTitle="Invalid Edge Width" error="The optional edge width must be a whole number between 1 and 10." promptTitle="Edge Width" prompt="Enter an optional edge width between 1 and 10." sqref="D3:D296" xr:uid="{00000000-0002-0000-0000-000006000000}"/>
    <dataValidation allowBlank="1" showInputMessage="1" errorTitle="Invalid Edge Opacity" error="The optional edge opacity must be a whole number between 0 and 10." promptTitle="Edge Opacity" prompt="Enter an optional edge opacity between 0 (transparent) and 100 (opaque)." sqref="F3:F296" xr:uid="{00000000-0002-0000-0000-00000700000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296" xr:uid="{00000000-0002-0000-0000-000008000000}">
      <formula1>ValidEdgeVisibilities</formula1>
    </dataValidation>
    <dataValidation allowBlank="1" showInputMessage="1" showErrorMessage="1" promptTitle="Vertex 1 Name" prompt="Enter the name of the edge's first vertex." sqref="A3:A296" xr:uid="{00000000-0002-0000-0000-000009000000}"/>
    <dataValidation allowBlank="1" showInputMessage="1" showErrorMessage="1" promptTitle="Vertex 2 Name" prompt="Enter the name of the edge's second vertex." sqref="B3:B296" xr:uid="{00000000-0002-0000-0000-00000A000000}"/>
    <dataValidation allowBlank="1" showInputMessage="1" showErrorMessage="1" errorTitle="Invalid Edge Visibility" error="You have entered an unrecognized edge visibility.  Try selecting from the drop-down list instead." promptTitle="Edge Label" prompt="Enter an optional edge label." sqref="H3:H296" xr:uid="{00000000-0002-0000-0000-00000B00000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296" xr:uid="{00000000-0002-0000-0000-00000C00000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296" xr:uid="{00000000-0002-0000-0000-00000D000000}"/>
  </dataValidations>
  <pageMargins left="0.7" right="0.7" top="0.75" bottom="0.75" header="0.3" footer="0.3"/>
  <pageSetup orientation="portrait" verticalDpi="0" r:id="rId1"/>
  <legacy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7A120-97A5-4851-818F-39FCE214B118}">
  <dimension ref="A1:C1774"/>
  <sheetViews>
    <sheetView workbookViewId="0"/>
  </sheetViews>
  <sheetFormatPr defaultRowHeight="15" x14ac:dyDescent="0.25"/>
  <cols>
    <col min="1" max="1" width="11.140625" bestFit="1" customWidth="1"/>
    <col min="2" max="2" width="8.140625" bestFit="1" customWidth="1"/>
    <col min="3" max="3" width="13.85546875" bestFit="1" customWidth="1"/>
  </cols>
  <sheetData>
    <row r="1" spans="1:3" ht="15" customHeight="1" x14ac:dyDescent="0.25">
      <c r="A1" s="13" t="s">
        <v>1976</v>
      </c>
      <c r="B1" s="13" t="s">
        <v>1631</v>
      </c>
      <c r="C1" s="13" t="s">
        <v>228</v>
      </c>
    </row>
    <row r="2" spans="1:3" x14ac:dyDescent="0.25">
      <c r="A2" s="80" t="s">
        <v>249</v>
      </c>
      <c r="B2" s="80" t="s">
        <v>275</v>
      </c>
      <c r="C2" s="87" t="s">
        <v>754</v>
      </c>
    </row>
    <row r="3" spans="1:3" x14ac:dyDescent="0.25">
      <c r="A3" s="81" t="s">
        <v>249</v>
      </c>
      <c r="B3" s="80" t="s">
        <v>317</v>
      </c>
      <c r="C3" s="87" t="s">
        <v>754</v>
      </c>
    </row>
    <row r="4" spans="1:3" x14ac:dyDescent="0.25">
      <c r="A4" s="81" t="s">
        <v>249</v>
      </c>
      <c r="B4" s="80" t="s">
        <v>261</v>
      </c>
      <c r="C4" s="87" t="s">
        <v>754</v>
      </c>
    </row>
    <row r="5" spans="1:3" x14ac:dyDescent="0.25">
      <c r="A5" s="81" t="s">
        <v>249</v>
      </c>
      <c r="B5" s="80" t="s">
        <v>294</v>
      </c>
      <c r="C5" s="87" t="s">
        <v>754</v>
      </c>
    </row>
    <row r="6" spans="1:3" x14ac:dyDescent="0.25">
      <c r="A6" s="81" t="s">
        <v>249</v>
      </c>
      <c r="B6" s="80" t="s">
        <v>276</v>
      </c>
      <c r="C6" s="87" t="s">
        <v>754</v>
      </c>
    </row>
    <row r="7" spans="1:3" x14ac:dyDescent="0.25">
      <c r="A7" s="81" t="s">
        <v>249</v>
      </c>
      <c r="B7" s="80" t="s">
        <v>268</v>
      </c>
      <c r="C7" s="87" t="s">
        <v>754</v>
      </c>
    </row>
    <row r="8" spans="1:3" x14ac:dyDescent="0.25">
      <c r="A8" s="81" t="s">
        <v>249</v>
      </c>
      <c r="B8" s="80" t="s">
        <v>1977</v>
      </c>
      <c r="C8" s="87" t="s">
        <v>754</v>
      </c>
    </row>
    <row r="9" spans="1:3" x14ac:dyDescent="0.25">
      <c r="A9" s="81" t="s">
        <v>249</v>
      </c>
      <c r="B9" s="80" t="s">
        <v>1685</v>
      </c>
      <c r="C9" s="87" t="s">
        <v>754</v>
      </c>
    </row>
    <row r="10" spans="1:3" x14ac:dyDescent="0.25">
      <c r="A10" s="81" t="s">
        <v>249</v>
      </c>
      <c r="B10" s="80" t="s">
        <v>1667</v>
      </c>
      <c r="C10" s="87" t="s">
        <v>754</v>
      </c>
    </row>
    <row r="11" spans="1:3" x14ac:dyDescent="0.25">
      <c r="A11" s="81" t="s">
        <v>249</v>
      </c>
      <c r="B11" s="80" t="s">
        <v>1654</v>
      </c>
      <c r="C11" s="87" t="s">
        <v>754</v>
      </c>
    </row>
    <row r="12" spans="1:3" x14ac:dyDescent="0.25">
      <c r="A12" s="81" t="s">
        <v>249</v>
      </c>
      <c r="B12" s="80" t="s">
        <v>1645</v>
      </c>
      <c r="C12" s="87" t="s">
        <v>754</v>
      </c>
    </row>
    <row r="13" spans="1:3" x14ac:dyDescent="0.25">
      <c r="A13" s="81" t="s">
        <v>249</v>
      </c>
      <c r="B13" s="80" t="s">
        <v>1703</v>
      </c>
      <c r="C13" s="87" t="s">
        <v>754</v>
      </c>
    </row>
    <row r="14" spans="1:3" x14ac:dyDescent="0.25">
      <c r="A14" s="81" t="s">
        <v>249</v>
      </c>
      <c r="B14" s="80" t="s">
        <v>1724</v>
      </c>
      <c r="C14" s="87" t="s">
        <v>754</v>
      </c>
    </row>
    <row r="15" spans="1:3" x14ac:dyDescent="0.25">
      <c r="A15" s="81" t="s">
        <v>249</v>
      </c>
      <c r="B15" s="80" t="s">
        <v>470</v>
      </c>
      <c r="C15" s="87" t="s">
        <v>754</v>
      </c>
    </row>
    <row r="16" spans="1:3" x14ac:dyDescent="0.25">
      <c r="A16" s="81" t="s">
        <v>249</v>
      </c>
      <c r="B16" s="80" t="s">
        <v>1690</v>
      </c>
      <c r="C16" s="87" t="s">
        <v>754</v>
      </c>
    </row>
    <row r="17" spans="1:3" x14ac:dyDescent="0.25">
      <c r="A17" s="81" t="s">
        <v>249</v>
      </c>
      <c r="B17" s="80" t="s">
        <v>1704</v>
      </c>
      <c r="C17" s="87" t="s">
        <v>754</v>
      </c>
    </row>
    <row r="18" spans="1:3" x14ac:dyDescent="0.25">
      <c r="A18" s="81" t="s">
        <v>249</v>
      </c>
      <c r="B18" s="80" t="s">
        <v>1682</v>
      </c>
      <c r="C18" s="87" t="s">
        <v>754</v>
      </c>
    </row>
    <row r="19" spans="1:3" x14ac:dyDescent="0.25">
      <c r="A19" s="81" t="s">
        <v>268</v>
      </c>
      <c r="B19" s="80" t="s">
        <v>1978</v>
      </c>
      <c r="C19" s="87" t="s">
        <v>861</v>
      </c>
    </row>
    <row r="20" spans="1:3" x14ac:dyDescent="0.25">
      <c r="A20" s="81" t="s">
        <v>268</v>
      </c>
      <c r="B20" s="80" t="s">
        <v>1852</v>
      </c>
      <c r="C20" s="87" t="s">
        <v>861</v>
      </c>
    </row>
    <row r="21" spans="1:3" x14ac:dyDescent="0.25">
      <c r="A21" s="81" t="s">
        <v>268</v>
      </c>
      <c r="B21" s="80" t="s">
        <v>1816</v>
      </c>
      <c r="C21" s="87" t="s">
        <v>861</v>
      </c>
    </row>
    <row r="22" spans="1:3" x14ac:dyDescent="0.25">
      <c r="A22" s="81" t="s">
        <v>268</v>
      </c>
      <c r="B22" s="80" t="s">
        <v>1799</v>
      </c>
      <c r="C22" s="87" t="s">
        <v>861</v>
      </c>
    </row>
    <row r="23" spans="1:3" x14ac:dyDescent="0.25">
      <c r="A23" s="81" t="s">
        <v>268</v>
      </c>
      <c r="B23" s="80" t="s">
        <v>494</v>
      </c>
      <c r="C23" s="87" t="s">
        <v>861</v>
      </c>
    </row>
    <row r="24" spans="1:3" x14ac:dyDescent="0.25">
      <c r="A24" s="81" t="s">
        <v>268</v>
      </c>
      <c r="B24" s="80" t="s">
        <v>1861</v>
      </c>
      <c r="C24" s="87" t="s">
        <v>861</v>
      </c>
    </row>
    <row r="25" spans="1:3" x14ac:dyDescent="0.25">
      <c r="A25" s="81" t="s">
        <v>268</v>
      </c>
      <c r="B25" s="80" t="s">
        <v>1839</v>
      </c>
      <c r="C25" s="87" t="s">
        <v>861</v>
      </c>
    </row>
    <row r="26" spans="1:3" x14ac:dyDescent="0.25">
      <c r="A26" s="81" t="s">
        <v>268</v>
      </c>
      <c r="B26" s="80" t="s">
        <v>1657</v>
      </c>
      <c r="C26" s="87" t="s">
        <v>861</v>
      </c>
    </row>
    <row r="27" spans="1:3" x14ac:dyDescent="0.25">
      <c r="A27" s="81" t="s">
        <v>268</v>
      </c>
      <c r="B27" s="80" t="s">
        <v>1894</v>
      </c>
      <c r="C27" s="87" t="s">
        <v>861</v>
      </c>
    </row>
    <row r="28" spans="1:3" x14ac:dyDescent="0.25">
      <c r="A28" s="81" t="s">
        <v>268</v>
      </c>
      <c r="B28" s="80" t="s">
        <v>1840</v>
      </c>
      <c r="C28" s="87" t="s">
        <v>861</v>
      </c>
    </row>
    <row r="29" spans="1:3" x14ac:dyDescent="0.25">
      <c r="A29" s="81" t="s">
        <v>268</v>
      </c>
      <c r="B29" s="80" t="s">
        <v>1932</v>
      </c>
      <c r="C29" s="87" t="s">
        <v>861</v>
      </c>
    </row>
    <row r="30" spans="1:3" x14ac:dyDescent="0.25">
      <c r="A30" s="81" t="s">
        <v>268</v>
      </c>
      <c r="B30" s="80" t="s">
        <v>1654</v>
      </c>
      <c r="C30" s="87" t="s">
        <v>861</v>
      </c>
    </row>
    <row r="31" spans="1:3" x14ac:dyDescent="0.25">
      <c r="A31" s="81" t="s">
        <v>268</v>
      </c>
      <c r="B31" s="80" t="s">
        <v>308</v>
      </c>
      <c r="C31" s="87" t="s">
        <v>861</v>
      </c>
    </row>
    <row r="32" spans="1:3" x14ac:dyDescent="0.25">
      <c r="A32" s="81" t="s">
        <v>281</v>
      </c>
      <c r="B32" s="80" t="s">
        <v>1763</v>
      </c>
      <c r="C32" s="87" t="s">
        <v>830</v>
      </c>
    </row>
    <row r="33" spans="1:3" x14ac:dyDescent="0.25">
      <c r="A33" s="81" t="s">
        <v>281</v>
      </c>
      <c r="B33" s="80" t="s">
        <v>1757</v>
      </c>
      <c r="C33" s="87" t="s">
        <v>830</v>
      </c>
    </row>
    <row r="34" spans="1:3" x14ac:dyDescent="0.25">
      <c r="A34" s="81" t="s">
        <v>281</v>
      </c>
      <c r="B34" s="80" t="s">
        <v>1732</v>
      </c>
      <c r="C34" s="87" t="s">
        <v>830</v>
      </c>
    </row>
    <row r="35" spans="1:3" x14ac:dyDescent="0.25">
      <c r="A35" s="81" t="s">
        <v>281</v>
      </c>
      <c r="B35" s="80" t="s">
        <v>1753</v>
      </c>
      <c r="C35" s="87" t="s">
        <v>830</v>
      </c>
    </row>
    <row r="36" spans="1:3" x14ac:dyDescent="0.25">
      <c r="A36" s="81" t="s">
        <v>281</v>
      </c>
      <c r="B36" s="80" t="s">
        <v>1743</v>
      </c>
      <c r="C36" s="87" t="s">
        <v>830</v>
      </c>
    </row>
    <row r="37" spans="1:3" x14ac:dyDescent="0.25">
      <c r="A37" s="81" t="s">
        <v>281</v>
      </c>
      <c r="B37" s="80" t="s">
        <v>1728</v>
      </c>
      <c r="C37" s="87" t="s">
        <v>830</v>
      </c>
    </row>
    <row r="38" spans="1:3" x14ac:dyDescent="0.25">
      <c r="A38" s="81" t="s">
        <v>281</v>
      </c>
      <c r="B38" s="80" t="s">
        <v>1641</v>
      </c>
      <c r="C38" s="87" t="s">
        <v>830</v>
      </c>
    </row>
    <row r="39" spans="1:3" x14ac:dyDescent="0.25">
      <c r="A39" s="81" t="s">
        <v>281</v>
      </c>
      <c r="B39" s="80" t="s">
        <v>1646</v>
      </c>
      <c r="C39" s="87" t="s">
        <v>830</v>
      </c>
    </row>
    <row r="40" spans="1:3" x14ac:dyDescent="0.25">
      <c r="A40" s="81" t="s">
        <v>281</v>
      </c>
      <c r="B40" s="80" t="s">
        <v>1649</v>
      </c>
      <c r="C40" s="87" t="s">
        <v>830</v>
      </c>
    </row>
    <row r="41" spans="1:3" x14ac:dyDescent="0.25">
      <c r="A41" s="81" t="s">
        <v>281</v>
      </c>
      <c r="B41" s="80" t="s">
        <v>1663</v>
      </c>
      <c r="C41" s="87" t="s">
        <v>830</v>
      </c>
    </row>
    <row r="42" spans="1:3" x14ac:dyDescent="0.25">
      <c r="A42" s="81" t="s">
        <v>281</v>
      </c>
      <c r="B42" s="80" t="s">
        <v>268</v>
      </c>
      <c r="C42" s="87" t="s">
        <v>830</v>
      </c>
    </row>
    <row r="43" spans="1:3" x14ac:dyDescent="0.25">
      <c r="A43" s="81" t="s">
        <v>303</v>
      </c>
      <c r="B43" s="80" t="s">
        <v>1979</v>
      </c>
      <c r="C43" s="87" t="s">
        <v>867</v>
      </c>
    </row>
    <row r="44" spans="1:3" x14ac:dyDescent="0.25">
      <c r="A44" s="81" t="s">
        <v>303</v>
      </c>
      <c r="B44" s="80" t="s">
        <v>354</v>
      </c>
      <c r="C44" s="87" t="s">
        <v>867</v>
      </c>
    </row>
    <row r="45" spans="1:3" x14ac:dyDescent="0.25">
      <c r="A45" s="81" t="s">
        <v>303</v>
      </c>
      <c r="B45" s="80" t="s">
        <v>355</v>
      </c>
      <c r="C45" s="87" t="s">
        <v>867</v>
      </c>
    </row>
    <row r="46" spans="1:3" x14ac:dyDescent="0.25">
      <c r="A46" s="81" t="s">
        <v>303</v>
      </c>
      <c r="B46" s="80" t="s">
        <v>356</v>
      </c>
      <c r="C46" s="87" t="s">
        <v>867</v>
      </c>
    </row>
    <row r="47" spans="1:3" x14ac:dyDescent="0.25">
      <c r="A47" s="81" t="s">
        <v>303</v>
      </c>
      <c r="B47" s="80" t="s">
        <v>357</v>
      </c>
      <c r="C47" s="87" t="s">
        <v>867</v>
      </c>
    </row>
    <row r="48" spans="1:3" x14ac:dyDescent="0.25">
      <c r="A48" s="81" t="s">
        <v>303</v>
      </c>
      <c r="B48" s="80" t="s">
        <v>298</v>
      </c>
      <c r="C48" s="87" t="s">
        <v>867</v>
      </c>
    </row>
    <row r="49" spans="1:3" x14ac:dyDescent="0.25">
      <c r="A49" s="81" t="s">
        <v>303</v>
      </c>
      <c r="B49" s="80" t="s">
        <v>1867</v>
      </c>
      <c r="C49" s="87" t="s">
        <v>867</v>
      </c>
    </row>
    <row r="50" spans="1:3" x14ac:dyDescent="0.25">
      <c r="A50" s="81" t="s">
        <v>303</v>
      </c>
      <c r="B50" s="80" t="s">
        <v>1945</v>
      </c>
      <c r="C50" s="87" t="s">
        <v>867</v>
      </c>
    </row>
    <row r="51" spans="1:3" x14ac:dyDescent="0.25">
      <c r="A51" s="81" t="s">
        <v>303</v>
      </c>
      <c r="B51" s="80" t="s">
        <v>1858</v>
      </c>
      <c r="C51" s="87" t="s">
        <v>867</v>
      </c>
    </row>
    <row r="52" spans="1:3" x14ac:dyDescent="0.25">
      <c r="A52" s="81" t="s">
        <v>303</v>
      </c>
      <c r="B52" s="80" t="s">
        <v>301</v>
      </c>
      <c r="C52" s="87" t="s">
        <v>867</v>
      </c>
    </row>
    <row r="53" spans="1:3" x14ac:dyDescent="0.25">
      <c r="A53" s="81" t="s">
        <v>268</v>
      </c>
      <c r="B53" s="80" t="s">
        <v>1658</v>
      </c>
      <c r="C53" s="87" t="s">
        <v>864</v>
      </c>
    </row>
    <row r="54" spans="1:3" x14ac:dyDescent="0.25">
      <c r="A54" s="81" t="s">
        <v>268</v>
      </c>
      <c r="B54" s="80" t="s">
        <v>1674</v>
      </c>
      <c r="C54" s="87" t="s">
        <v>864</v>
      </c>
    </row>
    <row r="55" spans="1:3" x14ac:dyDescent="0.25">
      <c r="A55" s="81" t="s">
        <v>268</v>
      </c>
      <c r="B55" s="80" t="s">
        <v>1809</v>
      </c>
      <c r="C55" s="87" t="s">
        <v>864</v>
      </c>
    </row>
    <row r="56" spans="1:3" x14ac:dyDescent="0.25">
      <c r="A56" s="81" t="s">
        <v>268</v>
      </c>
      <c r="B56" s="80">
        <v>15</v>
      </c>
      <c r="C56" s="87" t="s">
        <v>864</v>
      </c>
    </row>
    <row r="57" spans="1:3" x14ac:dyDescent="0.25">
      <c r="A57" s="81" t="s">
        <v>268</v>
      </c>
      <c r="B57" s="80" t="s">
        <v>1689</v>
      </c>
      <c r="C57" s="87" t="s">
        <v>864</v>
      </c>
    </row>
    <row r="58" spans="1:3" x14ac:dyDescent="0.25">
      <c r="A58" s="81" t="s">
        <v>268</v>
      </c>
      <c r="B58" s="80" t="s">
        <v>1980</v>
      </c>
      <c r="C58" s="87" t="s">
        <v>864</v>
      </c>
    </row>
    <row r="59" spans="1:3" x14ac:dyDescent="0.25">
      <c r="A59" s="81" t="s">
        <v>268</v>
      </c>
      <c r="B59" s="80" t="s">
        <v>1981</v>
      </c>
      <c r="C59" s="87" t="s">
        <v>864</v>
      </c>
    </row>
    <row r="60" spans="1:3" x14ac:dyDescent="0.25">
      <c r="A60" s="81" t="s">
        <v>268</v>
      </c>
      <c r="B60" s="80" t="s">
        <v>1750</v>
      </c>
      <c r="C60" s="87" t="s">
        <v>864</v>
      </c>
    </row>
    <row r="61" spans="1:3" x14ac:dyDescent="0.25">
      <c r="A61" s="81" t="s">
        <v>268</v>
      </c>
      <c r="B61" s="80" t="s">
        <v>1982</v>
      </c>
      <c r="C61" s="87" t="s">
        <v>864</v>
      </c>
    </row>
    <row r="62" spans="1:3" x14ac:dyDescent="0.25">
      <c r="A62" s="81" t="s">
        <v>268</v>
      </c>
      <c r="B62" s="80" t="s">
        <v>494</v>
      </c>
      <c r="C62" s="87" t="s">
        <v>864</v>
      </c>
    </row>
    <row r="63" spans="1:3" x14ac:dyDescent="0.25">
      <c r="A63" s="81" t="s">
        <v>268</v>
      </c>
      <c r="B63" s="80" t="s">
        <v>1646</v>
      </c>
      <c r="C63" s="87" t="s">
        <v>864</v>
      </c>
    </row>
    <row r="64" spans="1:3" x14ac:dyDescent="0.25">
      <c r="A64" s="81" t="s">
        <v>268</v>
      </c>
      <c r="B64" s="80" t="s">
        <v>1641</v>
      </c>
      <c r="C64" s="87" t="s">
        <v>864</v>
      </c>
    </row>
    <row r="65" spans="1:3" x14ac:dyDescent="0.25">
      <c r="A65" s="81" t="s">
        <v>268</v>
      </c>
      <c r="B65" s="80" t="s">
        <v>1983</v>
      </c>
      <c r="C65" s="87" t="s">
        <v>864</v>
      </c>
    </row>
    <row r="66" spans="1:3" x14ac:dyDescent="0.25">
      <c r="A66" s="81" t="s">
        <v>268</v>
      </c>
      <c r="B66" s="80" t="s">
        <v>1984</v>
      </c>
      <c r="C66" s="87" t="s">
        <v>864</v>
      </c>
    </row>
    <row r="67" spans="1:3" x14ac:dyDescent="0.25">
      <c r="A67" s="81" t="s">
        <v>268</v>
      </c>
      <c r="B67" s="80" t="s">
        <v>1985</v>
      </c>
      <c r="C67" s="87" t="s">
        <v>864</v>
      </c>
    </row>
    <row r="68" spans="1:3" x14ac:dyDescent="0.25">
      <c r="A68" s="81" t="s">
        <v>268</v>
      </c>
      <c r="B68" s="80" t="s">
        <v>1640</v>
      </c>
      <c r="C68" s="87" t="s">
        <v>864</v>
      </c>
    </row>
    <row r="69" spans="1:3" x14ac:dyDescent="0.25">
      <c r="A69" s="81" t="s">
        <v>268</v>
      </c>
      <c r="B69" s="80" t="s">
        <v>1841</v>
      </c>
      <c r="C69" s="87" t="s">
        <v>864</v>
      </c>
    </row>
    <row r="70" spans="1:3" x14ac:dyDescent="0.25">
      <c r="A70" s="81" t="s">
        <v>268</v>
      </c>
      <c r="B70" s="80" t="s">
        <v>268</v>
      </c>
      <c r="C70" s="87" t="s">
        <v>864</v>
      </c>
    </row>
    <row r="71" spans="1:3" x14ac:dyDescent="0.25">
      <c r="A71" s="81" t="s">
        <v>268</v>
      </c>
      <c r="B71" s="80" t="s">
        <v>1986</v>
      </c>
      <c r="C71" s="87" t="s">
        <v>864</v>
      </c>
    </row>
    <row r="72" spans="1:3" x14ac:dyDescent="0.25">
      <c r="A72" s="81" t="s">
        <v>297</v>
      </c>
      <c r="B72" s="80" t="s">
        <v>1741</v>
      </c>
      <c r="C72" s="87" t="s">
        <v>852</v>
      </c>
    </row>
    <row r="73" spans="1:3" x14ac:dyDescent="0.25">
      <c r="A73" s="81" t="s">
        <v>297</v>
      </c>
      <c r="B73" s="80" t="s">
        <v>1701</v>
      </c>
      <c r="C73" s="87" t="s">
        <v>852</v>
      </c>
    </row>
    <row r="74" spans="1:3" x14ac:dyDescent="0.25">
      <c r="A74" s="81" t="s">
        <v>297</v>
      </c>
      <c r="B74" s="80">
        <v>2025</v>
      </c>
      <c r="C74" s="87" t="s">
        <v>852</v>
      </c>
    </row>
    <row r="75" spans="1:3" x14ac:dyDescent="0.25">
      <c r="A75" s="81" t="s">
        <v>297</v>
      </c>
      <c r="B75" s="80" t="s">
        <v>1711</v>
      </c>
      <c r="C75" s="87" t="s">
        <v>852</v>
      </c>
    </row>
    <row r="76" spans="1:3" x14ac:dyDescent="0.25">
      <c r="A76" s="81" t="s">
        <v>297</v>
      </c>
      <c r="B76" s="80" t="s">
        <v>1640</v>
      </c>
      <c r="C76" s="87" t="s">
        <v>852</v>
      </c>
    </row>
    <row r="77" spans="1:3" x14ac:dyDescent="0.25">
      <c r="A77" s="81" t="s">
        <v>297</v>
      </c>
      <c r="B77" s="80" t="s">
        <v>1710</v>
      </c>
      <c r="C77" s="87" t="s">
        <v>852</v>
      </c>
    </row>
    <row r="78" spans="1:3" x14ac:dyDescent="0.25">
      <c r="A78" s="81" t="s">
        <v>297</v>
      </c>
      <c r="B78" s="80" t="s">
        <v>1715</v>
      </c>
      <c r="C78" s="87" t="s">
        <v>852</v>
      </c>
    </row>
    <row r="79" spans="1:3" x14ac:dyDescent="0.25">
      <c r="A79" s="81" t="s">
        <v>297</v>
      </c>
      <c r="B79" s="80" t="s">
        <v>1655</v>
      </c>
      <c r="C79" s="87" t="s">
        <v>852</v>
      </c>
    </row>
    <row r="80" spans="1:3" x14ac:dyDescent="0.25">
      <c r="A80" s="81" t="s">
        <v>297</v>
      </c>
      <c r="B80" s="80" t="s">
        <v>1714</v>
      </c>
      <c r="C80" s="87" t="s">
        <v>852</v>
      </c>
    </row>
    <row r="81" spans="1:3" x14ac:dyDescent="0.25">
      <c r="A81" s="81" t="s">
        <v>297</v>
      </c>
      <c r="B81" s="80" t="s">
        <v>1721</v>
      </c>
      <c r="C81" s="87" t="s">
        <v>852</v>
      </c>
    </row>
    <row r="82" spans="1:3" x14ac:dyDescent="0.25">
      <c r="A82" s="81" t="s">
        <v>297</v>
      </c>
      <c r="B82" s="80">
        <v>2024</v>
      </c>
      <c r="C82" s="87" t="s">
        <v>852</v>
      </c>
    </row>
    <row r="83" spans="1:3" x14ac:dyDescent="0.25">
      <c r="A83" s="81" t="s">
        <v>297</v>
      </c>
      <c r="B83" s="80" t="s">
        <v>1698</v>
      </c>
      <c r="C83" s="87" t="s">
        <v>852</v>
      </c>
    </row>
    <row r="84" spans="1:3" x14ac:dyDescent="0.25">
      <c r="A84" s="81" t="s">
        <v>297</v>
      </c>
      <c r="B84" s="80" t="s">
        <v>1647</v>
      </c>
      <c r="C84" s="87" t="s">
        <v>852</v>
      </c>
    </row>
    <row r="85" spans="1:3" x14ac:dyDescent="0.25">
      <c r="A85" s="81" t="s">
        <v>297</v>
      </c>
      <c r="B85" s="80" t="s">
        <v>306</v>
      </c>
      <c r="C85" s="87" t="s">
        <v>852</v>
      </c>
    </row>
    <row r="86" spans="1:3" x14ac:dyDescent="0.25">
      <c r="A86" s="81" t="s">
        <v>275</v>
      </c>
      <c r="B86" s="80" t="s">
        <v>1693</v>
      </c>
      <c r="C86" s="87" t="s">
        <v>804</v>
      </c>
    </row>
    <row r="87" spans="1:3" x14ac:dyDescent="0.25">
      <c r="A87" s="81" t="s">
        <v>275</v>
      </c>
      <c r="B87" s="80" t="s">
        <v>1716</v>
      </c>
      <c r="C87" s="87" t="s">
        <v>804</v>
      </c>
    </row>
    <row r="88" spans="1:3" x14ac:dyDescent="0.25">
      <c r="A88" s="81" t="s">
        <v>275</v>
      </c>
      <c r="B88" s="80" t="s">
        <v>1668</v>
      </c>
      <c r="C88" s="87" t="s">
        <v>804</v>
      </c>
    </row>
    <row r="89" spans="1:3" x14ac:dyDescent="0.25">
      <c r="A89" s="81" t="s">
        <v>275</v>
      </c>
      <c r="B89" s="80" t="s">
        <v>1672</v>
      </c>
      <c r="C89" s="87" t="s">
        <v>804</v>
      </c>
    </row>
    <row r="90" spans="1:3" x14ac:dyDescent="0.25">
      <c r="A90" s="81" t="s">
        <v>275</v>
      </c>
      <c r="B90" s="80" t="s">
        <v>275</v>
      </c>
      <c r="C90" s="87" t="s">
        <v>804</v>
      </c>
    </row>
    <row r="91" spans="1:3" x14ac:dyDescent="0.25">
      <c r="A91" s="81" t="s">
        <v>275</v>
      </c>
      <c r="B91" s="80" t="s">
        <v>1650</v>
      </c>
      <c r="C91" s="87" t="s">
        <v>804</v>
      </c>
    </row>
    <row r="92" spans="1:3" x14ac:dyDescent="0.25">
      <c r="A92" s="81" t="s">
        <v>275</v>
      </c>
      <c r="B92" s="80" t="s">
        <v>1645</v>
      </c>
      <c r="C92" s="87" t="s">
        <v>804</v>
      </c>
    </row>
    <row r="93" spans="1:3" x14ac:dyDescent="0.25">
      <c r="A93" s="81" t="s">
        <v>275</v>
      </c>
      <c r="B93" s="80" t="s">
        <v>1684</v>
      </c>
      <c r="C93" s="87" t="s">
        <v>804</v>
      </c>
    </row>
    <row r="94" spans="1:3" x14ac:dyDescent="0.25">
      <c r="A94" s="81" t="s">
        <v>275</v>
      </c>
      <c r="B94" s="80" t="s">
        <v>1656</v>
      </c>
      <c r="C94" s="87" t="s">
        <v>804</v>
      </c>
    </row>
    <row r="95" spans="1:3" x14ac:dyDescent="0.25">
      <c r="A95" s="81" t="s">
        <v>275</v>
      </c>
      <c r="B95" s="80" t="s">
        <v>1720</v>
      </c>
      <c r="C95" s="87" t="s">
        <v>804</v>
      </c>
    </row>
    <row r="96" spans="1:3" x14ac:dyDescent="0.25">
      <c r="A96" s="81" t="s">
        <v>275</v>
      </c>
      <c r="B96" s="80" t="s">
        <v>1666</v>
      </c>
      <c r="C96" s="87" t="s">
        <v>804</v>
      </c>
    </row>
    <row r="97" spans="1:3" x14ac:dyDescent="0.25">
      <c r="A97" s="81" t="s">
        <v>275</v>
      </c>
      <c r="B97" s="80" t="s">
        <v>249</v>
      </c>
      <c r="C97" s="87" t="s">
        <v>804</v>
      </c>
    </row>
    <row r="98" spans="1:3" x14ac:dyDescent="0.25">
      <c r="A98" s="81" t="s">
        <v>276</v>
      </c>
      <c r="B98" s="80" t="s">
        <v>1987</v>
      </c>
      <c r="C98" s="87" t="s">
        <v>814</v>
      </c>
    </row>
    <row r="99" spans="1:3" x14ac:dyDescent="0.25">
      <c r="A99" s="81" t="s">
        <v>276</v>
      </c>
      <c r="B99" s="80" t="s">
        <v>1866</v>
      </c>
      <c r="C99" s="87" t="s">
        <v>814</v>
      </c>
    </row>
    <row r="100" spans="1:3" x14ac:dyDescent="0.25">
      <c r="A100" s="81" t="s">
        <v>276</v>
      </c>
      <c r="B100" s="80" t="s">
        <v>1881</v>
      </c>
      <c r="C100" s="87" t="s">
        <v>814</v>
      </c>
    </row>
    <row r="101" spans="1:3" x14ac:dyDescent="0.25">
      <c r="A101" s="81" t="s">
        <v>276</v>
      </c>
      <c r="B101" s="80" t="s">
        <v>1813</v>
      </c>
      <c r="C101" s="87" t="s">
        <v>814</v>
      </c>
    </row>
    <row r="102" spans="1:3" x14ac:dyDescent="0.25">
      <c r="A102" s="81" t="s">
        <v>276</v>
      </c>
      <c r="B102" s="80" t="s">
        <v>1927</v>
      </c>
      <c r="C102" s="87" t="s">
        <v>814</v>
      </c>
    </row>
    <row r="103" spans="1:3" x14ac:dyDescent="0.25">
      <c r="A103" s="81" t="s">
        <v>276</v>
      </c>
      <c r="B103" s="80" t="s">
        <v>1818</v>
      </c>
      <c r="C103" s="87" t="s">
        <v>814</v>
      </c>
    </row>
    <row r="104" spans="1:3" x14ac:dyDescent="0.25">
      <c r="A104" s="81" t="s">
        <v>276</v>
      </c>
      <c r="B104" s="80" t="s">
        <v>1901</v>
      </c>
      <c r="C104" s="87" t="s">
        <v>814</v>
      </c>
    </row>
    <row r="105" spans="1:3" x14ac:dyDescent="0.25">
      <c r="A105" s="81" t="s">
        <v>276</v>
      </c>
      <c r="B105" s="80" t="s">
        <v>1843</v>
      </c>
      <c r="C105" s="87" t="s">
        <v>814</v>
      </c>
    </row>
    <row r="106" spans="1:3" x14ac:dyDescent="0.25">
      <c r="A106" s="81" t="s">
        <v>276</v>
      </c>
      <c r="B106" s="80" t="s">
        <v>1939</v>
      </c>
      <c r="C106" s="87" t="s">
        <v>814</v>
      </c>
    </row>
    <row r="107" spans="1:3" x14ac:dyDescent="0.25">
      <c r="A107" s="81" t="s">
        <v>276</v>
      </c>
      <c r="B107" s="80" t="s">
        <v>1834</v>
      </c>
      <c r="C107" s="87" t="s">
        <v>814</v>
      </c>
    </row>
    <row r="108" spans="1:3" x14ac:dyDescent="0.25">
      <c r="A108" s="81" t="s">
        <v>276</v>
      </c>
      <c r="B108" s="80" t="s">
        <v>1942</v>
      </c>
      <c r="C108" s="87" t="s">
        <v>814</v>
      </c>
    </row>
    <row r="109" spans="1:3" x14ac:dyDescent="0.25">
      <c r="A109" s="81" t="s">
        <v>276</v>
      </c>
      <c r="B109" s="80" t="s">
        <v>307</v>
      </c>
      <c r="C109" s="87" t="s">
        <v>814</v>
      </c>
    </row>
    <row r="110" spans="1:3" x14ac:dyDescent="0.25">
      <c r="A110" s="81" t="s">
        <v>268</v>
      </c>
      <c r="B110" s="80" t="s">
        <v>281</v>
      </c>
      <c r="C110" s="87" t="s">
        <v>787</v>
      </c>
    </row>
    <row r="111" spans="1:3" x14ac:dyDescent="0.25">
      <c r="A111" s="81" t="s">
        <v>268</v>
      </c>
      <c r="B111" s="80" t="s">
        <v>248</v>
      </c>
      <c r="C111" s="87" t="s">
        <v>787</v>
      </c>
    </row>
    <row r="112" spans="1:3" x14ac:dyDescent="0.25">
      <c r="A112" s="81" t="s">
        <v>268</v>
      </c>
      <c r="B112" s="80" t="s">
        <v>323</v>
      </c>
      <c r="C112" s="87" t="s">
        <v>787</v>
      </c>
    </row>
    <row r="113" spans="1:3" x14ac:dyDescent="0.25">
      <c r="A113" s="81" t="s">
        <v>268</v>
      </c>
      <c r="B113" s="80" t="s">
        <v>275</v>
      </c>
      <c r="C113" s="87" t="s">
        <v>787</v>
      </c>
    </row>
    <row r="114" spans="1:3" x14ac:dyDescent="0.25">
      <c r="A114" s="81" t="s">
        <v>268</v>
      </c>
      <c r="B114" s="80" t="s">
        <v>249</v>
      </c>
      <c r="C114" s="87" t="s">
        <v>787</v>
      </c>
    </row>
    <row r="115" spans="1:3" x14ac:dyDescent="0.25">
      <c r="A115" s="81" t="s">
        <v>271</v>
      </c>
      <c r="B115" s="80" t="s">
        <v>1733</v>
      </c>
      <c r="C115" s="87" t="s">
        <v>793</v>
      </c>
    </row>
    <row r="116" spans="1:3" x14ac:dyDescent="0.25">
      <c r="A116" s="81" t="s">
        <v>271</v>
      </c>
      <c r="B116" s="80" t="s">
        <v>1988</v>
      </c>
      <c r="C116" s="87" t="s">
        <v>793</v>
      </c>
    </row>
    <row r="117" spans="1:3" x14ac:dyDescent="0.25">
      <c r="A117" s="81" t="s">
        <v>271</v>
      </c>
      <c r="B117" s="80" t="s">
        <v>1989</v>
      </c>
      <c r="C117" s="87" t="s">
        <v>793</v>
      </c>
    </row>
    <row r="118" spans="1:3" x14ac:dyDescent="0.25">
      <c r="A118" s="81" t="s">
        <v>271</v>
      </c>
      <c r="B118" s="80" t="s">
        <v>1702</v>
      </c>
      <c r="C118" s="87" t="s">
        <v>793</v>
      </c>
    </row>
    <row r="119" spans="1:3" x14ac:dyDescent="0.25">
      <c r="A119" s="81" t="s">
        <v>271</v>
      </c>
      <c r="B119" s="80" t="s">
        <v>275</v>
      </c>
      <c r="C119" s="87" t="s">
        <v>793</v>
      </c>
    </row>
    <row r="120" spans="1:3" x14ac:dyDescent="0.25">
      <c r="A120" s="81" t="s">
        <v>271</v>
      </c>
      <c r="B120" s="80" t="s">
        <v>1650</v>
      </c>
      <c r="C120" s="87" t="s">
        <v>793</v>
      </c>
    </row>
    <row r="121" spans="1:3" x14ac:dyDescent="0.25">
      <c r="A121" s="81" t="s">
        <v>271</v>
      </c>
      <c r="B121" s="80" t="s">
        <v>485</v>
      </c>
      <c r="C121" s="87" t="s">
        <v>793</v>
      </c>
    </row>
    <row r="122" spans="1:3" x14ac:dyDescent="0.25">
      <c r="A122" s="81" t="s">
        <v>271</v>
      </c>
      <c r="B122" s="80" t="s">
        <v>1656</v>
      </c>
      <c r="C122" s="87" t="s">
        <v>793</v>
      </c>
    </row>
    <row r="123" spans="1:3" x14ac:dyDescent="0.25">
      <c r="A123" s="81" t="s">
        <v>271</v>
      </c>
      <c r="B123" s="80" t="s">
        <v>249</v>
      </c>
      <c r="C123" s="87" t="s">
        <v>793</v>
      </c>
    </row>
    <row r="124" spans="1:3" x14ac:dyDescent="0.25">
      <c r="A124" s="81" t="s">
        <v>279</v>
      </c>
      <c r="B124" s="80" t="s">
        <v>1772</v>
      </c>
      <c r="C124" s="87" t="s">
        <v>817</v>
      </c>
    </row>
    <row r="125" spans="1:3" x14ac:dyDescent="0.25">
      <c r="A125" s="81" t="s">
        <v>279</v>
      </c>
      <c r="B125" s="80">
        <v>27</v>
      </c>
      <c r="C125" s="87" t="s">
        <v>817</v>
      </c>
    </row>
    <row r="126" spans="1:3" x14ac:dyDescent="0.25">
      <c r="A126" s="81" t="s">
        <v>279</v>
      </c>
      <c r="B126" s="80">
        <v>11</v>
      </c>
      <c r="C126" s="87" t="s">
        <v>817</v>
      </c>
    </row>
    <row r="127" spans="1:3" x14ac:dyDescent="0.25">
      <c r="A127" s="81" t="s">
        <v>279</v>
      </c>
      <c r="B127" s="80" t="s">
        <v>490</v>
      </c>
      <c r="C127" s="87" t="s">
        <v>817</v>
      </c>
    </row>
    <row r="128" spans="1:3" x14ac:dyDescent="0.25">
      <c r="A128" s="81" t="s">
        <v>279</v>
      </c>
      <c r="B128" s="80" t="s">
        <v>1709</v>
      </c>
      <c r="C128" s="87" t="s">
        <v>817</v>
      </c>
    </row>
    <row r="129" spans="1:3" x14ac:dyDescent="0.25">
      <c r="A129" s="81" t="s">
        <v>279</v>
      </c>
      <c r="B129" s="80" t="s">
        <v>1651</v>
      </c>
      <c r="C129" s="87" t="s">
        <v>817</v>
      </c>
    </row>
    <row r="130" spans="1:3" x14ac:dyDescent="0.25">
      <c r="A130" s="81" t="s">
        <v>279</v>
      </c>
      <c r="B130" s="80">
        <v>2023</v>
      </c>
      <c r="C130" s="87" t="s">
        <v>817</v>
      </c>
    </row>
    <row r="131" spans="1:3" x14ac:dyDescent="0.25">
      <c r="A131" s="81" t="s">
        <v>279</v>
      </c>
      <c r="B131" s="80" t="s">
        <v>1712</v>
      </c>
      <c r="C131" s="87" t="s">
        <v>817</v>
      </c>
    </row>
    <row r="132" spans="1:3" x14ac:dyDescent="0.25">
      <c r="A132" s="81" t="s">
        <v>279</v>
      </c>
      <c r="B132" s="80" t="s">
        <v>280</v>
      </c>
      <c r="C132" s="87" t="s">
        <v>817</v>
      </c>
    </row>
    <row r="133" spans="1:3" x14ac:dyDescent="0.25">
      <c r="A133" s="81" t="s">
        <v>279</v>
      </c>
      <c r="B133" s="80" t="s">
        <v>1647</v>
      </c>
      <c r="C133" s="87" t="s">
        <v>817</v>
      </c>
    </row>
    <row r="134" spans="1:3" x14ac:dyDescent="0.25">
      <c r="A134" s="81" t="s">
        <v>279</v>
      </c>
      <c r="B134" s="80" t="s">
        <v>1765</v>
      </c>
      <c r="C134" s="87" t="s">
        <v>817</v>
      </c>
    </row>
    <row r="135" spans="1:3" x14ac:dyDescent="0.25">
      <c r="A135" s="81" t="s">
        <v>268</v>
      </c>
      <c r="B135" s="80" t="s">
        <v>1693</v>
      </c>
      <c r="C135" s="87" t="s">
        <v>809</v>
      </c>
    </row>
    <row r="136" spans="1:3" x14ac:dyDescent="0.25">
      <c r="A136" s="81" t="s">
        <v>268</v>
      </c>
      <c r="B136" s="80" t="s">
        <v>1716</v>
      </c>
      <c r="C136" s="87" t="s">
        <v>809</v>
      </c>
    </row>
    <row r="137" spans="1:3" x14ac:dyDescent="0.25">
      <c r="A137" s="81" t="s">
        <v>268</v>
      </c>
      <c r="B137" s="80" t="s">
        <v>1668</v>
      </c>
      <c r="C137" s="87" t="s">
        <v>809</v>
      </c>
    </row>
    <row r="138" spans="1:3" x14ac:dyDescent="0.25">
      <c r="A138" s="81" t="s">
        <v>268</v>
      </c>
      <c r="B138" s="80" t="s">
        <v>1672</v>
      </c>
      <c r="C138" s="87" t="s">
        <v>809</v>
      </c>
    </row>
    <row r="139" spans="1:3" x14ac:dyDescent="0.25">
      <c r="A139" s="81" t="s">
        <v>268</v>
      </c>
      <c r="B139" s="80" t="s">
        <v>275</v>
      </c>
      <c r="C139" s="87" t="s">
        <v>809</v>
      </c>
    </row>
    <row r="140" spans="1:3" x14ac:dyDescent="0.25">
      <c r="A140" s="81" t="s">
        <v>268</v>
      </c>
      <c r="B140" s="80" t="s">
        <v>1650</v>
      </c>
      <c r="C140" s="87" t="s">
        <v>809</v>
      </c>
    </row>
    <row r="141" spans="1:3" x14ac:dyDescent="0.25">
      <c r="A141" s="81" t="s">
        <v>268</v>
      </c>
      <c r="B141" s="80" t="s">
        <v>1645</v>
      </c>
      <c r="C141" s="87" t="s">
        <v>809</v>
      </c>
    </row>
    <row r="142" spans="1:3" x14ac:dyDescent="0.25">
      <c r="A142" s="81" t="s">
        <v>268</v>
      </c>
      <c r="B142" s="80" t="s">
        <v>1684</v>
      </c>
      <c r="C142" s="87" t="s">
        <v>809</v>
      </c>
    </row>
    <row r="143" spans="1:3" x14ac:dyDescent="0.25">
      <c r="A143" s="81" t="s">
        <v>268</v>
      </c>
      <c r="B143" s="80" t="s">
        <v>1656</v>
      </c>
      <c r="C143" s="87" t="s">
        <v>809</v>
      </c>
    </row>
    <row r="144" spans="1:3" x14ac:dyDescent="0.25">
      <c r="A144" s="81" t="s">
        <v>268</v>
      </c>
      <c r="B144" s="80" t="s">
        <v>1720</v>
      </c>
      <c r="C144" s="87" t="s">
        <v>809</v>
      </c>
    </row>
    <row r="145" spans="1:3" x14ac:dyDescent="0.25">
      <c r="A145" s="81" t="s">
        <v>268</v>
      </c>
      <c r="B145" s="80" t="s">
        <v>1666</v>
      </c>
      <c r="C145" s="87" t="s">
        <v>809</v>
      </c>
    </row>
    <row r="146" spans="1:3" x14ac:dyDescent="0.25">
      <c r="A146" s="81" t="s">
        <v>268</v>
      </c>
      <c r="B146" s="80" t="s">
        <v>249</v>
      </c>
      <c r="C146" s="87" t="s">
        <v>809</v>
      </c>
    </row>
    <row r="147" spans="1:3" x14ac:dyDescent="0.25">
      <c r="A147" s="81" t="s">
        <v>281</v>
      </c>
      <c r="B147" s="80" t="s">
        <v>1990</v>
      </c>
      <c r="C147" s="87" t="s">
        <v>831</v>
      </c>
    </row>
    <row r="148" spans="1:3" x14ac:dyDescent="0.25">
      <c r="A148" s="81" t="s">
        <v>281</v>
      </c>
      <c r="B148" s="80" t="s">
        <v>1685</v>
      </c>
      <c r="C148" s="87" t="s">
        <v>831</v>
      </c>
    </row>
    <row r="149" spans="1:3" x14ac:dyDescent="0.25">
      <c r="A149" s="81" t="s">
        <v>281</v>
      </c>
      <c r="B149" s="80" t="s">
        <v>1667</v>
      </c>
      <c r="C149" s="87" t="s">
        <v>831</v>
      </c>
    </row>
    <row r="150" spans="1:3" x14ac:dyDescent="0.25">
      <c r="A150" s="81" t="s">
        <v>281</v>
      </c>
      <c r="B150" s="80" t="s">
        <v>1654</v>
      </c>
      <c r="C150" s="87" t="s">
        <v>831</v>
      </c>
    </row>
    <row r="151" spans="1:3" x14ac:dyDescent="0.25">
      <c r="A151" s="81" t="s">
        <v>281</v>
      </c>
      <c r="B151" s="80" t="s">
        <v>1645</v>
      </c>
      <c r="C151" s="87" t="s">
        <v>831</v>
      </c>
    </row>
    <row r="152" spans="1:3" x14ac:dyDescent="0.25">
      <c r="A152" s="81" t="s">
        <v>281</v>
      </c>
      <c r="B152" s="80" t="s">
        <v>1703</v>
      </c>
      <c r="C152" s="87" t="s">
        <v>831</v>
      </c>
    </row>
    <row r="153" spans="1:3" x14ac:dyDescent="0.25">
      <c r="A153" s="81" t="s">
        <v>281</v>
      </c>
      <c r="B153" s="80" t="s">
        <v>1724</v>
      </c>
      <c r="C153" s="87" t="s">
        <v>831</v>
      </c>
    </row>
    <row r="154" spans="1:3" x14ac:dyDescent="0.25">
      <c r="A154" s="81" t="s">
        <v>281</v>
      </c>
      <c r="B154" s="80" t="s">
        <v>470</v>
      </c>
      <c r="C154" s="87" t="s">
        <v>831</v>
      </c>
    </row>
    <row r="155" spans="1:3" x14ac:dyDescent="0.25">
      <c r="A155" s="81" t="s">
        <v>281</v>
      </c>
      <c r="B155" s="80" t="s">
        <v>1690</v>
      </c>
      <c r="C155" s="87" t="s">
        <v>831</v>
      </c>
    </row>
    <row r="156" spans="1:3" x14ac:dyDescent="0.25">
      <c r="A156" s="81" t="s">
        <v>281</v>
      </c>
      <c r="B156" s="80" t="s">
        <v>1704</v>
      </c>
      <c r="C156" s="87" t="s">
        <v>831</v>
      </c>
    </row>
    <row r="157" spans="1:3" x14ac:dyDescent="0.25">
      <c r="A157" s="81" t="s">
        <v>281</v>
      </c>
      <c r="B157" s="80" t="s">
        <v>1682</v>
      </c>
      <c r="C157" s="87" t="s">
        <v>831</v>
      </c>
    </row>
    <row r="158" spans="1:3" x14ac:dyDescent="0.25">
      <c r="A158" s="81" t="s">
        <v>281</v>
      </c>
      <c r="B158" s="80" t="s">
        <v>249</v>
      </c>
      <c r="C158" s="87" t="s">
        <v>831</v>
      </c>
    </row>
    <row r="159" spans="1:3" x14ac:dyDescent="0.25">
      <c r="A159" s="81" t="s">
        <v>268</v>
      </c>
      <c r="B159" s="80" t="s">
        <v>1991</v>
      </c>
      <c r="C159" s="87" t="s">
        <v>788</v>
      </c>
    </row>
    <row r="160" spans="1:3" x14ac:dyDescent="0.25">
      <c r="A160" s="81" t="s">
        <v>268</v>
      </c>
      <c r="B160" s="80" t="s">
        <v>1992</v>
      </c>
      <c r="C160" s="87" t="s">
        <v>788</v>
      </c>
    </row>
    <row r="161" spans="1:3" x14ac:dyDescent="0.25">
      <c r="A161" s="81" t="s">
        <v>268</v>
      </c>
      <c r="B161" s="80" t="s">
        <v>1993</v>
      </c>
      <c r="C161" s="87" t="s">
        <v>788</v>
      </c>
    </row>
    <row r="162" spans="1:3" x14ac:dyDescent="0.25">
      <c r="A162" s="81" t="s">
        <v>268</v>
      </c>
      <c r="B162" s="80" t="s">
        <v>1846</v>
      </c>
      <c r="C162" s="87" t="s">
        <v>788</v>
      </c>
    </row>
    <row r="163" spans="1:3" x14ac:dyDescent="0.25">
      <c r="A163" s="81" t="s">
        <v>268</v>
      </c>
      <c r="B163" s="80" t="s">
        <v>1994</v>
      </c>
      <c r="C163" s="87" t="s">
        <v>788</v>
      </c>
    </row>
    <row r="164" spans="1:3" x14ac:dyDescent="0.25">
      <c r="A164" s="81" t="s">
        <v>268</v>
      </c>
      <c r="B164" s="80" t="s">
        <v>1642</v>
      </c>
      <c r="C164" s="87" t="s">
        <v>788</v>
      </c>
    </row>
    <row r="165" spans="1:3" x14ac:dyDescent="0.25">
      <c r="A165" s="81" t="s">
        <v>268</v>
      </c>
      <c r="B165" s="80" t="s">
        <v>1643</v>
      </c>
      <c r="C165" s="87" t="s">
        <v>788</v>
      </c>
    </row>
    <row r="166" spans="1:3" x14ac:dyDescent="0.25">
      <c r="A166" s="81" t="s">
        <v>268</v>
      </c>
      <c r="B166" s="80" t="s">
        <v>1680</v>
      </c>
      <c r="C166" s="87" t="s">
        <v>788</v>
      </c>
    </row>
    <row r="167" spans="1:3" x14ac:dyDescent="0.25">
      <c r="A167" s="81" t="s">
        <v>268</v>
      </c>
      <c r="B167" s="80" t="s">
        <v>324</v>
      </c>
      <c r="C167" s="87" t="s">
        <v>788</v>
      </c>
    </row>
    <row r="168" spans="1:3" x14ac:dyDescent="0.25">
      <c r="A168" s="81" t="s">
        <v>268</v>
      </c>
      <c r="B168" s="80" t="s">
        <v>1995</v>
      </c>
      <c r="C168" s="87" t="s">
        <v>788</v>
      </c>
    </row>
    <row r="169" spans="1:3" x14ac:dyDescent="0.25">
      <c r="A169" s="81" t="s">
        <v>268</v>
      </c>
      <c r="B169" s="80" t="s">
        <v>1996</v>
      </c>
      <c r="C169" s="87" t="s">
        <v>788</v>
      </c>
    </row>
    <row r="170" spans="1:3" x14ac:dyDescent="0.25">
      <c r="A170" s="81" t="s">
        <v>268</v>
      </c>
      <c r="B170" s="80" t="s">
        <v>1661</v>
      </c>
      <c r="C170" s="87" t="s">
        <v>788</v>
      </c>
    </row>
    <row r="171" spans="1:3" x14ac:dyDescent="0.25">
      <c r="A171" s="81" t="s">
        <v>268</v>
      </c>
      <c r="B171" s="80" t="s">
        <v>1676</v>
      </c>
      <c r="C171" s="87" t="s">
        <v>788</v>
      </c>
    </row>
    <row r="172" spans="1:3" x14ac:dyDescent="0.25">
      <c r="A172" s="81" t="s">
        <v>268</v>
      </c>
      <c r="B172" s="80" t="s">
        <v>1718</v>
      </c>
      <c r="C172" s="87" t="s">
        <v>788</v>
      </c>
    </row>
    <row r="173" spans="1:3" x14ac:dyDescent="0.25">
      <c r="A173" s="81" t="s">
        <v>274</v>
      </c>
      <c r="B173" s="80">
        <v>2024</v>
      </c>
      <c r="C173" s="87" t="s">
        <v>797</v>
      </c>
    </row>
    <row r="174" spans="1:3" x14ac:dyDescent="0.25">
      <c r="A174" s="81" t="s">
        <v>274</v>
      </c>
      <c r="B174" s="80" t="s">
        <v>1997</v>
      </c>
      <c r="C174" s="87" t="s">
        <v>797</v>
      </c>
    </row>
    <row r="175" spans="1:3" x14ac:dyDescent="0.25">
      <c r="A175" s="81" t="s">
        <v>274</v>
      </c>
      <c r="B175" s="80" t="s">
        <v>1803</v>
      </c>
      <c r="C175" s="87" t="s">
        <v>797</v>
      </c>
    </row>
    <row r="176" spans="1:3" x14ac:dyDescent="0.25">
      <c r="A176" s="81" t="s">
        <v>274</v>
      </c>
      <c r="B176" s="80" t="s">
        <v>326</v>
      </c>
      <c r="C176" s="87" t="s">
        <v>797</v>
      </c>
    </row>
    <row r="177" spans="1:3" x14ac:dyDescent="0.25">
      <c r="A177" s="81" t="s">
        <v>274</v>
      </c>
      <c r="B177" s="80" t="s">
        <v>1998</v>
      </c>
      <c r="C177" s="87" t="s">
        <v>797</v>
      </c>
    </row>
    <row r="178" spans="1:3" x14ac:dyDescent="0.25">
      <c r="A178" s="81" t="s">
        <v>274</v>
      </c>
      <c r="B178" s="80" t="s">
        <v>1999</v>
      </c>
      <c r="C178" s="87" t="s">
        <v>797</v>
      </c>
    </row>
    <row r="179" spans="1:3" x14ac:dyDescent="0.25">
      <c r="A179" s="81" t="s">
        <v>274</v>
      </c>
      <c r="B179" s="80" t="s">
        <v>1872</v>
      </c>
      <c r="C179" s="87" t="s">
        <v>797</v>
      </c>
    </row>
    <row r="180" spans="1:3" x14ac:dyDescent="0.25">
      <c r="A180" s="81" t="s">
        <v>274</v>
      </c>
      <c r="B180" s="80" t="s">
        <v>1676</v>
      </c>
      <c r="C180" s="87" t="s">
        <v>797</v>
      </c>
    </row>
    <row r="181" spans="1:3" x14ac:dyDescent="0.25">
      <c r="A181" s="81" t="s">
        <v>274</v>
      </c>
      <c r="B181" s="80" t="s">
        <v>1782</v>
      </c>
      <c r="C181" s="87" t="s">
        <v>797</v>
      </c>
    </row>
    <row r="182" spans="1:3" x14ac:dyDescent="0.25">
      <c r="A182" s="81" t="s">
        <v>252</v>
      </c>
      <c r="B182" s="80" t="s">
        <v>474</v>
      </c>
      <c r="C182" s="87" t="s">
        <v>857</v>
      </c>
    </row>
    <row r="183" spans="1:3" x14ac:dyDescent="0.25">
      <c r="A183" s="81" t="s">
        <v>252</v>
      </c>
      <c r="B183" s="80" t="s">
        <v>268</v>
      </c>
      <c r="C183" s="87" t="s">
        <v>857</v>
      </c>
    </row>
    <row r="184" spans="1:3" x14ac:dyDescent="0.25">
      <c r="A184" s="81" t="s">
        <v>252</v>
      </c>
      <c r="B184" s="80" t="s">
        <v>1652</v>
      </c>
      <c r="C184" s="87" t="s">
        <v>857</v>
      </c>
    </row>
    <row r="185" spans="1:3" x14ac:dyDescent="0.25">
      <c r="A185" s="81" t="s">
        <v>252</v>
      </c>
      <c r="B185" s="80" t="s">
        <v>2000</v>
      </c>
      <c r="C185" s="87" t="s">
        <v>857</v>
      </c>
    </row>
    <row r="186" spans="1:3" x14ac:dyDescent="0.25">
      <c r="A186" s="81" t="s">
        <v>252</v>
      </c>
      <c r="B186" s="80" t="s">
        <v>1642</v>
      </c>
      <c r="C186" s="87" t="s">
        <v>857</v>
      </c>
    </row>
    <row r="187" spans="1:3" x14ac:dyDescent="0.25">
      <c r="A187" s="81" t="s">
        <v>252</v>
      </c>
      <c r="B187" s="80" t="s">
        <v>1643</v>
      </c>
      <c r="C187" s="87" t="s">
        <v>857</v>
      </c>
    </row>
    <row r="188" spans="1:3" x14ac:dyDescent="0.25">
      <c r="A188" s="81" t="s">
        <v>287</v>
      </c>
      <c r="B188" s="80" t="s">
        <v>1672</v>
      </c>
      <c r="C188" s="87" t="s">
        <v>836</v>
      </c>
    </row>
    <row r="189" spans="1:3" x14ac:dyDescent="0.25">
      <c r="A189" s="81" t="s">
        <v>287</v>
      </c>
      <c r="B189" s="80" t="s">
        <v>340</v>
      </c>
      <c r="C189" s="87" t="s">
        <v>836</v>
      </c>
    </row>
    <row r="190" spans="1:3" x14ac:dyDescent="0.25">
      <c r="A190" s="81" t="s">
        <v>287</v>
      </c>
      <c r="B190" s="80" t="s">
        <v>341</v>
      </c>
      <c r="C190" s="87" t="s">
        <v>836</v>
      </c>
    </row>
    <row r="191" spans="1:3" x14ac:dyDescent="0.25">
      <c r="A191" s="81" t="s">
        <v>287</v>
      </c>
      <c r="B191" s="80" t="s">
        <v>342</v>
      </c>
      <c r="C191" s="87" t="s">
        <v>836</v>
      </c>
    </row>
    <row r="192" spans="1:3" x14ac:dyDescent="0.25">
      <c r="A192" s="81" t="s">
        <v>287</v>
      </c>
      <c r="B192" s="80" t="s">
        <v>343</v>
      </c>
      <c r="C192" s="87" t="s">
        <v>836</v>
      </c>
    </row>
    <row r="193" spans="1:3" x14ac:dyDescent="0.25">
      <c r="A193" s="81" t="s">
        <v>287</v>
      </c>
      <c r="B193" s="80" t="s">
        <v>344</v>
      </c>
      <c r="C193" s="87" t="s">
        <v>836</v>
      </c>
    </row>
    <row r="194" spans="1:3" x14ac:dyDescent="0.25">
      <c r="A194" s="81" t="s">
        <v>287</v>
      </c>
      <c r="B194" s="80" t="s">
        <v>280</v>
      </c>
      <c r="C194" s="87" t="s">
        <v>836</v>
      </c>
    </row>
    <row r="195" spans="1:3" x14ac:dyDescent="0.25">
      <c r="A195" s="81" t="s">
        <v>287</v>
      </c>
      <c r="B195" s="80" t="s">
        <v>2001</v>
      </c>
      <c r="C195" s="87" t="s">
        <v>836</v>
      </c>
    </row>
    <row r="196" spans="1:3" x14ac:dyDescent="0.25">
      <c r="A196" s="81" t="s">
        <v>287</v>
      </c>
      <c r="B196" s="80" t="s">
        <v>2002</v>
      </c>
      <c r="C196" s="87" t="s">
        <v>836</v>
      </c>
    </row>
    <row r="197" spans="1:3" x14ac:dyDescent="0.25">
      <c r="A197" s="81" t="s">
        <v>287</v>
      </c>
      <c r="B197" s="80" t="s">
        <v>2003</v>
      </c>
      <c r="C197" s="87" t="s">
        <v>836</v>
      </c>
    </row>
    <row r="198" spans="1:3" x14ac:dyDescent="0.25">
      <c r="A198" s="81" t="s">
        <v>287</v>
      </c>
      <c r="B198" s="80" t="s">
        <v>2004</v>
      </c>
      <c r="C198" s="87" t="s">
        <v>836</v>
      </c>
    </row>
    <row r="199" spans="1:3" x14ac:dyDescent="0.25">
      <c r="A199" s="81" t="s">
        <v>287</v>
      </c>
      <c r="B199" s="80">
        <v>100</v>
      </c>
      <c r="C199" s="87" t="s">
        <v>836</v>
      </c>
    </row>
    <row r="200" spans="1:3" x14ac:dyDescent="0.25">
      <c r="A200" s="81" t="s">
        <v>287</v>
      </c>
      <c r="B200" s="80" t="s">
        <v>1903</v>
      </c>
      <c r="C200" s="87" t="s">
        <v>836</v>
      </c>
    </row>
    <row r="201" spans="1:3" x14ac:dyDescent="0.25">
      <c r="A201" s="81" t="s">
        <v>287</v>
      </c>
      <c r="B201" s="80" t="s">
        <v>1667</v>
      </c>
      <c r="C201" s="87" t="s">
        <v>836</v>
      </c>
    </row>
    <row r="202" spans="1:3" x14ac:dyDescent="0.25">
      <c r="A202" s="81" t="s">
        <v>287</v>
      </c>
      <c r="B202" s="80" t="s">
        <v>1752</v>
      </c>
      <c r="C202" s="87" t="s">
        <v>836</v>
      </c>
    </row>
    <row r="203" spans="1:3" x14ac:dyDescent="0.25">
      <c r="A203" s="81" t="s">
        <v>287</v>
      </c>
      <c r="B203" s="80" t="s">
        <v>1899</v>
      </c>
      <c r="C203" s="87" t="s">
        <v>836</v>
      </c>
    </row>
    <row r="204" spans="1:3" x14ac:dyDescent="0.25">
      <c r="A204" s="81" t="s">
        <v>287</v>
      </c>
      <c r="B204" s="80" t="s">
        <v>1874</v>
      </c>
      <c r="C204" s="87" t="s">
        <v>836</v>
      </c>
    </row>
    <row r="205" spans="1:3" x14ac:dyDescent="0.25">
      <c r="A205" s="81" t="s">
        <v>287</v>
      </c>
      <c r="B205" s="80" t="s">
        <v>1854</v>
      </c>
      <c r="C205" s="87" t="s">
        <v>836</v>
      </c>
    </row>
    <row r="206" spans="1:3" x14ac:dyDescent="0.25">
      <c r="A206" s="81" t="s">
        <v>287</v>
      </c>
      <c r="B206" s="80" t="s">
        <v>1794</v>
      </c>
      <c r="C206" s="87" t="s">
        <v>836</v>
      </c>
    </row>
    <row r="207" spans="1:3" x14ac:dyDescent="0.25">
      <c r="A207" s="81" t="s">
        <v>287</v>
      </c>
      <c r="B207" s="80" t="s">
        <v>1889</v>
      </c>
      <c r="C207" s="87" t="s">
        <v>836</v>
      </c>
    </row>
    <row r="208" spans="1:3" x14ac:dyDescent="0.25">
      <c r="A208" s="81" t="s">
        <v>287</v>
      </c>
      <c r="B208" s="80" t="s">
        <v>1837</v>
      </c>
      <c r="C208" s="87" t="s">
        <v>836</v>
      </c>
    </row>
    <row r="209" spans="1:3" x14ac:dyDescent="0.25">
      <c r="A209" s="81" t="s">
        <v>287</v>
      </c>
      <c r="B209" s="80" t="s">
        <v>1747</v>
      </c>
      <c r="C209" s="87" t="s">
        <v>836</v>
      </c>
    </row>
    <row r="210" spans="1:3" x14ac:dyDescent="0.25">
      <c r="A210" s="81" t="s">
        <v>287</v>
      </c>
      <c r="B210" s="80" t="s">
        <v>1921</v>
      </c>
      <c r="C210" s="87" t="s">
        <v>836</v>
      </c>
    </row>
    <row r="211" spans="1:3" x14ac:dyDescent="0.25">
      <c r="A211" s="81" t="s">
        <v>249</v>
      </c>
      <c r="B211" s="80" t="s">
        <v>2005</v>
      </c>
      <c r="C211" s="87" t="s">
        <v>845</v>
      </c>
    </row>
    <row r="212" spans="1:3" x14ac:dyDescent="0.25">
      <c r="A212" s="81" t="s">
        <v>249</v>
      </c>
      <c r="B212" s="80" t="s">
        <v>2006</v>
      </c>
      <c r="C212" s="87" t="s">
        <v>845</v>
      </c>
    </row>
    <row r="213" spans="1:3" x14ac:dyDescent="0.25">
      <c r="A213" s="81" t="s">
        <v>249</v>
      </c>
      <c r="B213" s="80" t="s">
        <v>2007</v>
      </c>
      <c r="C213" s="87" t="s">
        <v>845</v>
      </c>
    </row>
    <row r="214" spans="1:3" x14ac:dyDescent="0.25">
      <c r="A214" s="81" t="s">
        <v>249</v>
      </c>
      <c r="B214" s="80" t="s">
        <v>2008</v>
      </c>
      <c r="C214" s="87" t="s">
        <v>845</v>
      </c>
    </row>
    <row r="215" spans="1:3" x14ac:dyDescent="0.25">
      <c r="A215" s="81" t="s">
        <v>249</v>
      </c>
      <c r="B215" s="80" t="s">
        <v>2009</v>
      </c>
      <c r="C215" s="87" t="s">
        <v>845</v>
      </c>
    </row>
    <row r="216" spans="1:3" x14ac:dyDescent="0.25">
      <c r="A216" s="81" t="s">
        <v>249</v>
      </c>
      <c r="B216" s="80" t="s">
        <v>2010</v>
      </c>
      <c r="C216" s="87" t="s">
        <v>845</v>
      </c>
    </row>
    <row r="217" spans="1:3" x14ac:dyDescent="0.25">
      <c r="A217" s="81" t="s">
        <v>249</v>
      </c>
      <c r="B217" s="80" t="s">
        <v>1801</v>
      </c>
      <c r="C217" s="87" t="s">
        <v>845</v>
      </c>
    </row>
    <row r="218" spans="1:3" x14ac:dyDescent="0.25">
      <c r="A218" s="81" t="s">
        <v>249</v>
      </c>
      <c r="B218" s="80" t="s">
        <v>1797</v>
      </c>
      <c r="C218" s="87" t="s">
        <v>845</v>
      </c>
    </row>
    <row r="219" spans="1:3" x14ac:dyDescent="0.25">
      <c r="A219" s="81" t="s">
        <v>249</v>
      </c>
      <c r="B219" s="80" t="s">
        <v>1810</v>
      </c>
      <c r="C219" s="87" t="s">
        <v>845</v>
      </c>
    </row>
    <row r="220" spans="1:3" x14ac:dyDescent="0.25">
      <c r="A220" s="81" t="s">
        <v>249</v>
      </c>
      <c r="B220" s="80" t="s">
        <v>1699</v>
      </c>
      <c r="C220" s="87" t="s">
        <v>845</v>
      </c>
    </row>
    <row r="221" spans="1:3" x14ac:dyDescent="0.25">
      <c r="A221" s="81" t="s">
        <v>249</v>
      </c>
      <c r="B221" s="80" t="s">
        <v>488</v>
      </c>
      <c r="C221" s="87" t="s">
        <v>845</v>
      </c>
    </row>
    <row r="222" spans="1:3" x14ac:dyDescent="0.25">
      <c r="A222" s="81" t="s">
        <v>249</v>
      </c>
      <c r="B222" s="80" t="s">
        <v>1740</v>
      </c>
      <c r="C222" s="87" t="s">
        <v>845</v>
      </c>
    </row>
    <row r="223" spans="1:3" x14ac:dyDescent="0.25">
      <c r="A223" s="81" t="s">
        <v>249</v>
      </c>
      <c r="B223" s="80" t="s">
        <v>1777</v>
      </c>
      <c r="C223" s="87" t="s">
        <v>845</v>
      </c>
    </row>
    <row r="224" spans="1:3" x14ac:dyDescent="0.25">
      <c r="A224" s="81" t="s">
        <v>249</v>
      </c>
      <c r="B224" s="80" t="s">
        <v>1796</v>
      </c>
      <c r="C224" s="87" t="s">
        <v>845</v>
      </c>
    </row>
    <row r="225" spans="1:3" x14ac:dyDescent="0.25">
      <c r="A225" s="81" t="s">
        <v>249</v>
      </c>
      <c r="B225" s="80" t="s">
        <v>1788</v>
      </c>
      <c r="C225" s="87" t="s">
        <v>845</v>
      </c>
    </row>
    <row r="226" spans="1:3" x14ac:dyDescent="0.25">
      <c r="A226" s="81" t="s">
        <v>280</v>
      </c>
      <c r="B226" s="80" t="s">
        <v>1751</v>
      </c>
      <c r="C226" s="87" t="s">
        <v>820</v>
      </c>
    </row>
    <row r="227" spans="1:3" x14ac:dyDescent="0.25">
      <c r="A227" s="81" t="s">
        <v>280</v>
      </c>
      <c r="B227" s="80" t="s">
        <v>328</v>
      </c>
      <c r="C227" s="87" t="s">
        <v>820</v>
      </c>
    </row>
    <row r="228" spans="1:3" x14ac:dyDescent="0.25">
      <c r="A228" s="81" t="s">
        <v>280</v>
      </c>
      <c r="B228" s="80" t="s">
        <v>329</v>
      </c>
      <c r="C228" s="87" t="s">
        <v>820</v>
      </c>
    </row>
    <row r="229" spans="1:3" x14ac:dyDescent="0.25">
      <c r="A229" s="81" t="s">
        <v>280</v>
      </c>
      <c r="B229" s="80" t="s">
        <v>330</v>
      </c>
      <c r="C229" s="87" t="s">
        <v>820</v>
      </c>
    </row>
    <row r="230" spans="1:3" x14ac:dyDescent="0.25">
      <c r="A230" s="81" t="s">
        <v>280</v>
      </c>
      <c r="B230" s="80" t="s">
        <v>331</v>
      </c>
      <c r="C230" s="87" t="s">
        <v>820</v>
      </c>
    </row>
    <row r="231" spans="1:3" x14ac:dyDescent="0.25">
      <c r="A231" s="81" t="s">
        <v>280</v>
      </c>
      <c r="B231" s="80" t="s">
        <v>332</v>
      </c>
      <c r="C231" s="87" t="s">
        <v>820</v>
      </c>
    </row>
    <row r="232" spans="1:3" x14ac:dyDescent="0.25">
      <c r="A232" s="81" t="s">
        <v>280</v>
      </c>
      <c r="B232" s="80" t="s">
        <v>333</v>
      </c>
      <c r="C232" s="87" t="s">
        <v>820</v>
      </c>
    </row>
    <row r="233" spans="1:3" x14ac:dyDescent="0.25">
      <c r="A233" s="81" t="s">
        <v>280</v>
      </c>
      <c r="B233" s="80" t="s">
        <v>2011</v>
      </c>
      <c r="C233" s="87" t="s">
        <v>820</v>
      </c>
    </row>
    <row r="234" spans="1:3" x14ac:dyDescent="0.25">
      <c r="A234" s="81" t="s">
        <v>280</v>
      </c>
      <c r="B234" s="80" t="s">
        <v>1709</v>
      </c>
      <c r="C234" s="87" t="s">
        <v>820</v>
      </c>
    </row>
    <row r="235" spans="1:3" x14ac:dyDescent="0.25">
      <c r="A235" s="81" t="s">
        <v>280</v>
      </c>
      <c r="B235" s="80" t="s">
        <v>1935</v>
      </c>
      <c r="C235" s="87" t="s">
        <v>820</v>
      </c>
    </row>
    <row r="236" spans="1:3" x14ac:dyDescent="0.25">
      <c r="A236" s="81" t="s">
        <v>280</v>
      </c>
      <c r="B236" s="80" t="s">
        <v>1657</v>
      </c>
      <c r="C236" s="87" t="s">
        <v>820</v>
      </c>
    </row>
    <row r="237" spans="1:3" x14ac:dyDescent="0.25">
      <c r="A237" s="81" t="s">
        <v>280</v>
      </c>
      <c r="B237" s="80" t="s">
        <v>268</v>
      </c>
      <c r="C237" s="87" t="s">
        <v>820</v>
      </c>
    </row>
    <row r="238" spans="1:3" x14ac:dyDescent="0.25">
      <c r="A238" s="81" t="s">
        <v>280</v>
      </c>
      <c r="B238" s="80" t="s">
        <v>490</v>
      </c>
      <c r="C238" s="87" t="s">
        <v>820</v>
      </c>
    </row>
    <row r="239" spans="1:3" x14ac:dyDescent="0.25">
      <c r="A239" s="81" t="s">
        <v>280</v>
      </c>
      <c r="B239" s="80" t="s">
        <v>334</v>
      </c>
      <c r="C239" s="87" t="s">
        <v>820</v>
      </c>
    </row>
    <row r="240" spans="1:3" x14ac:dyDescent="0.25">
      <c r="A240" s="81" t="s">
        <v>280</v>
      </c>
      <c r="B240" s="80" t="s">
        <v>280</v>
      </c>
      <c r="C240" s="87" t="s">
        <v>820</v>
      </c>
    </row>
    <row r="241" spans="1:3" x14ac:dyDescent="0.25">
      <c r="A241" s="81" t="s">
        <v>280</v>
      </c>
      <c r="B241" s="80" t="s">
        <v>1647</v>
      </c>
      <c r="C241" s="87" t="s">
        <v>820</v>
      </c>
    </row>
    <row r="242" spans="1:3" x14ac:dyDescent="0.25">
      <c r="A242" s="81" t="s">
        <v>270</v>
      </c>
      <c r="B242" s="80">
        <v>800</v>
      </c>
      <c r="C242" s="87" t="s">
        <v>792</v>
      </c>
    </row>
    <row r="243" spans="1:3" x14ac:dyDescent="0.25">
      <c r="A243" s="81" t="s">
        <v>270</v>
      </c>
      <c r="B243" s="80">
        <v>600</v>
      </c>
      <c r="C243" s="87" t="s">
        <v>792</v>
      </c>
    </row>
    <row r="244" spans="1:3" x14ac:dyDescent="0.25">
      <c r="A244" s="81" t="s">
        <v>270</v>
      </c>
      <c r="B244" s="80" t="s">
        <v>1678</v>
      </c>
      <c r="C244" s="87" t="s">
        <v>792</v>
      </c>
    </row>
    <row r="245" spans="1:3" x14ac:dyDescent="0.25">
      <c r="A245" s="81" t="s">
        <v>270</v>
      </c>
      <c r="B245" s="80" t="s">
        <v>1691</v>
      </c>
      <c r="C245" s="87" t="s">
        <v>792</v>
      </c>
    </row>
    <row r="246" spans="1:3" x14ac:dyDescent="0.25">
      <c r="A246" s="81" t="s">
        <v>270</v>
      </c>
      <c r="B246" s="80" t="s">
        <v>1653</v>
      </c>
      <c r="C246" s="87" t="s">
        <v>792</v>
      </c>
    </row>
    <row r="247" spans="1:3" x14ac:dyDescent="0.25">
      <c r="A247" s="81" t="s">
        <v>270</v>
      </c>
      <c r="B247" s="80" t="s">
        <v>1662</v>
      </c>
      <c r="C247" s="87" t="s">
        <v>792</v>
      </c>
    </row>
    <row r="248" spans="1:3" x14ac:dyDescent="0.25">
      <c r="A248" s="81" t="s">
        <v>270</v>
      </c>
      <c r="B248" s="80" t="s">
        <v>1660</v>
      </c>
      <c r="C248" s="87" t="s">
        <v>792</v>
      </c>
    </row>
    <row r="249" spans="1:3" x14ac:dyDescent="0.25">
      <c r="A249" s="81" t="s">
        <v>270</v>
      </c>
      <c r="B249" s="80" t="s">
        <v>1679</v>
      </c>
      <c r="C249" s="87" t="s">
        <v>792</v>
      </c>
    </row>
    <row r="250" spans="1:3" x14ac:dyDescent="0.25">
      <c r="A250" s="81" t="s">
        <v>270</v>
      </c>
      <c r="B250" s="80" t="s">
        <v>268</v>
      </c>
      <c r="C250" s="87" t="s">
        <v>792</v>
      </c>
    </row>
    <row r="251" spans="1:3" x14ac:dyDescent="0.25">
      <c r="A251" s="81" t="s">
        <v>270</v>
      </c>
      <c r="B251" s="80">
        <v>2024</v>
      </c>
      <c r="C251" s="87" t="s">
        <v>792</v>
      </c>
    </row>
    <row r="252" spans="1:3" x14ac:dyDescent="0.25">
      <c r="A252" s="81" t="s">
        <v>270</v>
      </c>
      <c r="B252" s="80" t="s">
        <v>1658</v>
      </c>
      <c r="C252" s="87" t="s">
        <v>792</v>
      </c>
    </row>
    <row r="253" spans="1:3" x14ac:dyDescent="0.25">
      <c r="A253" s="81" t="s">
        <v>270</v>
      </c>
      <c r="B253" s="80" t="s">
        <v>1645</v>
      </c>
      <c r="C253" s="87" t="s">
        <v>792</v>
      </c>
    </row>
    <row r="254" spans="1:3" x14ac:dyDescent="0.25">
      <c r="A254" s="81" t="s">
        <v>270</v>
      </c>
      <c r="B254" s="80" t="s">
        <v>289</v>
      </c>
      <c r="C254" s="87" t="s">
        <v>792</v>
      </c>
    </row>
    <row r="255" spans="1:3" x14ac:dyDescent="0.25">
      <c r="A255" s="81" t="s">
        <v>280</v>
      </c>
      <c r="B255" s="80" t="s">
        <v>2012</v>
      </c>
      <c r="C255" s="87" t="s">
        <v>837</v>
      </c>
    </row>
    <row r="256" spans="1:3" x14ac:dyDescent="0.25">
      <c r="A256" s="81" t="s">
        <v>280</v>
      </c>
      <c r="B256" s="80">
        <v>100</v>
      </c>
      <c r="C256" s="87" t="s">
        <v>837</v>
      </c>
    </row>
    <row r="257" spans="1:3" x14ac:dyDescent="0.25">
      <c r="A257" s="81" t="s">
        <v>280</v>
      </c>
      <c r="B257" s="80" t="s">
        <v>1903</v>
      </c>
      <c r="C257" s="87" t="s">
        <v>837</v>
      </c>
    </row>
    <row r="258" spans="1:3" x14ac:dyDescent="0.25">
      <c r="A258" s="81" t="s">
        <v>280</v>
      </c>
      <c r="B258" s="80" t="s">
        <v>1667</v>
      </c>
      <c r="C258" s="87" t="s">
        <v>837</v>
      </c>
    </row>
    <row r="259" spans="1:3" x14ac:dyDescent="0.25">
      <c r="A259" s="81" t="s">
        <v>280</v>
      </c>
      <c r="B259" s="80" t="s">
        <v>1752</v>
      </c>
      <c r="C259" s="87" t="s">
        <v>837</v>
      </c>
    </row>
    <row r="260" spans="1:3" x14ac:dyDescent="0.25">
      <c r="A260" s="81" t="s">
        <v>280</v>
      </c>
      <c r="B260" s="80" t="s">
        <v>1899</v>
      </c>
      <c r="C260" s="87" t="s">
        <v>837</v>
      </c>
    </row>
    <row r="261" spans="1:3" x14ac:dyDescent="0.25">
      <c r="A261" s="81" t="s">
        <v>280</v>
      </c>
      <c r="B261" s="80" t="s">
        <v>1874</v>
      </c>
      <c r="C261" s="87" t="s">
        <v>837</v>
      </c>
    </row>
    <row r="262" spans="1:3" x14ac:dyDescent="0.25">
      <c r="A262" s="81" t="s">
        <v>280</v>
      </c>
      <c r="B262" s="80" t="s">
        <v>1854</v>
      </c>
      <c r="C262" s="87" t="s">
        <v>837</v>
      </c>
    </row>
    <row r="263" spans="1:3" x14ac:dyDescent="0.25">
      <c r="A263" s="81" t="s">
        <v>280</v>
      </c>
      <c r="B263" s="80" t="s">
        <v>1794</v>
      </c>
      <c r="C263" s="87" t="s">
        <v>837</v>
      </c>
    </row>
    <row r="264" spans="1:3" x14ac:dyDescent="0.25">
      <c r="A264" s="81" t="s">
        <v>280</v>
      </c>
      <c r="B264" s="80" t="s">
        <v>1889</v>
      </c>
      <c r="C264" s="87" t="s">
        <v>837</v>
      </c>
    </row>
    <row r="265" spans="1:3" x14ac:dyDescent="0.25">
      <c r="A265" s="81" t="s">
        <v>280</v>
      </c>
      <c r="B265" s="80" t="s">
        <v>1837</v>
      </c>
      <c r="C265" s="87" t="s">
        <v>837</v>
      </c>
    </row>
    <row r="266" spans="1:3" x14ac:dyDescent="0.25">
      <c r="A266" s="81" t="s">
        <v>280</v>
      </c>
      <c r="B266" s="80" t="s">
        <v>1747</v>
      </c>
      <c r="C266" s="87" t="s">
        <v>837</v>
      </c>
    </row>
    <row r="267" spans="1:3" x14ac:dyDescent="0.25">
      <c r="A267" s="81" t="s">
        <v>280</v>
      </c>
      <c r="B267" s="80" t="s">
        <v>1921</v>
      </c>
      <c r="C267" s="87" t="s">
        <v>837</v>
      </c>
    </row>
    <row r="268" spans="1:3" x14ac:dyDescent="0.25">
      <c r="A268" s="81" t="s">
        <v>280</v>
      </c>
      <c r="B268" s="80" t="s">
        <v>287</v>
      </c>
      <c r="C268" s="87" t="s">
        <v>837</v>
      </c>
    </row>
    <row r="269" spans="1:3" x14ac:dyDescent="0.25">
      <c r="A269" s="81" t="s">
        <v>266</v>
      </c>
      <c r="B269" s="80" t="s">
        <v>474</v>
      </c>
      <c r="C269" s="87" t="s">
        <v>779</v>
      </c>
    </row>
    <row r="270" spans="1:3" x14ac:dyDescent="0.25">
      <c r="A270" s="81" t="s">
        <v>266</v>
      </c>
      <c r="B270" s="80" t="s">
        <v>268</v>
      </c>
      <c r="C270" s="87" t="s">
        <v>779</v>
      </c>
    </row>
    <row r="271" spans="1:3" x14ac:dyDescent="0.25">
      <c r="A271" s="81" t="s">
        <v>266</v>
      </c>
      <c r="B271" s="80" t="s">
        <v>1652</v>
      </c>
      <c r="C271" s="87" t="s">
        <v>779</v>
      </c>
    </row>
    <row r="272" spans="1:3" x14ac:dyDescent="0.25">
      <c r="A272" s="81" t="s">
        <v>266</v>
      </c>
      <c r="B272" s="80" t="s">
        <v>1640</v>
      </c>
      <c r="C272" s="87" t="s">
        <v>779</v>
      </c>
    </row>
    <row r="273" spans="1:3" x14ac:dyDescent="0.25">
      <c r="A273" s="81" t="s">
        <v>266</v>
      </c>
      <c r="B273" s="80" t="s">
        <v>1642</v>
      </c>
      <c r="C273" s="87" t="s">
        <v>779</v>
      </c>
    </row>
    <row r="274" spans="1:3" x14ac:dyDescent="0.25">
      <c r="A274" s="81" t="s">
        <v>266</v>
      </c>
      <c r="B274" s="80" t="s">
        <v>1643</v>
      </c>
      <c r="C274" s="87" t="s">
        <v>779</v>
      </c>
    </row>
    <row r="275" spans="1:3" x14ac:dyDescent="0.25">
      <c r="A275" s="81" t="s">
        <v>266</v>
      </c>
      <c r="B275" s="80" t="s">
        <v>252</v>
      </c>
      <c r="C275" s="87" t="s">
        <v>779</v>
      </c>
    </row>
    <row r="276" spans="1:3" x14ac:dyDescent="0.25">
      <c r="A276" s="81" t="s">
        <v>257</v>
      </c>
      <c r="B276" s="80" t="s">
        <v>1689</v>
      </c>
      <c r="C276" s="87" t="s">
        <v>763</v>
      </c>
    </row>
    <row r="277" spans="1:3" x14ac:dyDescent="0.25">
      <c r="A277" s="81" t="s">
        <v>257</v>
      </c>
      <c r="B277" s="80" t="s">
        <v>1662</v>
      </c>
      <c r="C277" s="87" t="s">
        <v>763</v>
      </c>
    </row>
    <row r="278" spans="1:3" x14ac:dyDescent="0.25">
      <c r="A278" s="81" t="s">
        <v>257</v>
      </c>
      <c r="B278" s="80" t="s">
        <v>1846</v>
      </c>
      <c r="C278" s="87" t="s">
        <v>763</v>
      </c>
    </row>
    <row r="279" spans="1:3" x14ac:dyDescent="0.25">
      <c r="A279" s="81" t="s">
        <v>257</v>
      </c>
      <c r="B279" s="80" t="s">
        <v>578</v>
      </c>
      <c r="C279" s="87" t="s">
        <v>763</v>
      </c>
    </row>
    <row r="280" spans="1:3" x14ac:dyDescent="0.25">
      <c r="A280" s="81" t="s">
        <v>257</v>
      </c>
      <c r="B280" s="80" t="s">
        <v>1644</v>
      </c>
      <c r="C280" s="87" t="s">
        <v>763</v>
      </c>
    </row>
    <row r="281" spans="1:3" x14ac:dyDescent="0.25">
      <c r="A281" s="81" t="s">
        <v>257</v>
      </c>
      <c r="B281" s="80" t="s">
        <v>2013</v>
      </c>
      <c r="C281" s="87" t="s">
        <v>763</v>
      </c>
    </row>
    <row r="282" spans="1:3" x14ac:dyDescent="0.25">
      <c r="A282" s="81" t="s">
        <v>257</v>
      </c>
      <c r="B282" s="80" t="s">
        <v>1651</v>
      </c>
      <c r="C282" s="87" t="s">
        <v>763</v>
      </c>
    </row>
    <row r="283" spans="1:3" x14ac:dyDescent="0.25">
      <c r="A283" s="81" t="s">
        <v>257</v>
      </c>
      <c r="B283" s="80" t="s">
        <v>2014</v>
      </c>
      <c r="C283" s="87" t="s">
        <v>763</v>
      </c>
    </row>
    <row r="284" spans="1:3" x14ac:dyDescent="0.25">
      <c r="A284" s="81" t="s">
        <v>257</v>
      </c>
      <c r="B284" s="80" t="s">
        <v>1815</v>
      </c>
      <c r="C284" s="87" t="s">
        <v>763</v>
      </c>
    </row>
    <row r="285" spans="1:3" x14ac:dyDescent="0.25">
      <c r="A285" s="81" t="s">
        <v>257</v>
      </c>
      <c r="B285" s="80" t="s">
        <v>1938</v>
      </c>
      <c r="C285" s="87" t="s">
        <v>763</v>
      </c>
    </row>
    <row r="286" spans="1:3" x14ac:dyDescent="0.25">
      <c r="A286" s="81" t="s">
        <v>257</v>
      </c>
      <c r="B286" s="80" t="s">
        <v>1873</v>
      </c>
      <c r="C286" s="87" t="s">
        <v>763</v>
      </c>
    </row>
    <row r="287" spans="1:3" x14ac:dyDescent="0.25">
      <c r="A287" s="81" t="s">
        <v>257</v>
      </c>
      <c r="B287" s="80" t="s">
        <v>258</v>
      </c>
      <c r="C287" s="87" t="s">
        <v>763</v>
      </c>
    </row>
    <row r="288" spans="1:3" x14ac:dyDescent="0.25">
      <c r="A288" s="81" t="s">
        <v>257</v>
      </c>
      <c r="B288" s="80" t="s">
        <v>1661</v>
      </c>
      <c r="C288" s="87" t="s">
        <v>763</v>
      </c>
    </row>
    <row r="289" spans="1:3" x14ac:dyDescent="0.25">
      <c r="A289" s="81" t="s">
        <v>257</v>
      </c>
      <c r="B289" s="80" t="s">
        <v>1766</v>
      </c>
      <c r="C289" s="87" t="s">
        <v>763</v>
      </c>
    </row>
    <row r="290" spans="1:3" x14ac:dyDescent="0.25">
      <c r="A290" s="81" t="s">
        <v>257</v>
      </c>
      <c r="B290" s="80" t="s">
        <v>1680</v>
      </c>
      <c r="C290" s="87" t="s">
        <v>763</v>
      </c>
    </row>
    <row r="291" spans="1:3" x14ac:dyDescent="0.25">
      <c r="A291" s="81" t="s">
        <v>257</v>
      </c>
      <c r="B291" s="80" t="s">
        <v>1692</v>
      </c>
      <c r="C291" s="87" t="s">
        <v>763</v>
      </c>
    </row>
    <row r="292" spans="1:3" x14ac:dyDescent="0.25">
      <c r="A292" s="81" t="s">
        <v>257</v>
      </c>
      <c r="B292" s="80" t="s">
        <v>1723</v>
      </c>
      <c r="C292" s="87" t="s">
        <v>763</v>
      </c>
    </row>
    <row r="293" spans="1:3" x14ac:dyDescent="0.25">
      <c r="A293" s="81" t="s">
        <v>257</v>
      </c>
      <c r="B293" s="80" t="s">
        <v>1676</v>
      </c>
      <c r="C293" s="87" t="s">
        <v>763</v>
      </c>
    </row>
    <row r="294" spans="1:3" x14ac:dyDescent="0.25">
      <c r="A294" s="81" t="s">
        <v>257</v>
      </c>
      <c r="B294" s="80" t="s">
        <v>1718</v>
      </c>
      <c r="C294" s="87" t="s">
        <v>763</v>
      </c>
    </row>
    <row r="295" spans="1:3" x14ac:dyDescent="0.25">
      <c r="A295" s="81" t="s">
        <v>257</v>
      </c>
      <c r="B295" s="80" t="s">
        <v>1808</v>
      </c>
      <c r="C295" s="87" t="s">
        <v>763</v>
      </c>
    </row>
    <row r="296" spans="1:3" x14ac:dyDescent="0.25">
      <c r="A296" s="81" t="s">
        <v>257</v>
      </c>
      <c r="B296" s="80" t="s">
        <v>268</v>
      </c>
      <c r="C296" s="87" t="s">
        <v>763</v>
      </c>
    </row>
    <row r="297" spans="1:3" x14ac:dyDescent="0.25">
      <c r="A297" s="81" t="s">
        <v>257</v>
      </c>
      <c r="B297" s="80" t="s">
        <v>1774</v>
      </c>
      <c r="C297" s="87" t="s">
        <v>763</v>
      </c>
    </row>
    <row r="298" spans="1:3" x14ac:dyDescent="0.25">
      <c r="A298" s="81" t="s">
        <v>257</v>
      </c>
      <c r="B298" s="80" t="s">
        <v>1688</v>
      </c>
      <c r="C298" s="87" t="s">
        <v>763</v>
      </c>
    </row>
    <row r="299" spans="1:3" x14ac:dyDescent="0.25">
      <c r="A299" s="81" t="s">
        <v>257</v>
      </c>
      <c r="B299" s="80" t="s">
        <v>1768</v>
      </c>
      <c r="C299" s="87" t="s">
        <v>763</v>
      </c>
    </row>
    <row r="300" spans="1:3" x14ac:dyDescent="0.25">
      <c r="A300" s="81" t="s">
        <v>295</v>
      </c>
      <c r="B300" s="80" t="s">
        <v>2015</v>
      </c>
      <c r="C300" s="87" t="s">
        <v>849</v>
      </c>
    </row>
    <row r="301" spans="1:3" x14ac:dyDescent="0.25">
      <c r="A301" s="81" t="s">
        <v>295</v>
      </c>
      <c r="B301" s="80" t="s">
        <v>295</v>
      </c>
      <c r="C301" s="87" t="s">
        <v>849</v>
      </c>
    </row>
    <row r="302" spans="1:3" x14ac:dyDescent="0.25">
      <c r="A302" s="81" t="s">
        <v>295</v>
      </c>
      <c r="B302" s="80" t="s">
        <v>243</v>
      </c>
      <c r="C302" s="87" t="s">
        <v>849</v>
      </c>
    </row>
    <row r="303" spans="1:3" x14ac:dyDescent="0.25">
      <c r="A303" s="81" t="s">
        <v>295</v>
      </c>
      <c r="B303" s="80" t="s">
        <v>1695</v>
      </c>
      <c r="C303" s="87" t="s">
        <v>849</v>
      </c>
    </row>
    <row r="304" spans="1:3" x14ac:dyDescent="0.25">
      <c r="A304" s="81" t="s">
        <v>295</v>
      </c>
      <c r="B304" s="80" t="s">
        <v>1641</v>
      </c>
      <c r="C304" s="87" t="s">
        <v>849</v>
      </c>
    </row>
    <row r="305" spans="1:3" x14ac:dyDescent="0.25">
      <c r="A305" s="81" t="s">
        <v>295</v>
      </c>
      <c r="B305" s="80" t="s">
        <v>350</v>
      </c>
      <c r="C305" s="87" t="s">
        <v>849</v>
      </c>
    </row>
    <row r="306" spans="1:3" x14ac:dyDescent="0.25">
      <c r="A306" s="81" t="s">
        <v>295</v>
      </c>
      <c r="B306" s="80">
        <v>2023</v>
      </c>
      <c r="C306" s="87" t="s">
        <v>849</v>
      </c>
    </row>
    <row r="307" spans="1:3" x14ac:dyDescent="0.25">
      <c r="A307" s="81" t="s">
        <v>295</v>
      </c>
      <c r="B307" s="80" t="s">
        <v>1884</v>
      </c>
      <c r="C307" s="87" t="s">
        <v>849</v>
      </c>
    </row>
    <row r="308" spans="1:3" x14ac:dyDescent="0.25">
      <c r="A308" s="81" t="s">
        <v>295</v>
      </c>
      <c r="B308" s="80" t="s">
        <v>268</v>
      </c>
      <c r="C308" s="87" t="s">
        <v>849</v>
      </c>
    </row>
    <row r="309" spans="1:3" x14ac:dyDescent="0.25">
      <c r="A309" s="81" t="s">
        <v>295</v>
      </c>
      <c r="B309" s="80" t="s">
        <v>293</v>
      </c>
      <c r="C309" s="87" t="s">
        <v>849</v>
      </c>
    </row>
    <row r="310" spans="1:3" x14ac:dyDescent="0.25">
      <c r="A310" s="81" t="s">
        <v>300</v>
      </c>
      <c r="B310" s="80" t="s">
        <v>2016</v>
      </c>
      <c r="C310" s="87" t="s">
        <v>859</v>
      </c>
    </row>
    <row r="311" spans="1:3" x14ac:dyDescent="0.25">
      <c r="A311" s="81" t="s">
        <v>300</v>
      </c>
      <c r="B311" s="80" t="s">
        <v>351</v>
      </c>
      <c r="C311" s="87" t="s">
        <v>859</v>
      </c>
    </row>
    <row r="312" spans="1:3" x14ac:dyDescent="0.25">
      <c r="A312" s="81" t="s">
        <v>300</v>
      </c>
      <c r="B312" s="80" t="s">
        <v>2017</v>
      </c>
      <c r="C312" s="87" t="s">
        <v>859</v>
      </c>
    </row>
    <row r="313" spans="1:3" x14ac:dyDescent="0.25">
      <c r="A313" s="81" t="s">
        <v>300</v>
      </c>
      <c r="B313" s="80" t="s">
        <v>2018</v>
      </c>
      <c r="C313" s="87" t="s">
        <v>859</v>
      </c>
    </row>
    <row r="314" spans="1:3" x14ac:dyDescent="0.25">
      <c r="A314" s="81" t="s">
        <v>300</v>
      </c>
      <c r="B314" s="80" t="s">
        <v>2019</v>
      </c>
      <c r="C314" s="87" t="s">
        <v>859</v>
      </c>
    </row>
    <row r="315" spans="1:3" x14ac:dyDescent="0.25">
      <c r="A315" s="81" t="s">
        <v>300</v>
      </c>
      <c r="B315" s="80" t="s">
        <v>2020</v>
      </c>
      <c r="C315" s="87" t="s">
        <v>859</v>
      </c>
    </row>
    <row r="316" spans="1:3" x14ac:dyDescent="0.25">
      <c r="A316" s="81" t="s">
        <v>300</v>
      </c>
      <c r="B316" s="80" t="s">
        <v>2021</v>
      </c>
      <c r="C316" s="87" t="s">
        <v>859</v>
      </c>
    </row>
    <row r="317" spans="1:3" x14ac:dyDescent="0.25">
      <c r="A317" s="81" t="s">
        <v>282</v>
      </c>
      <c r="B317" s="80" t="s">
        <v>364</v>
      </c>
      <c r="C317" s="87" t="s">
        <v>823</v>
      </c>
    </row>
    <row r="318" spans="1:3" x14ac:dyDescent="0.25">
      <c r="A318" s="81" t="s">
        <v>282</v>
      </c>
      <c r="B318" s="80" t="s">
        <v>2022</v>
      </c>
      <c r="C318" s="87" t="s">
        <v>823</v>
      </c>
    </row>
    <row r="319" spans="1:3" x14ac:dyDescent="0.25">
      <c r="A319" s="81" t="s">
        <v>282</v>
      </c>
      <c r="B319" s="80" t="s">
        <v>1789</v>
      </c>
      <c r="C319" s="87" t="s">
        <v>823</v>
      </c>
    </row>
    <row r="320" spans="1:3" x14ac:dyDescent="0.25">
      <c r="A320" s="81" t="s">
        <v>282</v>
      </c>
      <c r="B320" s="80" t="s">
        <v>2023</v>
      </c>
      <c r="C320" s="87" t="s">
        <v>823</v>
      </c>
    </row>
    <row r="321" spans="1:3" x14ac:dyDescent="0.25">
      <c r="A321" s="81" t="s">
        <v>282</v>
      </c>
      <c r="B321" s="80" t="s">
        <v>1775</v>
      </c>
      <c r="C321" s="87" t="s">
        <v>823</v>
      </c>
    </row>
    <row r="322" spans="1:3" x14ac:dyDescent="0.25">
      <c r="A322" s="81" t="s">
        <v>282</v>
      </c>
      <c r="B322" s="80" t="s">
        <v>336</v>
      </c>
      <c r="C322" s="87" t="s">
        <v>823</v>
      </c>
    </row>
    <row r="323" spans="1:3" x14ac:dyDescent="0.25">
      <c r="A323" s="81" t="s">
        <v>282</v>
      </c>
      <c r="B323" s="80" t="s">
        <v>1836</v>
      </c>
      <c r="C323" s="87" t="s">
        <v>823</v>
      </c>
    </row>
    <row r="324" spans="1:3" x14ac:dyDescent="0.25">
      <c r="A324" s="81" t="s">
        <v>282</v>
      </c>
      <c r="B324" s="80" t="s">
        <v>1827</v>
      </c>
      <c r="C324" s="87" t="s">
        <v>823</v>
      </c>
    </row>
    <row r="325" spans="1:3" x14ac:dyDescent="0.25">
      <c r="A325" s="81" t="s">
        <v>282</v>
      </c>
      <c r="B325" s="80" t="s">
        <v>1783</v>
      </c>
      <c r="C325" s="87" t="s">
        <v>823</v>
      </c>
    </row>
    <row r="326" spans="1:3" x14ac:dyDescent="0.25">
      <c r="A326" s="81" t="s">
        <v>282</v>
      </c>
      <c r="B326" s="80" t="s">
        <v>1647</v>
      </c>
      <c r="C326" s="87" t="s">
        <v>823</v>
      </c>
    </row>
    <row r="327" spans="1:3" x14ac:dyDescent="0.25">
      <c r="A327" s="81" t="s">
        <v>282</v>
      </c>
      <c r="B327" s="80">
        <v>11</v>
      </c>
      <c r="C327" s="87" t="s">
        <v>823</v>
      </c>
    </row>
    <row r="328" spans="1:3" x14ac:dyDescent="0.25">
      <c r="A328" s="81" t="s">
        <v>282</v>
      </c>
      <c r="B328" s="80" t="s">
        <v>1671</v>
      </c>
      <c r="C328" s="87" t="s">
        <v>823</v>
      </c>
    </row>
    <row r="329" spans="1:3" x14ac:dyDescent="0.25">
      <c r="A329" s="81" t="s">
        <v>282</v>
      </c>
      <c r="B329" s="80" t="s">
        <v>1943</v>
      </c>
      <c r="C329" s="87" t="s">
        <v>823</v>
      </c>
    </row>
    <row r="330" spans="1:3" x14ac:dyDescent="0.25">
      <c r="A330" s="81" t="s">
        <v>282</v>
      </c>
      <c r="B330" s="80" t="s">
        <v>1914</v>
      </c>
      <c r="C330" s="87" t="s">
        <v>823</v>
      </c>
    </row>
    <row r="331" spans="1:3" x14ac:dyDescent="0.25">
      <c r="A331" s="81" t="s">
        <v>282</v>
      </c>
      <c r="B331" s="80" t="s">
        <v>1806</v>
      </c>
      <c r="C331" s="87" t="s">
        <v>823</v>
      </c>
    </row>
    <row r="332" spans="1:3" x14ac:dyDescent="0.25">
      <c r="A332" s="81" t="s">
        <v>282</v>
      </c>
      <c r="B332" s="80" t="s">
        <v>1805</v>
      </c>
      <c r="C332" s="87" t="s">
        <v>823</v>
      </c>
    </row>
    <row r="333" spans="1:3" x14ac:dyDescent="0.25">
      <c r="A333" s="81" t="s">
        <v>282</v>
      </c>
      <c r="B333" s="80" t="s">
        <v>268</v>
      </c>
      <c r="C333" s="87" t="s">
        <v>823</v>
      </c>
    </row>
    <row r="334" spans="1:3" x14ac:dyDescent="0.25">
      <c r="A334" s="81" t="s">
        <v>282</v>
      </c>
      <c r="B334" s="80" t="s">
        <v>1875</v>
      </c>
      <c r="C334" s="87" t="s">
        <v>823</v>
      </c>
    </row>
    <row r="335" spans="1:3" x14ac:dyDescent="0.25">
      <c r="A335" s="81" t="s">
        <v>282</v>
      </c>
      <c r="B335" s="80" t="s">
        <v>1739</v>
      </c>
      <c r="C335" s="87" t="s">
        <v>823</v>
      </c>
    </row>
    <row r="336" spans="1:3" x14ac:dyDescent="0.25">
      <c r="A336" s="81" t="s">
        <v>268</v>
      </c>
      <c r="B336" s="80" t="s">
        <v>1690</v>
      </c>
      <c r="C336" s="87" t="s">
        <v>850</v>
      </c>
    </row>
    <row r="337" spans="1:3" x14ac:dyDescent="0.25">
      <c r="A337" s="81" t="s">
        <v>268</v>
      </c>
      <c r="B337" s="80" t="s">
        <v>2024</v>
      </c>
      <c r="C337" s="87" t="s">
        <v>850</v>
      </c>
    </row>
    <row r="338" spans="1:3" x14ac:dyDescent="0.25">
      <c r="A338" s="81" t="s">
        <v>268</v>
      </c>
      <c r="B338" s="80" t="s">
        <v>2025</v>
      </c>
      <c r="C338" s="87" t="s">
        <v>850</v>
      </c>
    </row>
    <row r="339" spans="1:3" x14ac:dyDescent="0.25">
      <c r="A339" s="81" t="s">
        <v>268</v>
      </c>
      <c r="B339" s="80" t="s">
        <v>2026</v>
      </c>
      <c r="C339" s="87" t="s">
        <v>850</v>
      </c>
    </row>
    <row r="340" spans="1:3" x14ac:dyDescent="0.25">
      <c r="A340" s="81" t="s">
        <v>268</v>
      </c>
      <c r="B340" s="80" t="s">
        <v>1793</v>
      </c>
      <c r="C340" s="87" t="s">
        <v>850</v>
      </c>
    </row>
    <row r="341" spans="1:3" x14ac:dyDescent="0.25">
      <c r="A341" s="81" t="s">
        <v>268</v>
      </c>
      <c r="B341" s="80" t="s">
        <v>1695</v>
      </c>
      <c r="C341" s="87" t="s">
        <v>850</v>
      </c>
    </row>
    <row r="342" spans="1:3" x14ac:dyDescent="0.25">
      <c r="A342" s="81" t="s">
        <v>268</v>
      </c>
      <c r="B342" s="80" t="s">
        <v>350</v>
      </c>
      <c r="C342" s="87" t="s">
        <v>850</v>
      </c>
    </row>
    <row r="343" spans="1:3" x14ac:dyDescent="0.25">
      <c r="A343" s="81" t="s">
        <v>268</v>
      </c>
      <c r="B343" s="80" t="s">
        <v>1725</v>
      </c>
      <c r="C343" s="87" t="s">
        <v>850</v>
      </c>
    </row>
    <row r="344" spans="1:3" x14ac:dyDescent="0.25">
      <c r="A344" s="81" t="s">
        <v>268</v>
      </c>
      <c r="B344" s="80" t="s">
        <v>1733</v>
      </c>
      <c r="C344" s="87" t="s">
        <v>808</v>
      </c>
    </row>
    <row r="345" spans="1:3" x14ac:dyDescent="0.25">
      <c r="A345" s="81" t="s">
        <v>268</v>
      </c>
      <c r="B345" s="80" t="s">
        <v>1988</v>
      </c>
      <c r="C345" s="87" t="s">
        <v>808</v>
      </c>
    </row>
    <row r="346" spans="1:3" x14ac:dyDescent="0.25">
      <c r="A346" s="81" t="s">
        <v>268</v>
      </c>
      <c r="B346" s="80" t="s">
        <v>1989</v>
      </c>
      <c r="C346" s="87" t="s">
        <v>808</v>
      </c>
    </row>
    <row r="347" spans="1:3" x14ac:dyDescent="0.25">
      <c r="A347" s="81" t="s">
        <v>268</v>
      </c>
      <c r="B347" s="80" t="s">
        <v>1702</v>
      </c>
      <c r="C347" s="87" t="s">
        <v>808</v>
      </c>
    </row>
    <row r="348" spans="1:3" x14ac:dyDescent="0.25">
      <c r="A348" s="81" t="s">
        <v>268</v>
      </c>
      <c r="B348" s="80" t="s">
        <v>275</v>
      </c>
      <c r="C348" s="87" t="s">
        <v>808</v>
      </c>
    </row>
    <row r="349" spans="1:3" x14ac:dyDescent="0.25">
      <c r="A349" s="81" t="s">
        <v>268</v>
      </c>
      <c r="B349" s="80" t="s">
        <v>1650</v>
      </c>
      <c r="C349" s="87" t="s">
        <v>808</v>
      </c>
    </row>
    <row r="350" spans="1:3" x14ac:dyDescent="0.25">
      <c r="A350" s="81" t="s">
        <v>268</v>
      </c>
      <c r="B350" s="80" t="s">
        <v>485</v>
      </c>
      <c r="C350" s="87" t="s">
        <v>808</v>
      </c>
    </row>
    <row r="351" spans="1:3" x14ac:dyDescent="0.25">
      <c r="A351" s="81" t="s">
        <v>268</v>
      </c>
      <c r="B351" s="80" t="s">
        <v>1656</v>
      </c>
      <c r="C351" s="87" t="s">
        <v>808</v>
      </c>
    </row>
    <row r="352" spans="1:3" x14ac:dyDescent="0.25">
      <c r="A352" s="81" t="s">
        <v>268</v>
      </c>
      <c r="B352" s="80" t="s">
        <v>249</v>
      </c>
      <c r="C352" s="87" t="s">
        <v>808</v>
      </c>
    </row>
    <row r="353" spans="1:3" x14ac:dyDescent="0.25">
      <c r="A353" s="81" t="s">
        <v>283</v>
      </c>
      <c r="B353" s="80" t="s">
        <v>1763</v>
      </c>
      <c r="C353" s="87" t="s">
        <v>832</v>
      </c>
    </row>
    <row r="354" spans="1:3" x14ac:dyDescent="0.25">
      <c r="A354" s="81" t="s">
        <v>283</v>
      </c>
      <c r="B354" s="80" t="s">
        <v>1757</v>
      </c>
      <c r="C354" s="87" t="s">
        <v>832</v>
      </c>
    </row>
    <row r="355" spans="1:3" x14ac:dyDescent="0.25">
      <c r="A355" s="81" t="s">
        <v>283</v>
      </c>
      <c r="B355" s="80" t="s">
        <v>1732</v>
      </c>
      <c r="C355" s="87" t="s">
        <v>832</v>
      </c>
    </row>
    <row r="356" spans="1:3" x14ac:dyDescent="0.25">
      <c r="A356" s="81" t="s">
        <v>283</v>
      </c>
      <c r="B356" s="80" t="s">
        <v>1753</v>
      </c>
      <c r="C356" s="87" t="s">
        <v>832</v>
      </c>
    </row>
    <row r="357" spans="1:3" x14ac:dyDescent="0.25">
      <c r="A357" s="81" t="s">
        <v>283</v>
      </c>
      <c r="B357" s="80" t="s">
        <v>1743</v>
      </c>
      <c r="C357" s="87" t="s">
        <v>832</v>
      </c>
    </row>
    <row r="358" spans="1:3" x14ac:dyDescent="0.25">
      <c r="A358" s="81" t="s">
        <v>283</v>
      </c>
      <c r="B358" s="80" t="s">
        <v>1728</v>
      </c>
      <c r="C358" s="87" t="s">
        <v>832</v>
      </c>
    </row>
    <row r="359" spans="1:3" x14ac:dyDescent="0.25">
      <c r="A359" s="81" t="s">
        <v>283</v>
      </c>
      <c r="B359" s="80" t="s">
        <v>1641</v>
      </c>
      <c r="C359" s="87" t="s">
        <v>832</v>
      </c>
    </row>
    <row r="360" spans="1:3" x14ac:dyDescent="0.25">
      <c r="A360" s="81" t="s">
        <v>283</v>
      </c>
      <c r="B360" s="80" t="s">
        <v>1646</v>
      </c>
      <c r="C360" s="87" t="s">
        <v>832</v>
      </c>
    </row>
    <row r="361" spans="1:3" x14ac:dyDescent="0.25">
      <c r="A361" s="81" t="s">
        <v>283</v>
      </c>
      <c r="B361" s="80" t="s">
        <v>1649</v>
      </c>
      <c r="C361" s="87" t="s">
        <v>832</v>
      </c>
    </row>
    <row r="362" spans="1:3" x14ac:dyDescent="0.25">
      <c r="A362" s="81" t="s">
        <v>283</v>
      </c>
      <c r="B362" s="80" t="s">
        <v>1663</v>
      </c>
      <c r="C362" s="87" t="s">
        <v>832</v>
      </c>
    </row>
    <row r="363" spans="1:3" x14ac:dyDescent="0.25">
      <c r="A363" s="81" t="s">
        <v>283</v>
      </c>
      <c r="B363" s="80" t="s">
        <v>268</v>
      </c>
      <c r="C363" s="87" t="s">
        <v>832</v>
      </c>
    </row>
    <row r="364" spans="1:3" x14ac:dyDescent="0.25">
      <c r="A364" s="81" t="s">
        <v>261</v>
      </c>
      <c r="B364" s="80" t="s">
        <v>2027</v>
      </c>
      <c r="C364" s="87" t="s">
        <v>774</v>
      </c>
    </row>
    <row r="365" spans="1:3" x14ac:dyDescent="0.25">
      <c r="A365" s="81" t="s">
        <v>261</v>
      </c>
      <c r="B365" s="80" t="s">
        <v>2028</v>
      </c>
      <c r="C365" s="87" t="s">
        <v>774</v>
      </c>
    </row>
    <row r="366" spans="1:3" x14ac:dyDescent="0.25">
      <c r="A366" s="81" t="s">
        <v>261</v>
      </c>
      <c r="B366" s="80" t="s">
        <v>478</v>
      </c>
      <c r="C366" s="87" t="s">
        <v>774</v>
      </c>
    </row>
    <row r="367" spans="1:3" x14ac:dyDescent="0.25">
      <c r="A367" s="81" t="s">
        <v>261</v>
      </c>
      <c r="B367" s="80" t="s">
        <v>2029</v>
      </c>
      <c r="C367" s="87" t="s">
        <v>774</v>
      </c>
    </row>
    <row r="368" spans="1:3" x14ac:dyDescent="0.25">
      <c r="A368" s="81" t="s">
        <v>261</v>
      </c>
      <c r="B368" s="80" t="s">
        <v>2030</v>
      </c>
      <c r="C368" s="87" t="s">
        <v>774</v>
      </c>
    </row>
    <row r="369" spans="1:3" x14ac:dyDescent="0.25">
      <c r="A369" s="81" t="s">
        <v>261</v>
      </c>
      <c r="B369" s="80" t="s">
        <v>2031</v>
      </c>
      <c r="C369" s="87" t="s">
        <v>774</v>
      </c>
    </row>
    <row r="370" spans="1:3" x14ac:dyDescent="0.25">
      <c r="A370" s="81" t="s">
        <v>261</v>
      </c>
      <c r="B370" s="80" t="s">
        <v>2032</v>
      </c>
      <c r="C370" s="87" t="s">
        <v>774</v>
      </c>
    </row>
    <row r="371" spans="1:3" x14ac:dyDescent="0.25">
      <c r="A371" s="81" t="s">
        <v>261</v>
      </c>
      <c r="B371" s="80" t="s">
        <v>2033</v>
      </c>
      <c r="C371" s="87" t="s">
        <v>774</v>
      </c>
    </row>
    <row r="372" spans="1:3" x14ac:dyDescent="0.25">
      <c r="A372" s="81" t="s">
        <v>261</v>
      </c>
      <c r="B372" s="80" t="s">
        <v>2034</v>
      </c>
      <c r="C372" s="87" t="s">
        <v>774</v>
      </c>
    </row>
    <row r="373" spans="1:3" x14ac:dyDescent="0.25">
      <c r="A373" s="81" t="s">
        <v>261</v>
      </c>
      <c r="B373" s="80" t="s">
        <v>2035</v>
      </c>
      <c r="C373" s="87" t="s">
        <v>774</v>
      </c>
    </row>
    <row r="374" spans="1:3" x14ac:dyDescent="0.25">
      <c r="A374" s="81" t="s">
        <v>261</v>
      </c>
      <c r="B374" s="80" t="s">
        <v>1726</v>
      </c>
      <c r="C374" s="87" t="s">
        <v>774</v>
      </c>
    </row>
    <row r="375" spans="1:3" x14ac:dyDescent="0.25">
      <c r="A375" s="81" t="s">
        <v>268</v>
      </c>
      <c r="B375" s="80" t="s">
        <v>2036</v>
      </c>
      <c r="C375" s="87" t="s">
        <v>825</v>
      </c>
    </row>
    <row r="376" spans="1:3" x14ac:dyDescent="0.25">
      <c r="A376" s="81" t="s">
        <v>268</v>
      </c>
      <c r="B376" s="80" t="s">
        <v>1658</v>
      </c>
      <c r="C376" s="87" t="s">
        <v>825</v>
      </c>
    </row>
    <row r="377" spans="1:3" x14ac:dyDescent="0.25">
      <c r="A377" s="81" t="s">
        <v>268</v>
      </c>
      <c r="B377" s="80" t="s">
        <v>1809</v>
      </c>
      <c r="C377" s="87" t="s">
        <v>825</v>
      </c>
    </row>
    <row r="378" spans="1:3" x14ac:dyDescent="0.25">
      <c r="A378" s="81" t="s">
        <v>268</v>
      </c>
      <c r="B378" s="80" t="s">
        <v>2037</v>
      </c>
      <c r="C378" s="87" t="s">
        <v>825</v>
      </c>
    </row>
    <row r="379" spans="1:3" x14ac:dyDescent="0.25">
      <c r="A379" s="81" t="s">
        <v>268</v>
      </c>
      <c r="B379" s="80" t="s">
        <v>2038</v>
      </c>
      <c r="C379" s="87" t="s">
        <v>825</v>
      </c>
    </row>
    <row r="380" spans="1:3" x14ac:dyDescent="0.25">
      <c r="A380" s="81" t="s">
        <v>268</v>
      </c>
      <c r="B380" s="80" t="s">
        <v>1660</v>
      </c>
      <c r="C380" s="87" t="s">
        <v>825</v>
      </c>
    </row>
    <row r="381" spans="1:3" x14ac:dyDescent="0.25">
      <c r="A381" s="81" t="s">
        <v>268</v>
      </c>
      <c r="B381" s="80" t="s">
        <v>1887</v>
      </c>
      <c r="C381" s="87" t="s">
        <v>825</v>
      </c>
    </row>
    <row r="382" spans="1:3" x14ac:dyDescent="0.25">
      <c r="A382" s="81" t="s">
        <v>268</v>
      </c>
      <c r="B382" s="80" t="s">
        <v>1651</v>
      </c>
      <c r="C382" s="87" t="s">
        <v>825</v>
      </c>
    </row>
    <row r="383" spans="1:3" x14ac:dyDescent="0.25">
      <c r="A383" s="81" t="s">
        <v>268</v>
      </c>
      <c r="B383" s="80" t="s">
        <v>2039</v>
      </c>
      <c r="C383" s="87" t="s">
        <v>825</v>
      </c>
    </row>
    <row r="384" spans="1:3" x14ac:dyDescent="0.25">
      <c r="A384" s="81" t="s">
        <v>268</v>
      </c>
      <c r="B384" s="80" t="s">
        <v>2040</v>
      </c>
      <c r="C384" s="87" t="s">
        <v>825</v>
      </c>
    </row>
    <row r="385" spans="1:3" x14ac:dyDescent="0.25">
      <c r="A385" s="81" t="s">
        <v>268</v>
      </c>
      <c r="B385" s="80" t="s">
        <v>2041</v>
      </c>
      <c r="C385" s="87" t="s">
        <v>825</v>
      </c>
    </row>
    <row r="386" spans="1:3" x14ac:dyDescent="0.25">
      <c r="A386" s="81" t="s">
        <v>268</v>
      </c>
      <c r="B386" s="80" t="s">
        <v>1653</v>
      </c>
      <c r="C386" s="87" t="s">
        <v>825</v>
      </c>
    </row>
    <row r="387" spans="1:3" x14ac:dyDescent="0.25">
      <c r="A387" s="81" t="s">
        <v>268</v>
      </c>
      <c r="B387" s="80" t="s">
        <v>2042</v>
      </c>
      <c r="C387" s="87" t="s">
        <v>825</v>
      </c>
    </row>
    <row r="388" spans="1:3" x14ac:dyDescent="0.25">
      <c r="A388" s="81" t="s">
        <v>268</v>
      </c>
      <c r="B388" s="80" t="s">
        <v>336</v>
      </c>
      <c r="C388" s="87" t="s">
        <v>825</v>
      </c>
    </row>
    <row r="389" spans="1:3" x14ac:dyDescent="0.25">
      <c r="A389" s="81" t="s">
        <v>268</v>
      </c>
      <c r="B389" s="80" t="s">
        <v>1783</v>
      </c>
      <c r="C389" s="87" t="s">
        <v>825</v>
      </c>
    </row>
    <row r="390" spans="1:3" x14ac:dyDescent="0.25">
      <c r="A390" s="81" t="s">
        <v>268</v>
      </c>
      <c r="B390" s="80" t="s">
        <v>2043</v>
      </c>
      <c r="C390" s="87" t="s">
        <v>825</v>
      </c>
    </row>
    <row r="391" spans="1:3" x14ac:dyDescent="0.25">
      <c r="A391" s="81" t="s">
        <v>268</v>
      </c>
      <c r="B391" s="80" t="s">
        <v>1806</v>
      </c>
      <c r="C391" s="87" t="s">
        <v>825</v>
      </c>
    </row>
    <row r="392" spans="1:3" x14ac:dyDescent="0.25">
      <c r="A392" s="81" t="s">
        <v>268</v>
      </c>
      <c r="B392" s="80" t="s">
        <v>1805</v>
      </c>
      <c r="C392" s="87" t="s">
        <v>825</v>
      </c>
    </row>
    <row r="393" spans="1:3" x14ac:dyDescent="0.25">
      <c r="A393" s="81" t="s">
        <v>268</v>
      </c>
      <c r="B393" s="80" t="s">
        <v>268</v>
      </c>
      <c r="C393" s="87" t="s">
        <v>825</v>
      </c>
    </row>
    <row r="394" spans="1:3" x14ac:dyDescent="0.25">
      <c r="A394" s="81" t="s">
        <v>268</v>
      </c>
      <c r="B394" s="80" t="s">
        <v>2044</v>
      </c>
      <c r="C394" s="87" t="s">
        <v>825</v>
      </c>
    </row>
    <row r="395" spans="1:3" x14ac:dyDescent="0.25">
      <c r="A395" s="81" t="s">
        <v>268</v>
      </c>
      <c r="B395" s="80" t="s">
        <v>2045</v>
      </c>
      <c r="C395" s="87" t="s">
        <v>825</v>
      </c>
    </row>
    <row r="396" spans="1:3" x14ac:dyDescent="0.25">
      <c r="A396" s="81" t="s">
        <v>268</v>
      </c>
      <c r="B396" s="80" t="s">
        <v>2046</v>
      </c>
      <c r="C396" s="87" t="s">
        <v>825</v>
      </c>
    </row>
    <row r="397" spans="1:3" x14ac:dyDescent="0.25">
      <c r="A397" s="81" t="s">
        <v>268</v>
      </c>
      <c r="B397" s="80" t="s">
        <v>2047</v>
      </c>
      <c r="C397" s="87" t="s">
        <v>825</v>
      </c>
    </row>
    <row r="398" spans="1:3" x14ac:dyDescent="0.25">
      <c r="A398" s="81" t="s">
        <v>268</v>
      </c>
      <c r="B398" s="80" t="s">
        <v>1929</v>
      </c>
      <c r="C398" s="87" t="s">
        <v>847</v>
      </c>
    </row>
    <row r="399" spans="1:3" x14ac:dyDescent="0.25">
      <c r="A399" s="81" t="s">
        <v>268</v>
      </c>
      <c r="B399" s="80" t="s">
        <v>1801</v>
      </c>
      <c r="C399" s="87" t="s">
        <v>847</v>
      </c>
    </row>
    <row r="400" spans="1:3" x14ac:dyDescent="0.25">
      <c r="A400" s="81" t="s">
        <v>268</v>
      </c>
      <c r="B400" s="80" t="s">
        <v>1797</v>
      </c>
      <c r="C400" s="87" t="s">
        <v>847</v>
      </c>
    </row>
    <row r="401" spans="1:3" x14ac:dyDescent="0.25">
      <c r="A401" s="81" t="s">
        <v>268</v>
      </c>
      <c r="B401" s="80" t="s">
        <v>1810</v>
      </c>
      <c r="C401" s="87" t="s">
        <v>847</v>
      </c>
    </row>
    <row r="402" spans="1:3" x14ac:dyDescent="0.25">
      <c r="A402" s="81" t="s">
        <v>268</v>
      </c>
      <c r="B402" s="80" t="s">
        <v>1699</v>
      </c>
      <c r="C402" s="87" t="s">
        <v>847</v>
      </c>
    </row>
    <row r="403" spans="1:3" x14ac:dyDescent="0.25">
      <c r="A403" s="81" t="s">
        <v>268</v>
      </c>
      <c r="B403" s="80" t="s">
        <v>488</v>
      </c>
      <c r="C403" s="87" t="s">
        <v>847</v>
      </c>
    </row>
    <row r="404" spans="1:3" x14ac:dyDescent="0.25">
      <c r="A404" s="81" t="s">
        <v>268</v>
      </c>
      <c r="B404" s="80" t="s">
        <v>1740</v>
      </c>
      <c r="C404" s="87" t="s">
        <v>847</v>
      </c>
    </row>
    <row r="405" spans="1:3" x14ac:dyDescent="0.25">
      <c r="A405" s="81" t="s">
        <v>268</v>
      </c>
      <c r="B405" s="80" t="s">
        <v>1777</v>
      </c>
      <c r="C405" s="87" t="s">
        <v>847</v>
      </c>
    </row>
    <row r="406" spans="1:3" x14ac:dyDescent="0.25">
      <c r="A406" s="81" t="s">
        <v>268</v>
      </c>
      <c r="B406" s="80" t="s">
        <v>1796</v>
      </c>
      <c r="C406" s="87" t="s">
        <v>847</v>
      </c>
    </row>
    <row r="407" spans="1:3" x14ac:dyDescent="0.25">
      <c r="A407" s="81" t="s">
        <v>268</v>
      </c>
      <c r="B407" s="80" t="s">
        <v>1788</v>
      </c>
      <c r="C407" s="87" t="s">
        <v>847</v>
      </c>
    </row>
    <row r="408" spans="1:3" x14ac:dyDescent="0.25">
      <c r="A408" s="81" t="s">
        <v>268</v>
      </c>
      <c r="B408" s="80" t="s">
        <v>249</v>
      </c>
      <c r="C408" s="87" t="s">
        <v>847</v>
      </c>
    </row>
    <row r="409" spans="1:3" x14ac:dyDescent="0.25">
      <c r="A409" s="81" t="s">
        <v>251</v>
      </c>
      <c r="B409" s="80" t="s">
        <v>2048</v>
      </c>
      <c r="C409" s="87" t="s">
        <v>756</v>
      </c>
    </row>
    <row r="410" spans="1:3" x14ac:dyDescent="0.25">
      <c r="A410" s="81" t="s">
        <v>251</v>
      </c>
      <c r="B410" s="80" t="s">
        <v>2049</v>
      </c>
      <c r="C410" s="87" t="s">
        <v>756</v>
      </c>
    </row>
    <row r="411" spans="1:3" x14ac:dyDescent="0.25">
      <c r="A411" s="81" t="s">
        <v>251</v>
      </c>
      <c r="B411" s="80" t="s">
        <v>2050</v>
      </c>
      <c r="C411" s="87" t="s">
        <v>756</v>
      </c>
    </row>
    <row r="412" spans="1:3" x14ac:dyDescent="0.25">
      <c r="A412" s="81" t="s">
        <v>251</v>
      </c>
      <c r="B412" s="80" t="s">
        <v>2051</v>
      </c>
      <c r="C412" s="87" t="s">
        <v>756</v>
      </c>
    </row>
    <row r="413" spans="1:3" x14ac:dyDescent="0.25">
      <c r="A413" s="81" t="s">
        <v>251</v>
      </c>
      <c r="B413" s="80" t="s">
        <v>2052</v>
      </c>
      <c r="C413" s="87" t="s">
        <v>756</v>
      </c>
    </row>
    <row r="414" spans="1:3" x14ac:dyDescent="0.25">
      <c r="A414" s="81" t="s">
        <v>251</v>
      </c>
      <c r="B414" s="80" t="s">
        <v>2053</v>
      </c>
      <c r="C414" s="87" t="s">
        <v>756</v>
      </c>
    </row>
    <row r="415" spans="1:3" x14ac:dyDescent="0.25">
      <c r="A415" s="81" t="s">
        <v>251</v>
      </c>
      <c r="B415" s="80" t="s">
        <v>2054</v>
      </c>
      <c r="C415" s="87" t="s">
        <v>756</v>
      </c>
    </row>
    <row r="416" spans="1:3" x14ac:dyDescent="0.25">
      <c r="A416" s="81" t="s">
        <v>251</v>
      </c>
      <c r="B416" s="80" t="s">
        <v>2055</v>
      </c>
      <c r="C416" s="87" t="s">
        <v>756</v>
      </c>
    </row>
    <row r="417" spans="1:3" x14ac:dyDescent="0.25">
      <c r="A417" s="81" t="s">
        <v>251</v>
      </c>
      <c r="B417" s="80" t="s">
        <v>268</v>
      </c>
      <c r="C417" s="87" t="s">
        <v>756</v>
      </c>
    </row>
    <row r="418" spans="1:3" x14ac:dyDescent="0.25">
      <c r="A418" s="81" t="s">
        <v>251</v>
      </c>
      <c r="B418" s="80" t="s">
        <v>1790</v>
      </c>
      <c r="C418" s="87" t="s">
        <v>756</v>
      </c>
    </row>
    <row r="419" spans="1:3" x14ac:dyDescent="0.25">
      <c r="A419" s="81" t="s">
        <v>251</v>
      </c>
      <c r="B419" s="80" t="s">
        <v>2056</v>
      </c>
      <c r="C419" s="87" t="s">
        <v>756</v>
      </c>
    </row>
    <row r="420" spans="1:3" x14ac:dyDescent="0.25">
      <c r="A420" s="81" t="s">
        <v>251</v>
      </c>
      <c r="B420" s="80" t="s">
        <v>1791</v>
      </c>
      <c r="C420" s="87" t="s">
        <v>756</v>
      </c>
    </row>
    <row r="421" spans="1:3" x14ac:dyDescent="0.25">
      <c r="A421" s="81" t="s">
        <v>251</v>
      </c>
      <c r="B421" s="80" t="s">
        <v>472</v>
      </c>
      <c r="C421" s="87" t="s">
        <v>756</v>
      </c>
    </row>
    <row r="422" spans="1:3" x14ac:dyDescent="0.25">
      <c r="A422" s="81" t="s">
        <v>251</v>
      </c>
      <c r="B422" s="80" t="s">
        <v>2057</v>
      </c>
      <c r="C422" s="87" t="s">
        <v>756</v>
      </c>
    </row>
    <row r="423" spans="1:3" x14ac:dyDescent="0.25">
      <c r="A423" s="81" t="s">
        <v>251</v>
      </c>
      <c r="B423" s="80" t="s">
        <v>1848</v>
      </c>
      <c r="C423" s="87" t="s">
        <v>756</v>
      </c>
    </row>
    <row r="424" spans="1:3" x14ac:dyDescent="0.25">
      <c r="A424" s="81" t="s">
        <v>251</v>
      </c>
      <c r="B424" s="80" t="s">
        <v>1640</v>
      </c>
      <c r="C424" s="87" t="s">
        <v>756</v>
      </c>
    </row>
    <row r="425" spans="1:3" x14ac:dyDescent="0.25">
      <c r="A425" s="81" t="s">
        <v>251</v>
      </c>
      <c r="B425" s="80" t="s">
        <v>1787</v>
      </c>
      <c r="C425" s="87" t="s">
        <v>756</v>
      </c>
    </row>
    <row r="426" spans="1:3" x14ac:dyDescent="0.25">
      <c r="A426" s="81" t="s">
        <v>251</v>
      </c>
      <c r="B426" s="80" t="s">
        <v>494</v>
      </c>
      <c r="C426" s="87" t="s">
        <v>756</v>
      </c>
    </row>
    <row r="427" spans="1:3" x14ac:dyDescent="0.25">
      <c r="A427" s="81" t="s">
        <v>256</v>
      </c>
      <c r="B427" s="80" t="s">
        <v>1713</v>
      </c>
      <c r="C427" s="87" t="s">
        <v>762</v>
      </c>
    </row>
    <row r="428" spans="1:3" x14ac:dyDescent="0.25">
      <c r="A428" s="81" t="s">
        <v>256</v>
      </c>
      <c r="B428" s="80" t="s">
        <v>1670</v>
      </c>
      <c r="C428" s="87" t="s">
        <v>762</v>
      </c>
    </row>
    <row r="429" spans="1:3" x14ac:dyDescent="0.25">
      <c r="A429" s="81" t="s">
        <v>256</v>
      </c>
      <c r="B429" s="80" t="s">
        <v>312</v>
      </c>
      <c r="C429" s="87" t="s">
        <v>762</v>
      </c>
    </row>
    <row r="430" spans="1:3" x14ac:dyDescent="0.25">
      <c r="A430" s="81" t="s">
        <v>256</v>
      </c>
      <c r="B430" s="80" t="s">
        <v>1694</v>
      </c>
      <c r="C430" s="87" t="s">
        <v>762</v>
      </c>
    </row>
    <row r="431" spans="1:3" x14ac:dyDescent="0.25">
      <c r="A431" s="81" t="s">
        <v>256</v>
      </c>
      <c r="B431" s="80" t="s">
        <v>1652</v>
      </c>
      <c r="C431" s="87" t="s">
        <v>762</v>
      </c>
    </row>
    <row r="432" spans="1:3" x14ac:dyDescent="0.25">
      <c r="A432" s="81" t="s">
        <v>256</v>
      </c>
      <c r="B432" s="80" t="s">
        <v>1675</v>
      </c>
      <c r="C432" s="87" t="s">
        <v>762</v>
      </c>
    </row>
    <row r="433" spans="1:3" x14ac:dyDescent="0.25">
      <c r="A433" s="81" t="s">
        <v>256</v>
      </c>
      <c r="B433" s="80" t="s">
        <v>1687</v>
      </c>
      <c r="C433" s="87" t="s">
        <v>762</v>
      </c>
    </row>
    <row r="434" spans="1:3" x14ac:dyDescent="0.25">
      <c r="A434" s="81" t="s">
        <v>256</v>
      </c>
      <c r="B434" s="80" t="s">
        <v>1642</v>
      </c>
      <c r="C434" s="87" t="s">
        <v>762</v>
      </c>
    </row>
    <row r="435" spans="1:3" x14ac:dyDescent="0.25">
      <c r="A435" s="81" t="s">
        <v>256</v>
      </c>
      <c r="B435" s="80" t="s">
        <v>1643</v>
      </c>
      <c r="C435" s="87" t="s">
        <v>762</v>
      </c>
    </row>
    <row r="436" spans="1:3" x14ac:dyDescent="0.25">
      <c r="A436" s="81" t="s">
        <v>256</v>
      </c>
      <c r="B436" s="80" t="s">
        <v>252</v>
      </c>
      <c r="C436" s="87" t="s">
        <v>762</v>
      </c>
    </row>
    <row r="437" spans="1:3" x14ac:dyDescent="0.25">
      <c r="A437" s="81" t="s">
        <v>252</v>
      </c>
      <c r="B437" s="80" t="s">
        <v>474</v>
      </c>
      <c r="C437" s="87" t="s">
        <v>858</v>
      </c>
    </row>
    <row r="438" spans="1:3" x14ac:dyDescent="0.25">
      <c r="A438" s="81" t="s">
        <v>252</v>
      </c>
      <c r="B438" s="80" t="s">
        <v>268</v>
      </c>
      <c r="C438" s="87" t="s">
        <v>858</v>
      </c>
    </row>
    <row r="439" spans="1:3" x14ac:dyDescent="0.25">
      <c r="A439" s="81" t="s">
        <v>252</v>
      </c>
      <c r="B439" s="80" t="s">
        <v>1652</v>
      </c>
      <c r="C439" s="87" t="s">
        <v>858</v>
      </c>
    </row>
    <row r="440" spans="1:3" x14ac:dyDescent="0.25">
      <c r="A440" s="81" t="s">
        <v>252</v>
      </c>
      <c r="B440" s="80" t="s">
        <v>1640</v>
      </c>
      <c r="C440" s="87" t="s">
        <v>858</v>
      </c>
    </row>
    <row r="441" spans="1:3" x14ac:dyDescent="0.25">
      <c r="A441" s="81" t="s">
        <v>252</v>
      </c>
      <c r="B441" s="80" t="s">
        <v>1692</v>
      </c>
      <c r="C441" s="87" t="s">
        <v>858</v>
      </c>
    </row>
    <row r="442" spans="1:3" x14ac:dyDescent="0.25">
      <c r="A442" s="81" t="s">
        <v>252</v>
      </c>
      <c r="B442" s="80" t="s">
        <v>1456</v>
      </c>
      <c r="C442" s="87" t="s">
        <v>858</v>
      </c>
    </row>
    <row r="443" spans="1:3" x14ac:dyDescent="0.25">
      <c r="A443" s="81" t="s">
        <v>281</v>
      </c>
      <c r="B443" s="80" t="s">
        <v>268</v>
      </c>
      <c r="C443" s="87" t="s">
        <v>822</v>
      </c>
    </row>
    <row r="444" spans="1:3" x14ac:dyDescent="0.25">
      <c r="A444" s="81" t="s">
        <v>281</v>
      </c>
      <c r="B444" s="80" t="s">
        <v>322</v>
      </c>
      <c r="C444" s="87" t="s">
        <v>822</v>
      </c>
    </row>
    <row r="445" spans="1:3" x14ac:dyDescent="0.25">
      <c r="A445" s="81" t="s">
        <v>281</v>
      </c>
      <c r="B445" s="80" t="s">
        <v>294</v>
      </c>
      <c r="C445" s="87" t="s">
        <v>822</v>
      </c>
    </row>
    <row r="446" spans="1:3" x14ac:dyDescent="0.25">
      <c r="A446" s="81" t="s">
        <v>281</v>
      </c>
      <c r="B446" s="80" t="s">
        <v>2058</v>
      </c>
      <c r="C446" s="87" t="s">
        <v>822</v>
      </c>
    </row>
    <row r="447" spans="1:3" x14ac:dyDescent="0.25">
      <c r="A447" s="81" t="s">
        <v>281</v>
      </c>
      <c r="B447" s="80" t="s">
        <v>2059</v>
      </c>
      <c r="C447" s="87" t="s">
        <v>822</v>
      </c>
    </row>
    <row r="448" spans="1:3" x14ac:dyDescent="0.25">
      <c r="A448" s="81" t="s">
        <v>281</v>
      </c>
      <c r="B448" s="80" t="s">
        <v>2060</v>
      </c>
      <c r="C448" s="87" t="s">
        <v>822</v>
      </c>
    </row>
    <row r="449" spans="1:3" x14ac:dyDescent="0.25">
      <c r="A449" s="81" t="s">
        <v>281</v>
      </c>
      <c r="B449" s="80" t="s">
        <v>2061</v>
      </c>
      <c r="C449" s="87" t="s">
        <v>822</v>
      </c>
    </row>
    <row r="450" spans="1:3" x14ac:dyDescent="0.25">
      <c r="A450" s="81" t="s">
        <v>281</v>
      </c>
      <c r="B450" s="80" t="s">
        <v>249</v>
      </c>
      <c r="C450" s="87" t="s">
        <v>822</v>
      </c>
    </row>
    <row r="451" spans="1:3" x14ac:dyDescent="0.25">
      <c r="A451" s="81" t="s">
        <v>281</v>
      </c>
      <c r="B451" s="80" t="s">
        <v>2062</v>
      </c>
      <c r="C451" s="87" t="s">
        <v>822</v>
      </c>
    </row>
    <row r="452" spans="1:3" x14ac:dyDescent="0.25">
      <c r="A452" s="81" t="s">
        <v>281</v>
      </c>
      <c r="B452" s="80" t="s">
        <v>2063</v>
      </c>
      <c r="C452" s="87" t="s">
        <v>822</v>
      </c>
    </row>
    <row r="453" spans="1:3" x14ac:dyDescent="0.25">
      <c r="A453" s="81" t="s">
        <v>281</v>
      </c>
      <c r="B453" s="80" t="s">
        <v>2064</v>
      </c>
      <c r="C453" s="87" t="s">
        <v>822</v>
      </c>
    </row>
    <row r="454" spans="1:3" x14ac:dyDescent="0.25">
      <c r="A454" s="81" t="s">
        <v>281</v>
      </c>
      <c r="B454" s="80" t="s">
        <v>2065</v>
      </c>
      <c r="C454" s="87" t="s">
        <v>822</v>
      </c>
    </row>
    <row r="455" spans="1:3" x14ac:dyDescent="0.25">
      <c r="A455" s="81" t="s">
        <v>281</v>
      </c>
      <c r="B455" s="80" t="s">
        <v>1756</v>
      </c>
      <c r="C455" s="87" t="s">
        <v>822</v>
      </c>
    </row>
    <row r="456" spans="1:3" x14ac:dyDescent="0.25">
      <c r="A456" s="81" t="s">
        <v>281</v>
      </c>
      <c r="B456" s="80" t="s">
        <v>1925</v>
      </c>
      <c r="C456" s="87" t="s">
        <v>822</v>
      </c>
    </row>
    <row r="457" spans="1:3" x14ac:dyDescent="0.25">
      <c r="A457" s="81" t="s">
        <v>281</v>
      </c>
      <c r="B457" s="80" t="s">
        <v>1770</v>
      </c>
      <c r="C457" s="87" t="s">
        <v>822</v>
      </c>
    </row>
    <row r="458" spans="1:3" x14ac:dyDescent="0.25">
      <c r="A458" s="81" t="s">
        <v>281</v>
      </c>
      <c r="B458" s="80" t="s">
        <v>1842</v>
      </c>
      <c r="C458" s="87" t="s">
        <v>822</v>
      </c>
    </row>
    <row r="459" spans="1:3" x14ac:dyDescent="0.25">
      <c r="A459" s="81" t="s">
        <v>281</v>
      </c>
      <c r="B459" s="80" t="s">
        <v>1897</v>
      </c>
      <c r="C459" s="87" t="s">
        <v>822</v>
      </c>
    </row>
    <row r="460" spans="1:3" x14ac:dyDescent="0.25">
      <c r="A460" s="81" t="s">
        <v>281</v>
      </c>
      <c r="B460" s="80" t="s">
        <v>1876</v>
      </c>
      <c r="C460" s="87" t="s">
        <v>822</v>
      </c>
    </row>
    <row r="461" spans="1:3" x14ac:dyDescent="0.25">
      <c r="A461" s="81" t="s">
        <v>281</v>
      </c>
      <c r="B461" s="80" t="s">
        <v>1904</v>
      </c>
      <c r="C461" s="87" t="s">
        <v>822</v>
      </c>
    </row>
    <row r="462" spans="1:3" x14ac:dyDescent="0.25">
      <c r="A462" s="81" t="s">
        <v>281</v>
      </c>
      <c r="B462" s="80" t="s">
        <v>1782</v>
      </c>
      <c r="C462" s="87" t="s">
        <v>822</v>
      </c>
    </row>
    <row r="463" spans="1:3" x14ac:dyDescent="0.25">
      <c r="A463" s="81" t="s">
        <v>281</v>
      </c>
      <c r="B463" s="80" t="s">
        <v>491</v>
      </c>
      <c r="C463" s="87" t="s">
        <v>822</v>
      </c>
    </row>
    <row r="464" spans="1:3" x14ac:dyDescent="0.25">
      <c r="A464" s="81" t="s">
        <v>267</v>
      </c>
      <c r="B464" s="80" t="s">
        <v>1735</v>
      </c>
      <c r="C464" s="87" t="s">
        <v>782</v>
      </c>
    </row>
    <row r="465" spans="1:3" x14ac:dyDescent="0.25">
      <c r="A465" s="81" t="s">
        <v>267</v>
      </c>
      <c r="B465" s="80" t="s">
        <v>1673</v>
      </c>
      <c r="C465" s="87" t="s">
        <v>782</v>
      </c>
    </row>
    <row r="466" spans="1:3" x14ac:dyDescent="0.25">
      <c r="A466" s="81" t="s">
        <v>267</v>
      </c>
      <c r="B466" s="80" t="s">
        <v>1849</v>
      </c>
      <c r="C466" s="87" t="s">
        <v>782</v>
      </c>
    </row>
    <row r="467" spans="1:3" x14ac:dyDescent="0.25">
      <c r="A467" s="81" t="s">
        <v>267</v>
      </c>
      <c r="B467" s="80" t="s">
        <v>1933</v>
      </c>
      <c r="C467" s="87" t="s">
        <v>782</v>
      </c>
    </row>
    <row r="468" spans="1:3" x14ac:dyDescent="0.25">
      <c r="A468" s="81" t="s">
        <v>267</v>
      </c>
      <c r="B468" s="80" t="s">
        <v>1767</v>
      </c>
      <c r="C468" s="87" t="s">
        <v>782</v>
      </c>
    </row>
    <row r="469" spans="1:3" x14ac:dyDescent="0.25">
      <c r="A469" s="81" t="s">
        <v>267</v>
      </c>
      <c r="B469" s="80" t="s">
        <v>1831</v>
      </c>
      <c r="C469" s="87" t="s">
        <v>782</v>
      </c>
    </row>
    <row r="470" spans="1:3" x14ac:dyDescent="0.25">
      <c r="A470" s="81" t="s">
        <v>267</v>
      </c>
      <c r="B470" s="80" t="s">
        <v>1850</v>
      </c>
      <c r="C470" s="87" t="s">
        <v>782</v>
      </c>
    </row>
    <row r="471" spans="1:3" x14ac:dyDescent="0.25">
      <c r="A471" s="81" t="s">
        <v>267</v>
      </c>
      <c r="B471" s="80" t="s">
        <v>1907</v>
      </c>
      <c r="C471" s="87" t="s">
        <v>782</v>
      </c>
    </row>
    <row r="472" spans="1:3" x14ac:dyDescent="0.25">
      <c r="A472" s="81" t="s">
        <v>267</v>
      </c>
      <c r="B472" s="80" t="s">
        <v>1674</v>
      </c>
      <c r="C472" s="87" t="s">
        <v>782</v>
      </c>
    </row>
    <row r="473" spans="1:3" x14ac:dyDescent="0.25">
      <c r="A473" s="81" t="s">
        <v>267</v>
      </c>
      <c r="B473" s="80" t="s">
        <v>1888</v>
      </c>
      <c r="C473" s="87" t="s">
        <v>782</v>
      </c>
    </row>
    <row r="474" spans="1:3" x14ac:dyDescent="0.25">
      <c r="A474" s="81" t="s">
        <v>267</v>
      </c>
      <c r="B474" s="80" t="s">
        <v>1666</v>
      </c>
      <c r="C474" s="87" t="s">
        <v>782</v>
      </c>
    </row>
    <row r="475" spans="1:3" x14ac:dyDescent="0.25">
      <c r="A475" s="81" t="s">
        <v>267</v>
      </c>
      <c r="B475" s="80" t="s">
        <v>1895</v>
      </c>
      <c r="C475" s="87" t="s">
        <v>782</v>
      </c>
    </row>
    <row r="476" spans="1:3" x14ac:dyDescent="0.25">
      <c r="A476" s="81" t="s">
        <v>267</v>
      </c>
      <c r="B476" s="80" t="s">
        <v>1712</v>
      </c>
      <c r="C476" s="87" t="s">
        <v>782</v>
      </c>
    </row>
    <row r="477" spans="1:3" x14ac:dyDescent="0.25">
      <c r="A477" s="81" t="s">
        <v>268</v>
      </c>
      <c r="B477" s="80" t="s">
        <v>1705</v>
      </c>
      <c r="C477" s="87" t="s">
        <v>807</v>
      </c>
    </row>
    <row r="478" spans="1:3" x14ac:dyDescent="0.25">
      <c r="A478" s="81" t="s">
        <v>268</v>
      </c>
      <c r="B478" s="80" t="s">
        <v>1738</v>
      </c>
      <c r="C478" s="87" t="s">
        <v>807</v>
      </c>
    </row>
    <row r="479" spans="1:3" x14ac:dyDescent="0.25">
      <c r="A479" s="81" t="s">
        <v>268</v>
      </c>
      <c r="B479" s="80" t="s">
        <v>1802</v>
      </c>
      <c r="C479" s="87" t="s">
        <v>807</v>
      </c>
    </row>
    <row r="480" spans="1:3" x14ac:dyDescent="0.25">
      <c r="A480" s="81" t="s">
        <v>268</v>
      </c>
      <c r="B480" s="80" t="s">
        <v>1737</v>
      </c>
      <c r="C480" s="87" t="s">
        <v>807</v>
      </c>
    </row>
    <row r="481" spans="1:3" x14ac:dyDescent="0.25">
      <c r="A481" s="81" t="s">
        <v>268</v>
      </c>
      <c r="B481" s="80" t="s">
        <v>275</v>
      </c>
      <c r="C481" s="87" t="s">
        <v>807</v>
      </c>
    </row>
    <row r="482" spans="1:3" x14ac:dyDescent="0.25">
      <c r="A482" s="81" t="s">
        <v>268</v>
      </c>
      <c r="B482" s="80" t="s">
        <v>1650</v>
      </c>
      <c r="C482" s="87" t="s">
        <v>807</v>
      </c>
    </row>
    <row r="483" spans="1:3" x14ac:dyDescent="0.25">
      <c r="A483" s="81" t="s">
        <v>268</v>
      </c>
      <c r="B483" s="80" t="s">
        <v>485</v>
      </c>
      <c r="C483" s="87" t="s">
        <v>807</v>
      </c>
    </row>
    <row r="484" spans="1:3" x14ac:dyDescent="0.25">
      <c r="A484" s="81" t="s">
        <v>268</v>
      </c>
      <c r="B484" s="80" t="s">
        <v>249</v>
      </c>
      <c r="C484" s="87" t="s">
        <v>807</v>
      </c>
    </row>
    <row r="485" spans="1:3" x14ac:dyDescent="0.25">
      <c r="A485" s="81" t="s">
        <v>247</v>
      </c>
      <c r="B485" s="80" t="s">
        <v>1713</v>
      </c>
      <c r="C485" s="87" t="s">
        <v>751</v>
      </c>
    </row>
    <row r="486" spans="1:3" x14ac:dyDescent="0.25">
      <c r="A486" s="81" t="s">
        <v>247</v>
      </c>
      <c r="B486" s="80" t="s">
        <v>1670</v>
      </c>
      <c r="C486" s="87" t="s">
        <v>751</v>
      </c>
    </row>
    <row r="487" spans="1:3" x14ac:dyDescent="0.25">
      <c r="A487" s="81" t="s">
        <v>247</v>
      </c>
      <c r="B487" s="80" t="s">
        <v>312</v>
      </c>
      <c r="C487" s="87" t="s">
        <v>751</v>
      </c>
    </row>
    <row r="488" spans="1:3" x14ac:dyDescent="0.25">
      <c r="A488" s="81" t="s">
        <v>247</v>
      </c>
      <c r="B488" s="80" t="s">
        <v>1694</v>
      </c>
      <c r="C488" s="87" t="s">
        <v>751</v>
      </c>
    </row>
    <row r="489" spans="1:3" x14ac:dyDescent="0.25">
      <c r="A489" s="81" t="s">
        <v>247</v>
      </c>
      <c r="B489" s="80" t="s">
        <v>1652</v>
      </c>
      <c r="C489" s="87" t="s">
        <v>751</v>
      </c>
    </row>
    <row r="490" spans="1:3" x14ac:dyDescent="0.25">
      <c r="A490" s="81" t="s">
        <v>247</v>
      </c>
      <c r="B490" s="80" t="s">
        <v>1675</v>
      </c>
      <c r="C490" s="87" t="s">
        <v>751</v>
      </c>
    </row>
    <row r="491" spans="1:3" x14ac:dyDescent="0.25">
      <c r="A491" s="81" t="s">
        <v>247</v>
      </c>
      <c r="B491" s="80" t="s">
        <v>1687</v>
      </c>
      <c r="C491" s="87" t="s">
        <v>751</v>
      </c>
    </row>
    <row r="492" spans="1:3" x14ac:dyDescent="0.25">
      <c r="A492" s="81" t="s">
        <v>247</v>
      </c>
      <c r="B492" s="80" t="s">
        <v>1642</v>
      </c>
      <c r="C492" s="87" t="s">
        <v>751</v>
      </c>
    </row>
    <row r="493" spans="1:3" x14ac:dyDescent="0.25">
      <c r="A493" s="81" t="s">
        <v>247</v>
      </c>
      <c r="B493" s="80" t="s">
        <v>1643</v>
      </c>
      <c r="C493" s="87" t="s">
        <v>751</v>
      </c>
    </row>
    <row r="494" spans="1:3" x14ac:dyDescent="0.25">
      <c r="A494" s="81" t="s">
        <v>247</v>
      </c>
      <c r="B494" s="80" t="s">
        <v>252</v>
      </c>
      <c r="C494" s="87" t="s">
        <v>751</v>
      </c>
    </row>
    <row r="495" spans="1:3" x14ac:dyDescent="0.25">
      <c r="A495" s="81" t="s">
        <v>286</v>
      </c>
      <c r="B495" s="80" t="s">
        <v>1741</v>
      </c>
      <c r="C495" s="87" t="s">
        <v>835</v>
      </c>
    </row>
    <row r="496" spans="1:3" x14ac:dyDescent="0.25">
      <c r="A496" s="81" t="s">
        <v>286</v>
      </c>
      <c r="B496" s="80" t="s">
        <v>1701</v>
      </c>
      <c r="C496" s="87" t="s">
        <v>835</v>
      </c>
    </row>
    <row r="497" spans="1:3" x14ac:dyDescent="0.25">
      <c r="A497" s="81" t="s">
        <v>286</v>
      </c>
      <c r="B497" s="80">
        <v>2025</v>
      </c>
      <c r="C497" s="87" t="s">
        <v>835</v>
      </c>
    </row>
    <row r="498" spans="1:3" x14ac:dyDescent="0.25">
      <c r="A498" s="81" t="s">
        <v>286</v>
      </c>
      <c r="B498" s="80" t="s">
        <v>1711</v>
      </c>
      <c r="C498" s="87" t="s">
        <v>835</v>
      </c>
    </row>
    <row r="499" spans="1:3" x14ac:dyDescent="0.25">
      <c r="A499" s="81" t="s">
        <v>286</v>
      </c>
      <c r="B499" s="80" t="s">
        <v>1640</v>
      </c>
      <c r="C499" s="87" t="s">
        <v>835</v>
      </c>
    </row>
    <row r="500" spans="1:3" x14ac:dyDescent="0.25">
      <c r="A500" s="81" t="s">
        <v>286</v>
      </c>
      <c r="B500" s="80" t="s">
        <v>1710</v>
      </c>
      <c r="C500" s="87" t="s">
        <v>835</v>
      </c>
    </row>
    <row r="501" spans="1:3" x14ac:dyDescent="0.25">
      <c r="A501" s="81" t="s">
        <v>286</v>
      </c>
      <c r="B501" s="80" t="s">
        <v>1715</v>
      </c>
      <c r="C501" s="87" t="s">
        <v>835</v>
      </c>
    </row>
    <row r="502" spans="1:3" x14ac:dyDescent="0.25">
      <c r="A502" s="81" t="s">
        <v>286</v>
      </c>
      <c r="B502" s="80" t="s">
        <v>1655</v>
      </c>
      <c r="C502" s="87" t="s">
        <v>835</v>
      </c>
    </row>
    <row r="503" spans="1:3" x14ac:dyDescent="0.25">
      <c r="A503" s="81" t="s">
        <v>286</v>
      </c>
      <c r="B503" s="80" t="s">
        <v>1714</v>
      </c>
      <c r="C503" s="87" t="s">
        <v>835</v>
      </c>
    </row>
    <row r="504" spans="1:3" x14ac:dyDescent="0.25">
      <c r="A504" s="81" t="s">
        <v>286</v>
      </c>
      <c r="B504" s="80" t="s">
        <v>1721</v>
      </c>
      <c r="C504" s="87" t="s">
        <v>835</v>
      </c>
    </row>
    <row r="505" spans="1:3" x14ac:dyDescent="0.25">
      <c r="A505" s="81" t="s">
        <v>286</v>
      </c>
      <c r="B505" s="80">
        <v>2024</v>
      </c>
      <c r="C505" s="87" t="s">
        <v>835</v>
      </c>
    </row>
    <row r="506" spans="1:3" x14ac:dyDescent="0.25">
      <c r="A506" s="81" t="s">
        <v>286</v>
      </c>
      <c r="B506" s="80" t="s">
        <v>1698</v>
      </c>
      <c r="C506" s="87" t="s">
        <v>835</v>
      </c>
    </row>
    <row r="507" spans="1:3" x14ac:dyDescent="0.25">
      <c r="A507" s="81" t="s">
        <v>286</v>
      </c>
      <c r="B507" s="80" t="s">
        <v>1647</v>
      </c>
      <c r="C507" s="87" t="s">
        <v>835</v>
      </c>
    </row>
    <row r="508" spans="1:3" x14ac:dyDescent="0.25">
      <c r="A508" s="81" t="s">
        <v>286</v>
      </c>
      <c r="B508" s="80" t="s">
        <v>306</v>
      </c>
      <c r="C508" s="87" t="s">
        <v>835</v>
      </c>
    </row>
    <row r="509" spans="1:3" x14ac:dyDescent="0.25">
      <c r="A509" s="81" t="s">
        <v>292</v>
      </c>
      <c r="B509" s="80" t="s">
        <v>2066</v>
      </c>
      <c r="C509" s="87" t="s">
        <v>843</v>
      </c>
    </row>
    <row r="510" spans="1:3" x14ac:dyDescent="0.25">
      <c r="A510" s="81" t="s">
        <v>292</v>
      </c>
      <c r="B510" s="80" t="s">
        <v>2067</v>
      </c>
      <c r="C510" s="87" t="s">
        <v>843</v>
      </c>
    </row>
    <row r="511" spans="1:3" x14ac:dyDescent="0.25">
      <c r="A511" s="81" t="s">
        <v>292</v>
      </c>
      <c r="B511" s="80" t="s">
        <v>2068</v>
      </c>
      <c r="C511" s="87" t="s">
        <v>843</v>
      </c>
    </row>
    <row r="512" spans="1:3" x14ac:dyDescent="0.25">
      <c r="A512" s="81" t="s">
        <v>292</v>
      </c>
      <c r="B512" s="80" t="s">
        <v>1910</v>
      </c>
      <c r="C512" s="87" t="s">
        <v>843</v>
      </c>
    </row>
    <row r="513" spans="1:3" x14ac:dyDescent="0.25">
      <c r="A513" s="81" t="s">
        <v>292</v>
      </c>
      <c r="B513" s="80" t="s">
        <v>1762</v>
      </c>
      <c r="C513" s="87" t="s">
        <v>843</v>
      </c>
    </row>
    <row r="514" spans="1:3" x14ac:dyDescent="0.25">
      <c r="A514" s="81" t="s">
        <v>292</v>
      </c>
      <c r="B514" s="80" t="s">
        <v>1931</v>
      </c>
      <c r="C514" s="87" t="s">
        <v>843</v>
      </c>
    </row>
    <row r="515" spans="1:3" x14ac:dyDescent="0.25">
      <c r="A515" s="81" t="s">
        <v>292</v>
      </c>
      <c r="B515" s="80" t="s">
        <v>1778</v>
      </c>
      <c r="C515" s="87" t="s">
        <v>843</v>
      </c>
    </row>
    <row r="516" spans="1:3" x14ac:dyDescent="0.25">
      <c r="A516" s="81" t="s">
        <v>292</v>
      </c>
      <c r="B516" s="80" t="s">
        <v>1705</v>
      </c>
      <c r="C516" s="87" t="s">
        <v>843</v>
      </c>
    </row>
    <row r="517" spans="1:3" x14ac:dyDescent="0.25">
      <c r="A517" s="81" t="s">
        <v>292</v>
      </c>
      <c r="B517" s="80" t="s">
        <v>1880</v>
      </c>
      <c r="C517" s="87" t="s">
        <v>843</v>
      </c>
    </row>
    <row r="518" spans="1:3" x14ac:dyDescent="0.25">
      <c r="A518" s="81" t="s">
        <v>292</v>
      </c>
      <c r="B518" s="80" t="s">
        <v>1742</v>
      </c>
      <c r="C518" s="87" t="s">
        <v>843</v>
      </c>
    </row>
    <row r="519" spans="1:3" x14ac:dyDescent="0.25">
      <c r="A519" s="81" t="s">
        <v>292</v>
      </c>
      <c r="B519" s="80" t="s">
        <v>1776</v>
      </c>
      <c r="C519" s="87" t="s">
        <v>843</v>
      </c>
    </row>
    <row r="520" spans="1:3" x14ac:dyDescent="0.25">
      <c r="A520" s="81" t="s">
        <v>292</v>
      </c>
      <c r="B520" s="80" t="s">
        <v>1856</v>
      </c>
      <c r="C520" s="87" t="s">
        <v>843</v>
      </c>
    </row>
    <row r="521" spans="1:3" x14ac:dyDescent="0.25">
      <c r="A521" s="81" t="s">
        <v>292</v>
      </c>
      <c r="B521" s="80" t="s">
        <v>1803</v>
      </c>
      <c r="C521" s="87" t="s">
        <v>843</v>
      </c>
    </row>
    <row r="522" spans="1:3" x14ac:dyDescent="0.25">
      <c r="A522" s="81" t="s">
        <v>241</v>
      </c>
      <c r="B522" s="80" t="s">
        <v>1693</v>
      </c>
      <c r="C522" s="87" t="s">
        <v>745</v>
      </c>
    </row>
    <row r="523" spans="1:3" x14ac:dyDescent="0.25">
      <c r="A523" s="81" t="s">
        <v>241</v>
      </c>
      <c r="B523" s="80" t="s">
        <v>1716</v>
      </c>
      <c r="C523" s="87" t="s">
        <v>745</v>
      </c>
    </row>
    <row r="524" spans="1:3" x14ac:dyDescent="0.25">
      <c r="A524" s="81" t="s">
        <v>241</v>
      </c>
      <c r="B524" s="80" t="s">
        <v>1668</v>
      </c>
      <c r="C524" s="87" t="s">
        <v>745</v>
      </c>
    </row>
    <row r="525" spans="1:3" x14ac:dyDescent="0.25">
      <c r="A525" s="81" t="s">
        <v>241</v>
      </c>
      <c r="B525" s="80" t="s">
        <v>1672</v>
      </c>
      <c r="C525" s="87" t="s">
        <v>745</v>
      </c>
    </row>
    <row r="526" spans="1:3" x14ac:dyDescent="0.25">
      <c r="A526" s="81" t="s">
        <v>241</v>
      </c>
      <c r="B526" s="80" t="s">
        <v>275</v>
      </c>
      <c r="C526" s="87" t="s">
        <v>745</v>
      </c>
    </row>
    <row r="527" spans="1:3" x14ac:dyDescent="0.25">
      <c r="A527" s="81" t="s">
        <v>241</v>
      </c>
      <c r="B527" s="80" t="s">
        <v>1650</v>
      </c>
      <c r="C527" s="87" t="s">
        <v>745</v>
      </c>
    </row>
    <row r="528" spans="1:3" x14ac:dyDescent="0.25">
      <c r="A528" s="81" t="s">
        <v>241</v>
      </c>
      <c r="B528" s="80" t="s">
        <v>1645</v>
      </c>
      <c r="C528" s="87" t="s">
        <v>745</v>
      </c>
    </row>
    <row r="529" spans="1:3" x14ac:dyDescent="0.25">
      <c r="A529" s="81" t="s">
        <v>241</v>
      </c>
      <c r="B529" s="80" t="s">
        <v>1684</v>
      </c>
      <c r="C529" s="87" t="s">
        <v>745</v>
      </c>
    </row>
    <row r="530" spans="1:3" x14ac:dyDescent="0.25">
      <c r="A530" s="81" t="s">
        <v>241</v>
      </c>
      <c r="B530" s="80" t="s">
        <v>1656</v>
      </c>
      <c r="C530" s="87" t="s">
        <v>745</v>
      </c>
    </row>
    <row r="531" spans="1:3" x14ac:dyDescent="0.25">
      <c r="A531" s="81" t="s">
        <v>241</v>
      </c>
      <c r="B531" s="80" t="s">
        <v>1720</v>
      </c>
      <c r="C531" s="87" t="s">
        <v>745</v>
      </c>
    </row>
    <row r="532" spans="1:3" x14ac:dyDescent="0.25">
      <c r="A532" s="81" t="s">
        <v>241</v>
      </c>
      <c r="B532" s="80" t="s">
        <v>1666</v>
      </c>
      <c r="C532" s="87" t="s">
        <v>745</v>
      </c>
    </row>
    <row r="533" spans="1:3" x14ac:dyDescent="0.25">
      <c r="A533" s="81" t="s">
        <v>241</v>
      </c>
      <c r="B533" s="80" t="s">
        <v>249</v>
      </c>
      <c r="C533" s="87" t="s">
        <v>745</v>
      </c>
    </row>
    <row r="534" spans="1:3" x14ac:dyDescent="0.25">
      <c r="A534" s="81" t="s">
        <v>268</v>
      </c>
      <c r="B534" s="80" t="s">
        <v>1928</v>
      </c>
      <c r="C534" s="87" t="s">
        <v>784</v>
      </c>
    </row>
    <row r="535" spans="1:3" x14ac:dyDescent="0.25">
      <c r="A535" s="81" t="s">
        <v>268</v>
      </c>
      <c r="B535" s="80" t="s">
        <v>1859</v>
      </c>
      <c r="C535" s="87" t="s">
        <v>784</v>
      </c>
    </row>
    <row r="536" spans="1:3" x14ac:dyDescent="0.25">
      <c r="A536" s="81" t="s">
        <v>268</v>
      </c>
      <c r="B536" s="80" t="s">
        <v>321</v>
      </c>
      <c r="C536" s="87" t="s">
        <v>784</v>
      </c>
    </row>
    <row r="537" spans="1:3" x14ac:dyDescent="0.25">
      <c r="A537" s="81" t="s">
        <v>268</v>
      </c>
      <c r="B537" s="80" t="s">
        <v>249</v>
      </c>
      <c r="C537" s="87" t="s">
        <v>784</v>
      </c>
    </row>
    <row r="538" spans="1:3" x14ac:dyDescent="0.25">
      <c r="A538" s="81" t="s">
        <v>268</v>
      </c>
      <c r="B538" s="80" t="s">
        <v>1735</v>
      </c>
      <c r="C538" s="87" t="s">
        <v>865</v>
      </c>
    </row>
    <row r="539" spans="1:3" x14ac:dyDescent="0.25">
      <c r="A539" s="81" t="s">
        <v>268</v>
      </c>
      <c r="B539" s="80" t="s">
        <v>1658</v>
      </c>
      <c r="C539" s="87" t="s">
        <v>865</v>
      </c>
    </row>
    <row r="540" spans="1:3" x14ac:dyDescent="0.25">
      <c r="A540" s="81" t="s">
        <v>268</v>
      </c>
      <c r="B540" s="80" t="s">
        <v>1674</v>
      </c>
      <c r="C540" s="87" t="s">
        <v>865</v>
      </c>
    </row>
    <row r="541" spans="1:3" x14ac:dyDescent="0.25">
      <c r="A541" s="81" t="s">
        <v>268</v>
      </c>
      <c r="B541" s="80" t="s">
        <v>1809</v>
      </c>
      <c r="C541" s="87" t="s">
        <v>865</v>
      </c>
    </row>
    <row r="542" spans="1:3" x14ac:dyDescent="0.25">
      <c r="A542" s="81" t="s">
        <v>268</v>
      </c>
      <c r="B542" s="80" t="s">
        <v>1886</v>
      </c>
      <c r="C542" s="87" t="s">
        <v>865</v>
      </c>
    </row>
    <row r="543" spans="1:3" x14ac:dyDescent="0.25">
      <c r="A543" s="81" t="s">
        <v>268</v>
      </c>
      <c r="B543" s="80" t="s">
        <v>1641</v>
      </c>
      <c r="C543" s="87" t="s">
        <v>865</v>
      </c>
    </row>
    <row r="544" spans="1:3" x14ac:dyDescent="0.25">
      <c r="A544" s="81" t="s">
        <v>268</v>
      </c>
      <c r="B544" s="80" t="s">
        <v>1779</v>
      </c>
      <c r="C544" s="87" t="s">
        <v>865</v>
      </c>
    </row>
    <row r="545" spans="1:3" x14ac:dyDescent="0.25">
      <c r="A545" s="81" t="s">
        <v>268</v>
      </c>
      <c r="B545" s="80" t="s">
        <v>1786</v>
      </c>
      <c r="C545" s="87" t="s">
        <v>865</v>
      </c>
    </row>
    <row r="546" spans="1:3" x14ac:dyDescent="0.25">
      <c r="A546" s="81" t="s">
        <v>268</v>
      </c>
      <c r="B546" s="80" t="s">
        <v>1671</v>
      </c>
      <c r="C546" s="87" t="s">
        <v>865</v>
      </c>
    </row>
    <row r="547" spans="1:3" x14ac:dyDescent="0.25">
      <c r="A547" s="81" t="s">
        <v>268</v>
      </c>
      <c r="B547" s="80" t="s">
        <v>1700</v>
      </c>
      <c r="C547" s="87" t="s">
        <v>865</v>
      </c>
    </row>
    <row r="548" spans="1:3" x14ac:dyDescent="0.25">
      <c r="A548" s="81" t="s">
        <v>268</v>
      </c>
      <c r="B548" s="80" t="s">
        <v>1750</v>
      </c>
      <c r="C548" s="87" t="s">
        <v>865</v>
      </c>
    </row>
    <row r="549" spans="1:3" x14ac:dyDescent="0.25">
      <c r="A549" s="81" t="s">
        <v>268</v>
      </c>
      <c r="B549" s="80" t="s">
        <v>1646</v>
      </c>
      <c r="C549" s="87" t="s">
        <v>865</v>
      </c>
    </row>
    <row r="550" spans="1:3" x14ac:dyDescent="0.25">
      <c r="A550" s="81" t="s">
        <v>268</v>
      </c>
      <c r="B550" s="80" t="s">
        <v>1649</v>
      </c>
      <c r="C550" s="87" t="s">
        <v>865</v>
      </c>
    </row>
    <row r="551" spans="1:3" x14ac:dyDescent="0.25">
      <c r="A551" s="81" t="s">
        <v>268</v>
      </c>
      <c r="B551" s="80" t="s">
        <v>1663</v>
      </c>
      <c r="C551" s="87" t="s">
        <v>865</v>
      </c>
    </row>
    <row r="552" spans="1:3" x14ac:dyDescent="0.25">
      <c r="A552" s="81" t="s">
        <v>268</v>
      </c>
      <c r="B552" s="80" t="s">
        <v>268</v>
      </c>
      <c r="C552" s="87" t="s">
        <v>865</v>
      </c>
    </row>
    <row r="553" spans="1:3" x14ac:dyDescent="0.25">
      <c r="A553" s="81" t="s">
        <v>252</v>
      </c>
      <c r="B553" s="80" t="s">
        <v>476</v>
      </c>
      <c r="C553" s="87" t="s">
        <v>855</v>
      </c>
    </row>
    <row r="554" spans="1:3" x14ac:dyDescent="0.25">
      <c r="A554" s="81" t="s">
        <v>252</v>
      </c>
      <c r="B554" s="80" t="s">
        <v>268</v>
      </c>
      <c r="C554" s="87" t="s">
        <v>855</v>
      </c>
    </row>
    <row r="555" spans="1:3" x14ac:dyDescent="0.25">
      <c r="A555" s="81" t="s">
        <v>252</v>
      </c>
      <c r="B555" s="80" t="s">
        <v>1640</v>
      </c>
      <c r="C555" s="87" t="s">
        <v>855</v>
      </c>
    </row>
    <row r="556" spans="1:3" x14ac:dyDescent="0.25">
      <c r="A556" s="81" t="s">
        <v>252</v>
      </c>
      <c r="B556" s="80" t="s">
        <v>1800</v>
      </c>
      <c r="C556" s="87" t="s">
        <v>855</v>
      </c>
    </row>
    <row r="557" spans="1:3" x14ac:dyDescent="0.25">
      <c r="A557" s="81" t="s">
        <v>252</v>
      </c>
      <c r="B557" s="80" t="s">
        <v>1642</v>
      </c>
      <c r="C557" s="87" t="s">
        <v>855</v>
      </c>
    </row>
    <row r="558" spans="1:3" x14ac:dyDescent="0.25">
      <c r="A558" s="81" t="s">
        <v>252</v>
      </c>
      <c r="B558" s="80" t="s">
        <v>1771</v>
      </c>
      <c r="C558" s="87" t="s">
        <v>855</v>
      </c>
    </row>
    <row r="559" spans="1:3" x14ac:dyDescent="0.25">
      <c r="A559" s="81" t="s">
        <v>252</v>
      </c>
      <c r="B559" s="80" t="s">
        <v>1643</v>
      </c>
      <c r="C559" s="87" t="s">
        <v>855</v>
      </c>
    </row>
    <row r="560" spans="1:3" x14ac:dyDescent="0.25">
      <c r="A560" s="81" t="s">
        <v>252</v>
      </c>
      <c r="B560" s="80" t="s">
        <v>1659</v>
      </c>
      <c r="C560" s="87" t="s">
        <v>855</v>
      </c>
    </row>
    <row r="561" spans="1:3" x14ac:dyDescent="0.25">
      <c r="A561" s="81" t="s">
        <v>252</v>
      </c>
      <c r="B561" s="80" t="s">
        <v>1798</v>
      </c>
      <c r="C561" s="87" t="s">
        <v>855</v>
      </c>
    </row>
    <row r="562" spans="1:3" x14ac:dyDescent="0.25">
      <c r="A562" s="81" t="s">
        <v>268</v>
      </c>
      <c r="B562" s="80" t="s">
        <v>1990</v>
      </c>
      <c r="C562" s="87" t="s">
        <v>846</v>
      </c>
    </row>
    <row r="563" spans="1:3" x14ac:dyDescent="0.25">
      <c r="A563" s="81" t="s">
        <v>268</v>
      </c>
      <c r="B563" s="80" t="s">
        <v>1685</v>
      </c>
      <c r="C563" s="87" t="s">
        <v>846</v>
      </c>
    </row>
    <row r="564" spans="1:3" x14ac:dyDescent="0.25">
      <c r="A564" s="81" t="s">
        <v>268</v>
      </c>
      <c r="B564" s="80" t="s">
        <v>1667</v>
      </c>
      <c r="C564" s="87" t="s">
        <v>846</v>
      </c>
    </row>
    <row r="565" spans="1:3" x14ac:dyDescent="0.25">
      <c r="A565" s="81" t="s">
        <v>268</v>
      </c>
      <c r="B565" s="80" t="s">
        <v>1654</v>
      </c>
      <c r="C565" s="87" t="s">
        <v>846</v>
      </c>
    </row>
    <row r="566" spans="1:3" x14ac:dyDescent="0.25">
      <c r="A566" s="81" t="s">
        <v>268</v>
      </c>
      <c r="B566" s="80" t="s">
        <v>1645</v>
      </c>
      <c r="C566" s="87" t="s">
        <v>846</v>
      </c>
    </row>
    <row r="567" spans="1:3" x14ac:dyDescent="0.25">
      <c r="A567" s="81" t="s">
        <v>268</v>
      </c>
      <c r="B567" s="80" t="s">
        <v>1703</v>
      </c>
      <c r="C567" s="87" t="s">
        <v>846</v>
      </c>
    </row>
    <row r="568" spans="1:3" x14ac:dyDescent="0.25">
      <c r="A568" s="81" t="s">
        <v>268</v>
      </c>
      <c r="B568" s="80" t="s">
        <v>1724</v>
      </c>
      <c r="C568" s="87" t="s">
        <v>846</v>
      </c>
    </row>
    <row r="569" spans="1:3" x14ac:dyDescent="0.25">
      <c r="A569" s="81" t="s">
        <v>268</v>
      </c>
      <c r="B569" s="80" t="s">
        <v>470</v>
      </c>
      <c r="C569" s="87" t="s">
        <v>846</v>
      </c>
    </row>
    <row r="570" spans="1:3" x14ac:dyDescent="0.25">
      <c r="A570" s="81" t="s">
        <v>268</v>
      </c>
      <c r="B570" s="80" t="s">
        <v>1690</v>
      </c>
      <c r="C570" s="87" t="s">
        <v>846</v>
      </c>
    </row>
    <row r="571" spans="1:3" x14ac:dyDescent="0.25">
      <c r="A571" s="81" t="s">
        <v>268</v>
      </c>
      <c r="B571" s="80" t="s">
        <v>1704</v>
      </c>
      <c r="C571" s="87" t="s">
        <v>846</v>
      </c>
    </row>
    <row r="572" spans="1:3" x14ac:dyDescent="0.25">
      <c r="A572" s="81" t="s">
        <v>268</v>
      </c>
      <c r="B572" s="80" t="s">
        <v>1682</v>
      </c>
      <c r="C572" s="87" t="s">
        <v>846</v>
      </c>
    </row>
    <row r="573" spans="1:3" x14ac:dyDescent="0.25">
      <c r="A573" s="81" t="s">
        <v>268</v>
      </c>
      <c r="B573" s="80" t="s">
        <v>249</v>
      </c>
      <c r="C573" s="87" t="s">
        <v>846</v>
      </c>
    </row>
    <row r="574" spans="1:3" x14ac:dyDescent="0.25">
      <c r="A574" s="81" t="s">
        <v>248</v>
      </c>
      <c r="B574" s="80" t="s">
        <v>313</v>
      </c>
      <c r="C574" s="87" t="s">
        <v>752</v>
      </c>
    </row>
    <row r="575" spans="1:3" x14ac:dyDescent="0.25">
      <c r="A575" s="81" t="s">
        <v>248</v>
      </c>
      <c r="B575" s="80" t="s">
        <v>322</v>
      </c>
      <c r="C575" s="87" t="s">
        <v>752</v>
      </c>
    </row>
    <row r="576" spans="1:3" x14ac:dyDescent="0.25">
      <c r="A576" s="81" t="s">
        <v>248</v>
      </c>
      <c r="B576" s="80" t="s">
        <v>314</v>
      </c>
      <c r="C576" s="87" t="s">
        <v>752</v>
      </c>
    </row>
    <row r="577" spans="1:3" x14ac:dyDescent="0.25">
      <c r="A577" s="81" t="s">
        <v>248</v>
      </c>
      <c r="B577" s="80" t="s">
        <v>315</v>
      </c>
      <c r="C577" s="87" t="s">
        <v>752</v>
      </c>
    </row>
    <row r="578" spans="1:3" x14ac:dyDescent="0.25">
      <c r="A578" s="81" t="s">
        <v>248</v>
      </c>
      <c r="B578" s="80" t="s">
        <v>316</v>
      </c>
      <c r="C578" s="87" t="s">
        <v>752</v>
      </c>
    </row>
    <row r="579" spans="1:3" x14ac:dyDescent="0.25">
      <c r="A579" s="81" t="s">
        <v>248</v>
      </c>
      <c r="B579" s="80" t="s">
        <v>268</v>
      </c>
      <c r="C579" s="87" t="s">
        <v>752</v>
      </c>
    </row>
    <row r="580" spans="1:3" x14ac:dyDescent="0.25">
      <c r="A580" s="81" t="s">
        <v>248</v>
      </c>
      <c r="B580" s="80" t="s">
        <v>1882</v>
      </c>
      <c r="C580" s="87" t="s">
        <v>752</v>
      </c>
    </row>
    <row r="581" spans="1:3" x14ac:dyDescent="0.25">
      <c r="A581" s="81" t="s">
        <v>248</v>
      </c>
      <c r="B581" s="80" t="s">
        <v>2069</v>
      </c>
      <c r="C581" s="87" t="s">
        <v>752</v>
      </c>
    </row>
    <row r="582" spans="1:3" x14ac:dyDescent="0.25">
      <c r="A582" s="81" t="s">
        <v>248</v>
      </c>
      <c r="B582" s="80" t="s">
        <v>472</v>
      </c>
      <c r="C582" s="87" t="s">
        <v>752</v>
      </c>
    </row>
    <row r="583" spans="1:3" x14ac:dyDescent="0.25">
      <c r="A583" s="81" t="s">
        <v>248</v>
      </c>
      <c r="B583" s="80" t="s">
        <v>275</v>
      </c>
      <c r="C583" s="87" t="s">
        <v>752</v>
      </c>
    </row>
    <row r="584" spans="1:3" x14ac:dyDescent="0.25">
      <c r="A584" s="81" t="s">
        <v>248</v>
      </c>
      <c r="B584" s="80" t="s">
        <v>1650</v>
      </c>
      <c r="C584" s="87" t="s">
        <v>752</v>
      </c>
    </row>
    <row r="585" spans="1:3" x14ac:dyDescent="0.25">
      <c r="A585" s="81" t="s">
        <v>248</v>
      </c>
      <c r="B585" s="80" t="s">
        <v>249</v>
      </c>
      <c r="C585" s="87" t="s">
        <v>752</v>
      </c>
    </row>
    <row r="586" spans="1:3" x14ac:dyDescent="0.25">
      <c r="A586" s="81" t="s">
        <v>255</v>
      </c>
      <c r="B586" s="80" t="s">
        <v>476</v>
      </c>
      <c r="C586" s="87" t="s">
        <v>761</v>
      </c>
    </row>
    <row r="587" spans="1:3" x14ac:dyDescent="0.25">
      <c r="A587" s="81" t="s">
        <v>255</v>
      </c>
      <c r="B587" s="80" t="s">
        <v>268</v>
      </c>
      <c r="C587" s="87" t="s">
        <v>761</v>
      </c>
    </row>
    <row r="588" spans="1:3" x14ac:dyDescent="0.25">
      <c r="A588" s="81" t="s">
        <v>255</v>
      </c>
      <c r="B588" s="80" t="s">
        <v>1640</v>
      </c>
      <c r="C588" s="87" t="s">
        <v>761</v>
      </c>
    </row>
    <row r="589" spans="1:3" x14ac:dyDescent="0.25">
      <c r="A589" s="81" t="s">
        <v>255</v>
      </c>
      <c r="B589" s="80" t="s">
        <v>1800</v>
      </c>
      <c r="C589" s="87" t="s">
        <v>761</v>
      </c>
    </row>
    <row r="590" spans="1:3" x14ac:dyDescent="0.25">
      <c r="A590" s="81" t="s">
        <v>255</v>
      </c>
      <c r="B590" s="80" t="s">
        <v>1642</v>
      </c>
      <c r="C590" s="87" t="s">
        <v>761</v>
      </c>
    </row>
    <row r="591" spans="1:3" x14ac:dyDescent="0.25">
      <c r="A591" s="81" t="s">
        <v>255</v>
      </c>
      <c r="B591" s="80" t="s">
        <v>1771</v>
      </c>
      <c r="C591" s="87" t="s">
        <v>761</v>
      </c>
    </row>
    <row r="592" spans="1:3" x14ac:dyDescent="0.25">
      <c r="A592" s="81" t="s">
        <v>255</v>
      </c>
      <c r="B592" s="80" t="s">
        <v>1643</v>
      </c>
      <c r="C592" s="87" t="s">
        <v>761</v>
      </c>
    </row>
    <row r="593" spans="1:3" x14ac:dyDescent="0.25">
      <c r="A593" s="81" t="s">
        <v>255</v>
      </c>
      <c r="B593" s="80" t="s">
        <v>1659</v>
      </c>
      <c r="C593" s="87" t="s">
        <v>761</v>
      </c>
    </row>
    <row r="594" spans="1:3" x14ac:dyDescent="0.25">
      <c r="A594" s="81" t="s">
        <v>255</v>
      </c>
      <c r="B594" s="80" t="s">
        <v>1798</v>
      </c>
      <c r="C594" s="87" t="s">
        <v>761</v>
      </c>
    </row>
    <row r="595" spans="1:3" x14ac:dyDescent="0.25">
      <c r="A595" s="81" t="s">
        <v>255</v>
      </c>
      <c r="B595" s="80" t="s">
        <v>252</v>
      </c>
      <c r="C595" s="87" t="s">
        <v>761</v>
      </c>
    </row>
    <row r="596" spans="1:3" x14ac:dyDescent="0.25">
      <c r="A596" s="81" t="s">
        <v>276</v>
      </c>
      <c r="B596" s="80" t="s">
        <v>1693</v>
      </c>
      <c r="C596" s="87" t="s">
        <v>810</v>
      </c>
    </row>
    <row r="597" spans="1:3" x14ac:dyDescent="0.25">
      <c r="A597" s="81" t="s">
        <v>276</v>
      </c>
      <c r="B597" s="80" t="s">
        <v>1716</v>
      </c>
      <c r="C597" s="87" t="s">
        <v>810</v>
      </c>
    </row>
    <row r="598" spans="1:3" x14ac:dyDescent="0.25">
      <c r="A598" s="81" t="s">
        <v>276</v>
      </c>
      <c r="B598" s="80" t="s">
        <v>1668</v>
      </c>
      <c r="C598" s="87" t="s">
        <v>810</v>
      </c>
    </row>
    <row r="599" spans="1:3" x14ac:dyDescent="0.25">
      <c r="A599" s="81" t="s">
        <v>276</v>
      </c>
      <c r="B599" s="80" t="s">
        <v>1672</v>
      </c>
      <c r="C599" s="87" t="s">
        <v>810</v>
      </c>
    </row>
    <row r="600" spans="1:3" x14ac:dyDescent="0.25">
      <c r="A600" s="81" t="s">
        <v>276</v>
      </c>
      <c r="B600" s="80" t="s">
        <v>275</v>
      </c>
      <c r="C600" s="87" t="s">
        <v>810</v>
      </c>
    </row>
    <row r="601" spans="1:3" x14ac:dyDescent="0.25">
      <c r="A601" s="81" t="s">
        <v>276</v>
      </c>
      <c r="B601" s="80" t="s">
        <v>1650</v>
      </c>
      <c r="C601" s="87" t="s">
        <v>810</v>
      </c>
    </row>
    <row r="602" spans="1:3" x14ac:dyDescent="0.25">
      <c r="A602" s="81" t="s">
        <v>276</v>
      </c>
      <c r="B602" s="80" t="s">
        <v>1645</v>
      </c>
      <c r="C602" s="87" t="s">
        <v>810</v>
      </c>
    </row>
    <row r="603" spans="1:3" x14ac:dyDescent="0.25">
      <c r="A603" s="81" t="s">
        <v>276</v>
      </c>
      <c r="B603" s="80" t="s">
        <v>1684</v>
      </c>
      <c r="C603" s="87" t="s">
        <v>810</v>
      </c>
    </row>
    <row r="604" spans="1:3" x14ac:dyDescent="0.25">
      <c r="A604" s="81" t="s">
        <v>276</v>
      </c>
      <c r="B604" s="80" t="s">
        <v>1656</v>
      </c>
      <c r="C604" s="87" t="s">
        <v>810</v>
      </c>
    </row>
    <row r="605" spans="1:3" x14ac:dyDescent="0.25">
      <c r="A605" s="81" t="s">
        <v>276</v>
      </c>
      <c r="B605" s="80" t="s">
        <v>1720</v>
      </c>
      <c r="C605" s="87" t="s">
        <v>810</v>
      </c>
    </row>
    <row r="606" spans="1:3" x14ac:dyDescent="0.25">
      <c r="A606" s="81" t="s">
        <v>276</v>
      </c>
      <c r="B606" s="80" t="s">
        <v>1666</v>
      </c>
      <c r="C606" s="87" t="s">
        <v>810</v>
      </c>
    </row>
    <row r="607" spans="1:3" x14ac:dyDescent="0.25">
      <c r="A607" s="81" t="s">
        <v>276</v>
      </c>
      <c r="B607" s="80" t="s">
        <v>249</v>
      </c>
      <c r="C607" s="87" t="s">
        <v>810</v>
      </c>
    </row>
    <row r="608" spans="1:3" x14ac:dyDescent="0.25">
      <c r="A608" s="81" t="s">
        <v>262</v>
      </c>
      <c r="B608" s="80">
        <v>12</v>
      </c>
      <c r="C608" s="87" t="s">
        <v>775</v>
      </c>
    </row>
    <row r="609" spans="1:3" x14ac:dyDescent="0.25">
      <c r="A609" s="81" t="s">
        <v>262</v>
      </c>
      <c r="B609" s="80">
        <v>31</v>
      </c>
      <c r="C609" s="87" t="s">
        <v>775</v>
      </c>
    </row>
    <row r="610" spans="1:3" x14ac:dyDescent="0.25">
      <c r="A610" s="81" t="s">
        <v>262</v>
      </c>
      <c r="B610" s="80" t="s">
        <v>1937</v>
      </c>
      <c r="C610" s="87" t="s">
        <v>775</v>
      </c>
    </row>
    <row r="611" spans="1:3" x14ac:dyDescent="0.25">
      <c r="A611" s="81" t="s">
        <v>262</v>
      </c>
      <c r="B611" s="80" t="s">
        <v>1819</v>
      </c>
      <c r="C611" s="87" t="s">
        <v>775</v>
      </c>
    </row>
    <row r="612" spans="1:3" x14ac:dyDescent="0.25">
      <c r="A612" s="81" t="s">
        <v>262</v>
      </c>
      <c r="B612" s="80" t="s">
        <v>1663</v>
      </c>
      <c r="C612" s="87" t="s">
        <v>775</v>
      </c>
    </row>
    <row r="613" spans="1:3" x14ac:dyDescent="0.25">
      <c r="A613" s="81" t="s">
        <v>262</v>
      </c>
      <c r="B613" s="80" t="s">
        <v>268</v>
      </c>
      <c r="C613" s="87" t="s">
        <v>775</v>
      </c>
    </row>
    <row r="614" spans="1:3" x14ac:dyDescent="0.25">
      <c r="A614" s="81" t="s">
        <v>262</v>
      </c>
      <c r="B614" s="80" t="s">
        <v>1649</v>
      </c>
      <c r="C614" s="87" t="s">
        <v>775</v>
      </c>
    </row>
    <row r="615" spans="1:3" x14ac:dyDescent="0.25">
      <c r="A615" s="81" t="s">
        <v>262</v>
      </c>
      <c r="B615" s="80" t="s">
        <v>1651</v>
      </c>
      <c r="C615" s="87" t="s">
        <v>775</v>
      </c>
    </row>
    <row r="616" spans="1:3" x14ac:dyDescent="0.25">
      <c r="A616" s="81" t="s">
        <v>262</v>
      </c>
      <c r="B616" s="80" t="s">
        <v>1812</v>
      </c>
      <c r="C616" s="87" t="s">
        <v>775</v>
      </c>
    </row>
    <row r="617" spans="1:3" x14ac:dyDescent="0.25">
      <c r="A617" s="81" t="s">
        <v>262</v>
      </c>
      <c r="B617" s="80" t="s">
        <v>1647</v>
      </c>
      <c r="C617" s="87" t="s">
        <v>775</v>
      </c>
    </row>
    <row r="618" spans="1:3" x14ac:dyDescent="0.25">
      <c r="A618" s="81" t="s">
        <v>262</v>
      </c>
      <c r="B618" s="80" t="s">
        <v>1915</v>
      </c>
      <c r="C618" s="87" t="s">
        <v>775</v>
      </c>
    </row>
    <row r="619" spans="1:3" x14ac:dyDescent="0.25">
      <c r="A619" s="81" t="s">
        <v>262</v>
      </c>
      <c r="B619" s="80" t="s">
        <v>1654</v>
      </c>
      <c r="C619" s="87" t="s">
        <v>775</v>
      </c>
    </row>
    <row r="620" spans="1:3" x14ac:dyDescent="0.25">
      <c r="A620" s="81" t="s">
        <v>262</v>
      </c>
      <c r="B620" s="80" t="s">
        <v>261</v>
      </c>
      <c r="C620" s="87" t="s">
        <v>775</v>
      </c>
    </row>
    <row r="621" spans="1:3" x14ac:dyDescent="0.25">
      <c r="A621" s="81" t="s">
        <v>276</v>
      </c>
      <c r="B621" s="80" t="s">
        <v>1929</v>
      </c>
      <c r="C621" s="87" t="s">
        <v>811</v>
      </c>
    </row>
    <row r="622" spans="1:3" x14ac:dyDescent="0.25">
      <c r="A622" s="81" t="s">
        <v>276</v>
      </c>
      <c r="B622" s="80" t="s">
        <v>1801</v>
      </c>
      <c r="C622" s="87" t="s">
        <v>811</v>
      </c>
    </row>
    <row r="623" spans="1:3" x14ac:dyDescent="0.25">
      <c r="A623" s="81" t="s">
        <v>276</v>
      </c>
      <c r="B623" s="80" t="s">
        <v>1797</v>
      </c>
      <c r="C623" s="87" t="s">
        <v>811</v>
      </c>
    </row>
    <row r="624" spans="1:3" x14ac:dyDescent="0.25">
      <c r="A624" s="81" t="s">
        <v>276</v>
      </c>
      <c r="B624" s="80" t="s">
        <v>1810</v>
      </c>
      <c r="C624" s="87" t="s">
        <v>811</v>
      </c>
    </row>
    <row r="625" spans="1:3" x14ac:dyDescent="0.25">
      <c r="A625" s="81" t="s">
        <v>276</v>
      </c>
      <c r="B625" s="80" t="s">
        <v>1699</v>
      </c>
      <c r="C625" s="87" t="s">
        <v>811</v>
      </c>
    </row>
    <row r="626" spans="1:3" x14ac:dyDescent="0.25">
      <c r="A626" s="81" t="s">
        <v>276</v>
      </c>
      <c r="B626" s="80" t="s">
        <v>488</v>
      </c>
      <c r="C626" s="87" t="s">
        <v>811</v>
      </c>
    </row>
    <row r="627" spans="1:3" x14ac:dyDescent="0.25">
      <c r="A627" s="81" t="s">
        <v>276</v>
      </c>
      <c r="B627" s="80" t="s">
        <v>1740</v>
      </c>
      <c r="C627" s="87" t="s">
        <v>811</v>
      </c>
    </row>
    <row r="628" spans="1:3" x14ac:dyDescent="0.25">
      <c r="A628" s="81" t="s">
        <v>276</v>
      </c>
      <c r="B628" s="80" t="s">
        <v>1777</v>
      </c>
      <c r="C628" s="87" t="s">
        <v>811</v>
      </c>
    </row>
    <row r="629" spans="1:3" x14ac:dyDescent="0.25">
      <c r="A629" s="81" t="s">
        <v>276</v>
      </c>
      <c r="B629" s="80" t="s">
        <v>1796</v>
      </c>
      <c r="C629" s="87" t="s">
        <v>811</v>
      </c>
    </row>
    <row r="630" spans="1:3" x14ac:dyDescent="0.25">
      <c r="A630" s="81" t="s">
        <v>276</v>
      </c>
      <c r="B630" s="80" t="s">
        <v>1788</v>
      </c>
      <c r="C630" s="87" t="s">
        <v>811</v>
      </c>
    </row>
    <row r="631" spans="1:3" x14ac:dyDescent="0.25">
      <c r="A631" s="81" t="s">
        <v>276</v>
      </c>
      <c r="B631" s="80" t="s">
        <v>249</v>
      </c>
      <c r="C631" s="87" t="s">
        <v>811</v>
      </c>
    </row>
    <row r="632" spans="1:3" x14ac:dyDescent="0.25">
      <c r="A632" s="81" t="s">
        <v>284</v>
      </c>
      <c r="B632" s="80" t="s">
        <v>337</v>
      </c>
      <c r="C632" s="87" t="s">
        <v>833</v>
      </c>
    </row>
    <row r="633" spans="1:3" x14ac:dyDescent="0.25">
      <c r="A633" s="81" t="s">
        <v>284</v>
      </c>
      <c r="B633" s="80" t="s">
        <v>268</v>
      </c>
      <c r="C633" s="87" t="s">
        <v>833</v>
      </c>
    </row>
    <row r="634" spans="1:3" x14ac:dyDescent="0.25">
      <c r="A634" s="81" t="s">
        <v>284</v>
      </c>
      <c r="B634" s="80" t="s">
        <v>258</v>
      </c>
      <c r="C634" s="87" t="s">
        <v>833</v>
      </c>
    </row>
    <row r="635" spans="1:3" x14ac:dyDescent="0.25">
      <c r="A635" s="81" t="s">
        <v>284</v>
      </c>
      <c r="B635" s="80" t="s">
        <v>296</v>
      </c>
      <c r="C635" s="87" t="s">
        <v>833</v>
      </c>
    </row>
    <row r="636" spans="1:3" x14ac:dyDescent="0.25">
      <c r="A636" s="81" t="s">
        <v>284</v>
      </c>
      <c r="B636" s="80" t="s">
        <v>1742</v>
      </c>
      <c r="C636" s="87" t="s">
        <v>833</v>
      </c>
    </row>
    <row r="637" spans="1:3" x14ac:dyDescent="0.25">
      <c r="A637" s="81" t="s">
        <v>284</v>
      </c>
      <c r="B637" s="80" t="s">
        <v>1751</v>
      </c>
      <c r="C637" s="87" t="s">
        <v>833</v>
      </c>
    </row>
    <row r="638" spans="1:3" x14ac:dyDescent="0.25">
      <c r="A638" s="81" t="s">
        <v>284</v>
      </c>
      <c r="B638" s="80" t="s">
        <v>2070</v>
      </c>
      <c r="C638" s="87" t="s">
        <v>833</v>
      </c>
    </row>
    <row r="639" spans="1:3" x14ac:dyDescent="0.25">
      <c r="A639" s="81" t="s">
        <v>284</v>
      </c>
      <c r="B639" s="80" t="s">
        <v>1693</v>
      </c>
      <c r="C639" s="87" t="s">
        <v>833</v>
      </c>
    </row>
    <row r="640" spans="1:3" x14ac:dyDescent="0.25">
      <c r="A640" s="81" t="s">
        <v>284</v>
      </c>
      <c r="B640" s="80" t="s">
        <v>2071</v>
      </c>
      <c r="C640" s="87" t="s">
        <v>833</v>
      </c>
    </row>
    <row r="641" spans="1:3" x14ac:dyDescent="0.25">
      <c r="A641" s="81" t="s">
        <v>284</v>
      </c>
      <c r="B641" s="80" t="s">
        <v>2072</v>
      </c>
      <c r="C641" s="87" t="s">
        <v>833</v>
      </c>
    </row>
    <row r="642" spans="1:3" x14ac:dyDescent="0.25">
      <c r="A642" s="81" t="s">
        <v>284</v>
      </c>
      <c r="B642" s="80" t="s">
        <v>1887</v>
      </c>
      <c r="C642" s="87" t="s">
        <v>833</v>
      </c>
    </row>
    <row r="643" spans="1:3" x14ac:dyDescent="0.25">
      <c r="A643" s="81" t="s">
        <v>284</v>
      </c>
      <c r="B643" s="80" t="s">
        <v>2073</v>
      </c>
      <c r="C643" s="87" t="s">
        <v>833</v>
      </c>
    </row>
    <row r="644" spans="1:3" x14ac:dyDescent="0.25">
      <c r="A644" s="81" t="s">
        <v>284</v>
      </c>
      <c r="B644" s="80" t="s">
        <v>1666</v>
      </c>
      <c r="C644" s="87" t="s">
        <v>833</v>
      </c>
    </row>
    <row r="645" spans="1:3" x14ac:dyDescent="0.25">
      <c r="A645" s="81" t="s">
        <v>284</v>
      </c>
      <c r="B645" s="80" t="s">
        <v>2074</v>
      </c>
      <c r="C645" s="87" t="s">
        <v>833</v>
      </c>
    </row>
    <row r="646" spans="1:3" x14ac:dyDescent="0.25">
      <c r="A646" s="81" t="s">
        <v>284</v>
      </c>
      <c r="B646" s="80" t="s">
        <v>338</v>
      </c>
      <c r="C646" s="87" t="s">
        <v>833</v>
      </c>
    </row>
    <row r="647" spans="1:3" x14ac:dyDescent="0.25">
      <c r="A647" s="81" t="s">
        <v>284</v>
      </c>
      <c r="B647" s="80" t="s">
        <v>1892</v>
      </c>
      <c r="C647" s="87" t="s">
        <v>833</v>
      </c>
    </row>
    <row r="648" spans="1:3" x14ac:dyDescent="0.25">
      <c r="A648" s="81" t="s">
        <v>284</v>
      </c>
      <c r="B648" s="80" t="s">
        <v>1761</v>
      </c>
      <c r="C648" s="87" t="s">
        <v>833</v>
      </c>
    </row>
    <row r="649" spans="1:3" x14ac:dyDescent="0.25">
      <c r="A649" s="81" t="s">
        <v>284</v>
      </c>
      <c r="B649" s="80" t="s">
        <v>1784</v>
      </c>
      <c r="C649" s="87" t="s">
        <v>833</v>
      </c>
    </row>
    <row r="650" spans="1:3" x14ac:dyDescent="0.25">
      <c r="A650" s="81" t="s">
        <v>284</v>
      </c>
      <c r="B650" s="80" t="s">
        <v>1868</v>
      </c>
      <c r="C650" s="87" t="s">
        <v>833</v>
      </c>
    </row>
    <row r="651" spans="1:3" x14ac:dyDescent="0.25">
      <c r="A651" s="81" t="s">
        <v>284</v>
      </c>
      <c r="B651" s="80" t="s">
        <v>1824</v>
      </c>
      <c r="C651" s="87" t="s">
        <v>833</v>
      </c>
    </row>
    <row r="652" spans="1:3" x14ac:dyDescent="0.25">
      <c r="A652" s="81" t="s">
        <v>284</v>
      </c>
      <c r="B652" s="80" t="s">
        <v>1689</v>
      </c>
      <c r="C652" s="87" t="s">
        <v>833</v>
      </c>
    </row>
    <row r="653" spans="1:3" x14ac:dyDescent="0.25">
      <c r="A653" s="81" t="s">
        <v>284</v>
      </c>
      <c r="B653" s="80" t="s">
        <v>1906</v>
      </c>
      <c r="C653" s="87" t="s">
        <v>833</v>
      </c>
    </row>
    <row r="654" spans="1:3" x14ac:dyDescent="0.25">
      <c r="A654" s="81" t="s">
        <v>263</v>
      </c>
      <c r="B654" s="80">
        <v>2024</v>
      </c>
      <c r="C654" s="87" t="s">
        <v>776</v>
      </c>
    </row>
    <row r="655" spans="1:3" x14ac:dyDescent="0.25">
      <c r="A655" s="81" t="s">
        <v>263</v>
      </c>
      <c r="B655" s="80">
        <v>15</v>
      </c>
      <c r="C655" s="87" t="s">
        <v>776</v>
      </c>
    </row>
    <row r="656" spans="1:3" x14ac:dyDescent="0.25">
      <c r="A656" s="81" t="s">
        <v>263</v>
      </c>
      <c r="B656" s="80" t="s">
        <v>2075</v>
      </c>
      <c r="C656" s="87" t="s">
        <v>776</v>
      </c>
    </row>
    <row r="657" spans="1:3" x14ac:dyDescent="0.25">
      <c r="A657" s="81" t="s">
        <v>263</v>
      </c>
      <c r="B657" s="80" t="s">
        <v>2076</v>
      </c>
      <c r="C657" s="87" t="s">
        <v>776</v>
      </c>
    </row>
    <row r="658" spans="1:3" x14ac:dyDescent="0.25">
      <c r="A658" s="81" t="s">
        <v>263</v>
      </c>
      <c r="B658" s="80" t="s">
        <v>2077</v>
      </c>
      <c r="C658" s="87" t="s">
        <v>776</v>
      </c>
    </row>
    <row r="659" spans="1:3" x14ac:dyDescent="0.25">
      <c r="A659" s="81" t="s">
        <v>263</v>
      </c>
      <c r="B659" s="80" t="s">
        <v>1737</v>
      </c>
      <c r="C659" s="87" t="s">
        <v>776</v>
      </c>
    </row>
    <row r="660" spans="1:3" x14ac:dyDescent="0.25">
      <c r="A660" s="81" t="s">
        <v>263</v>
      </c>
      <c r="B660" s="80" t="s">
        <v>1675</v>
      </c>
      <c r="C660" s="87" t="s">
        <v>776</v>
      </c>
    </row>
    <row r="661" spans="1:3" x14ac:dyDescent="0.25">
      <c r="A661" s="81" t="s">
        <v>263</v>
      </c>
      <c r="B661" s="80" t="s">
        <v>1680</v>
      </c>
      <c r="C661" s="87" t="s">
        <v>776</v>
      </c>
    </row>
    <row r="662" spans="1:3" x14ac:dyDescent="0.25">
      <c r="A662" s="81" t="s">
        <v>263</v>
      </c>
      <c r="B662" s="80" t="s">
        <v>1642</v>
      </c>
      <c r="C662" s="87" t="s">
        <v>776</v>
      </c>
    </row>
    <row r="663" spans="1:3" x14ac:dyDescent="0.25">
      <c r="A663" s="81" t="s">
        <v>263</v>
      </c>
      <c r="B663" s="80" t="s">
        <v>1643</v>
      </c>
      <c r="C663" s="87" t="s">
        <v>776</v>
      </c>
    </row>
    <row r="664" spans="1:3" x14ac:dyDescent="0.25">
      <c r="A664" s="81" t="s">
        <v>263</v>
      </c>
      <c r="B664" s="80" t="s">
        <v>2078</v>
      </c>
      <c r="C664" s="87" t="s">
        <v>776</v>
      </c>
    </row>
    <row r="665" spans="1:3" x14ac:dyDescent="0.25">
      <c r="A665" s="81" t="s">
        <v>263</v>
      </c>
      <c r="B665" s="80" t="s">
        <v>2079</v>
      </c>
      <c r="C665" s="87" t="s">
        <v>776</v>
      </c>
    </row>
    <row r="666" spans="1:3" x14ac:dyDescent="0.25">
      <c r="A666" s="81" t="s">
        <v>263</v>
      </c>
      <c r="B666" s="80" t="s">
        <v>2080</v>
      </c>
      <c r="C666" s="87" t="s">
        <v>776</v>
      </c>
    </row>
    <row r="667" spans="1:3" x14ac:dyDescent="0.25">
      <c r="A667" s="81" t="s">
        <v>263</v>
      </c>
      <c r="B667" s="80" t="s">
        <v>1688</v>
      </c>
      <c r="C667" s="87" t="s">
        <v>776</v>
      </c>
    </row>
    <row r="668" spans="1:3" x14ac:dyDescent="0.25">
      <c r="A668" s="81" t="s">
        <v>263</v>
      </c>
      <c r="B668" s="80" t="s">
        <v>1674</v>
      </c>
      <c r="C668" s="87" t="s">
        <v>776</v>
      </c>
    </row>
    <row r="669" spans="1:3" x14ac:dyDescent="0.25">
      <c r="A669" s="81" t="s">
        <v>263</v>
      </c>
      <c r="B669" s="80" t="s">
        <v>1900</v>
      </c>
      <c r="C669" s="87" t="s">
        <v>776</v>
      </c>
    </row>
    <row r="670" spans="1:3" x14ac:dyDescent="0.25">
      <c r="A670" s="81" t="s">
        <v>263</v>
      </c>
      <c r="B670" s="80" t="s">
        <v>2081</v>
      </c>
      <c r="C670" s="87" t="s">
        <v>776</v>
      </c>
    </row>
    <row r="671" spans="1:3" x14ac:dyDescent="0.25">
      <c r="A671" s="81" t="s">
        <v>263</v>
      </c>
      <c r="B671" s="80" t="s">
        <v>2082</v>
      </c>
      <c r="C671" s="87" t="s">
        <v>776</v>
      </c>
    </row>
    <row r="672" spans="1:3" x14ac:dyDescent="0.25">
      <c r="A672" s="81" t="s">
        <v>263</v>
      </c>
      <c r="B672" s="80" t="s">
        <v>2083</v>
      </c>
      <c r="C672" s="87" t="s">
        <v>776</v>
      </c>
    </row>
    <row r="673" spans="1:3" x14ac:dyDescent="0.25">
      <c r="A673" s="81" t="s">
        <v>263</v>
      </c>
      <c r="B673" s="80" t="s">
        <v>1659</v>
      </c>
      <c r="C673" s="87" t="s">
        <v>776</v>
      </c>
    </row>
    <row r="674" spans="1:3" x14ac:dyDescent="0.25">
      <c r="A674" s="81" t="s">
        <v>263</v>
      </c>
      <c r="B674" s="80" t="s">
        <v>1640</v>
      </c>
      <c r="C674" s="87" t="s">
        <v>776</v>
      </c>
    </row>
    <row r="675" spans="1:3" x14ac:dyDescent="0.25">
      <c r="A675" s="81" t="s">
        <v>263</v>
      </c>
      <c r="B675" s="80" t="s">
        <v>1913</v>
      </c>
      <c r="C675" s="87" t="s">
        <v>776</v>
      </c>
    </row>
    <row r="676" spans="1:3" x14ac:dyDescent="0.25">
      <c r="A676" s="81" t="s">
        <v>289</v>
      </c>
      <c r="B676" s="80">
        <v>2023</v>
      </c>
      <c r="C676" s="87" t="s">
        <v>839</v>
      </c>
    </row>
    <row r="677" spans="1:3" x14ac:dyDescent="0.25">
      <c r="A677" s="81" t="s">
        <v>289</v>
      </c>
      <c r="B677" s="80">
        <v>15</v>
      </c>
      <c r="C677" s="87" t="s">
        <v>839</v>
      </c>
    </row>
    <row r="678" spans="1:3" x14ac:dyDescent="0.25">
      <c r="A678" s="81" t="s">
        <v>289</v>
      </c>
      <c r="B678" s="80" t="s">
        <v>2084</v>
      </c>
      <c r="C678" s="87" t="s">
        <v>839</v>
      </c>
    </row>
    <row r="679" spans="1:3" x14ac:dyDescent="0.25">
      <c r="A679" s="81" t="s">
        <v>289</v>
      </c>
      <c r="B679" s="80" t="s">
        <v>2085</v>
      </c>
      <c r="C679" s="87" t="s">
        <v>839</v>
      </c>
    </row>
    <row r="680" spans="1:3" x14ac:dyDescent="0.25">
      <c r="A680" s="81" t="s">
        <v>289</v>
      </c>
      <c r="B680" s="80">
        <v>800</v>
      </c>
      <c r="C680" s="87" t="s">
        <v>839</v>
      </c>
    </row>
    <row r="681" spans="1:3" x14ac:dyDescent="0.25">
      <c r="A681" s="81" t="s">
        <v>289</v>
      </c>
      <c r="B681" s="80">
        <v>600</v>
      </c>
      <c r="C681" s="87" t="s">
        <v>839</v>
      </c>
    </row>
    <row r="682" spans="1:3" x14ac:dyDescent="0.25">
      <c r="A682" s="81" t="s">
        <v>289</v>
      </c>
      <c r="B682" s="80" t="s">
        <v>1678</v>
      </c>
      <c r="C682" s="87" t="s">
        <v>839</v>
      </c>
    </row>
    <row r="683" spans="1:3" x14ac:dyDescent="0.25">
      <c r="A683" s="81" t="s">
        <v>289</v>
      </c>
      <c r="B683" s="80" t="s">
        <v>1691</v>
      </c>
      <c r="C683" s="87" t="s">
        <v>839</v>
      </c>
    </row>
    <row r="684" spans="1:3" x14ac:dyDescent="0.25">
      <c r="A684" s="81" t="s">
        <v>289</v>
      </c>
      <c r="B684" s="80" t="s">
        <v>1653</v>
      </c>
      <c r="C684" s="87" t="s">
        <v>839</v>
      </c>
    </row>
    <row r="685" spans="1:3" x14ac:dyDescent="0.25">
      <c r="A685" s="81" t="s">
        <v>289</v>
      </c>
      <c r="B685" s="80" t="s">
        <v>1662</v>
      </c>
      <c r="C685" s="87" t="s">
        <v>839</v>
      </c>
    </row>
    <row r="686" spans="1:3" x14ac:dyDescent="0.25">
      <c r="A686" s="81" t="s">
        <v>289</v>
      </c>
      <c r="B686" s="80" t="s">
        <v>1660</v>
      </c>
      <c r="C686" s="87" t="s">
        <v>839</v>
      </c>
    </row>
    <row r="687" spans="1:3" x14ac:dyDescent="0.25">
      <c r="A687" s="81" t="s">
        <v>289</v>
      </c>
      <c r="B687" s="80" t="s">
        <v>1679</v>
      </c>
      <c r="C687" s="87" t="s">
        <v>839</v>
      </c>
    </row>
    <row r="688" spans="1:3" x14ac:dyDescent="0.25">
      <c r="A688" s="81" t="s">
        <v>289</v>
      </c>
      <c r="B688" s="80" t="s">
        <v>268</v>
      </c>
      <c r="C688" s="87" t="s">
        <v>839</v>
      </c>
    </row>
    <row r="689" spans="1:3" x14ac:dyDescent="0.25">
      <c r="A689" s="81" t="s">
        <v>289</v>
      </c>
      <c r="B689" s="80">
        <v>2024</v>
      </c>
      <c r="C689" s="87" t="s">
        <v>839</v>
      </c>
    </row>
    <row r="690" spans="1:3" x14ac:dyDescent="0.25">
      <c r="A690" s="81" t="s">
        <v>289</v>
      </c>
      <c r="B690" s="80" t="s">
        <v>1658</v>
      </c>
      <c r="C690" s="87" t="s">
        <v>839</v>
      </c>
    </row>
    <row r="691" spans="1:3" x14ac:dyDescent="0.25">
      <c r="A691" s="81" t="s">
        <v>289</v>
      </c>
      <c r="B691" s="80" t="s">
        <v>1645</v>
      </c>
      <c r="C691" s="87" t="s">
        <v>839</v>
      </c>
    </row>
    <row r="692" spans="1:3" x14ac:dyDescent="0.25">
      <c r="A692" s="81" t="s">
        <v>259</v>
      </c>
      <c r="B692" s="80" t="s">
        <v>258</v>
      </c>
      <c r="C692" s="87" t="s">
        <v>765</v>
      </c>
    </row>
    <row r="693" spans="1:3" x14ac:dyDescent="0.25">
      <c r="A693" s="81" t="s">
        <v>259</v>
      </c>
      <c r="B693" s="80" t="s">
        <v>1661</v>
      </c>
      <c r="C693" s="87" t="s">
        <v>765</v>
      </c>
    </row>
    <row r="694" spans="1:3" x14ac:dyDescent="0.25">
      <c r="A694" s="81" t="s">
        <v>259</v>
      </c>
      <c r="B694" s="80" t="s">
        <v>1766</v>
      </c>
      <c r="C694" s="87" t="s">
        <v>765</v>
      </c>
    </row>
    <row r="695" spans="1:3" x14ac:dyDescent="0.25">
      <c r="A695" s="81" t="s">
        <v>259</v>
      </c>
      <c r="B695" s="80" t="s">
        <v>1680</v>
      </c>
      <c r="C695" s="87" t="s">
        <v>765</v>
      </c>
    </row>
    <row r="696" spans="1:3" x14ac:dyDescent="0.25">
      <c r="A696" s="81" t="s">
        <v>259</v>
      </c>
      <c r="B696" s="80" t="s">
        <v>1692</v>
      </c>
      <c r="C696" s="87" t="s">
        <v>765</v>
      </c>
    </row>
    <row r="697" spans="1:3" x14ac:dyDescent="0.25">
      <c r="A697" s="81" t="s">
        <v>259</v>
      </c>
      <c r="B697" s="80" t="s">
        <v>1723</v>
      </c>
      <c r="C697" s="87" t="s">
        <v>765</v>
      </c>
    </row>
    <row r="698" spans="1:3" x14ac:dyDescent="0.25">
      <c r="A698" s="81" t="s">
        <v>259</v>
      </c>
      <c r="B698" s="80" t="s">
        <v>1676</v>
      </c>
      <c r="C698" s="87" t="s">
        <v>765</v>
      </c>
    </row>
    <row r="699" spans="1:3" x14ac:dyDescent="0.25">
      <c r="A699" s="81" t="s">
        <v>259</v>
      </c>
      <c r="B699" s="80" t="s">
        <v>1718</v>
      </c>
      <c r="C699" s="87" t="s">
        <v>765</v>
      </c>
    </row>
    <row r="700" spans="1:3" x14ac:dyDescent="0.25">
      <c r="A700" s="81" t="s">
        <v>259</v>
      </c>
      <c r="B700" s="80" t="s">
        <v>1808</v>
      </c>
      <c r="C700" s="87" t="s">
        <v>765</v>
      </c>
    </row>
    <row r="701" spans="1:3" x14ac:dyDescent="0.25">
      <c r="A701" s="81" t="s">
        <v>259</v>
      </c>
      <c r="B701" s="80" t="s">
        <v>268</v>
      </c>
      <c r="C701" s="87" t="s">
        <v>765</v>
      </c>
    </row>
    <row r="702" spans="1:3" x14ac:dyDescent="0.25">
      <c r="A702" s="81" t="s">
        <v>259</v>
      </c>
      <c r="B702" s="80" t="s">
        <v>1774</v>
      </c>
      <c r="C702" s="87" t="s">
        <v>765</v>
      </c>
    </row>
    <row r="703" spans="1:3" x14ac:dyDescent="0.25">
      <c r="A703" s="81" t="s">
        <v>259</v>
      </c>
      <c r="B703" s="80" t="s">
        <v>1688</v>
      </c>
      <c r="C703" s="87" t="s">
        <v>765</v>
      </c>
    </row>
    <row r="704" spans="1:3" x14ac:dyDescent="0.25">
      <c r="A704" s="81" t="s">
        <v>259</v>
      </c>
      <c r="B704" s="80" t="s">
        <v>1768</v>
      </c>
      <c r="C704" s="87" t="s">
        <v>765</v>
      </c>
    </row>
    <row r="705" spans="1:3" x14ac:dyDescent="0.25">
      <c r="A705" s="81" t="s">
        <v>259</v>
      </c>
      <c r="B705" s="80" t="s">
        <v>257</v>
      </c>
      <c r="C705" s="87" t="s">
        <v>765</v>
      </c>
    </row>
    <row r="706" spans="1:3" x14ac:dyDescent="0.25">
      <c r="A706" s="81" t="s">
        <v>305</v>
      </c>
      <c r="B706" s="80" t="s">
        <v>1748</v>
      </c>
      <c r="C706" s="87" t="s">
        <v>869</v>
      </c>
    </row>
    <row r="707" spans="1:3" x14ac:dyDescent="0.25">
      <c r="A707" s="81" t="s">
        <v>305</v>
      </c>
      <c r="B707" s="80" t="s">
        <v>1727</v>
      </c>
      <c r="C707" s="87" t="s">
        <v>869</v>
      </c>
    </row>
    <row r="708" spans="1:3" x14ac:dyDescent="0.25">
      <c r="A708" s="81" t="s">
        <v>305</v>
      </c>
      <c r="B708" s="80" t="s">
        <v>1731</v>
      </c>
      <c r="C708" s="87" t="s">
        <v>869</v>
      </c>
    </row>
    <row r="709" spans="1:3" x14ac:dyDescent="0.25">
      <c r="A709" s="81" t="s">
        <v>305</v>
      </c>
      <c r="B709" s="80" t="s">
        <v>1754</v>
      </c>
      <c r="C709" s="87" t="s">
        <v>869</v>
      </c>
    </row>
    <row r="710" spans="1:3" x14ac:dyDescent="0.25">
      <c r="A710" s="81" t="s">
        <v>305</v>
      </c>
      <c r="B710" s="80" t="s">
        <v>1641</v>
      </c>
      <c r="C710" s="87" t="s">
        <v>869</v>
      </c>
    </row>
    <row r="711" spans="1:3" x14ac:dyDescent="0.25">
      <c r="A711" s="81" t="s">
        <v>305</v>
      </c>
      <c r="B711" s="80" t="s">
        <v>1726</v>
      </c>
      <c r="C711" s="87" t="s">
        <v>869</v>
      </c>
    </row>
    <row r="712" spans="1:3" x14ac:dyDescent="0.25">
      <c r="A712" s="81" t="s">
        <v>305</v>
      </c>
      <c r="B712" s="80" t="s">
        <v>1746</v>
      </c>
      <c r="C712" s="87" t="s">
        <v>869</v>
      </c>
    </row>
    <row r="713" spans="1:3" x14ac:dyDescent="0.25">
      <c r="A713" s="81" t="s">
        <v>305</v>
      </c>
      <c r="B713" s="80" t="s">
        <v>304</v>
      </c>
      <c r="C713" s="87" t="s">
        <v>869</v>
      </c>
    </row>
    <row r="714" spans="1:3" x14ac:dyDescent="0.25">
      <c r="A714" s="81" t="s">
        <v>305</v>
      </c>
      <c r="B714" s="80" t="s">
        <v>1730</v>
      </c>
      <c r="C714" s="87" t="s">
        <v>869</v>
      </c>
    </row>
    <row r="715" spans="1:3" x14ac:dyDescent="0.25">
      <c r="A715" s="81" t="s">
        <v>305</v>
      </c>
      <c r="B715" s="80" t="s">
        <v>1744</v>
      </c>
      <c r="C715" s="87" t="s">
        <v>869</v>
      </c>
    </row>
    <row r="716" spans="1:3" x14ac:dyDescent="0.25">
      <c r="A716" s="81" t="s">
        <v>305</v>
      </c>
      <c r="B716" s="80" t="s">
        <v>1736</v>
      </c>
      <c r="C716" s="87" t="s">
        <v>869</v>
      </c>
    </row>
    <row r="717" spans="1:3" x14ac:dyDescent="0.25">
      <c r="A717" s="81" t="s">
        <v>305</v>
      </c>
      <c r="B717" s="80" t="s">
        <v>1729</v>
      </c>
      <c r="C717" s="87" t="s">
        <v>869</v>
      </c>
    </row>
    <row r="718" spans="1:3" x14ac:dyDescent="0.25">
      <c r="A718" s="81" t="s">
        <v>305</v>
      </c>
      <c r="B718" s="80" t="s">
        <v>1725</v>
      </c>
      <c r="C718" s="87" t="s">
        <v>869</v>
      </c>
    </row>
    <row r="719" spans="1:3" x14ac:dyDescent="0.25">
      <c r="A719" s="81" t="s">
        <v>305</v>
      </c>
      <c r="B719" s="80" t="s">
        <v>302</v>
      </c>
      <c r="C719" s="87" t="s">
        <v>869</v>
      </c>
    </row>
    <row r="720" spans="1:3" x14ac:dyDescent="0.25">
      <c r="A720" s="81" t="s">
        <v>298</v>
      </c>
      <c r="B720" s="80" t="s">
        <v>268</v>
      </c>
      <c r="C720" s="87" t="s">
        <v>853</v>
      </c>
    </row>
    <row r="721" spans="1:3" x14ac:dyDescent="0.25">
      <c r="A721" s="81" t="s">
        <v>298</v>
      </c>
      <c r="B721" s="80" t="s">
        <v>2086</v>
      </c>
      <c r="C721" s="87" t="s">
        <v>853</v>
      </c>
    </row>
    <row r="722" spans="1:3" x14ac:dyDescent="0.25">
      <c r="A722" s="81" t="s">
        <v>298</v>
      </c>
      <c r="B722" s="80" t="s">
        <v>2087</v>
      </c>
      <c r="C722" s="87" t="s">
        <v>853</v>
      </c>
    </row>
    <row r="723" spans="1:3" x14ac:dyDescent="0.25">
      <c r="A723" s="81" t="s">
        <v>298</v>
      </c>
      <c r="B723" s="80" t="s">
        <v>2088</v>
      </c>
      <c r="C723" s="87" t="s">
        <v>853</v>
      </c>
    </row>
    <row r="724" spans="1:3" x14ac:dyDescent="0.25">
      <c r="A724" s="81" t="s">
        <v>298</v>
      </c>
      <c r="B724" s="80" t="s">
        <v>2089</v>
      </c>
      <c r="C724" s="87" t="s">
        <v>853</v>
      </c>
    </row>
    <row r="725" spans="1:3" x14ac:dyDescent="0.25">
      <c r="A725" s="81" t="s">
        <v>298</v>
      </c>
      <c r="B725" s="80" t="s">
        <v>2090</v>
      </c>
      <c r="C725" s="87" t="s">
        <v>853</v>
      </c>
    </row>
    <row r="726" spans="1:3" x14ac:dyDescent="0.25">
      <c r="A726" s="81" t="s">
        <v>298</v>
      </c>
      <c r="B726" s="80" t="s">
        <v>2091</v>
      </c>
      <c r="C726" s="87" t="s">
        <v>853</v>
      </c>
    </row>
    <row r="727" spans="1:3" x14ac:dyDescent="0.25">
      <c r="A727" s="81" t="s">
        <v>298</v>
      </c>
      <c r="B727" s="80" t="s">
        <v>351</v>
      </c>
      <c r="C727" s="87" t="s">
        <v>853</v>
      </c>
    </row>
    <row r="728" spans="1:3" x14ac:dyDescent="0.25">
      <c r="A728" s="81" t="s">
        <v>298</v>
      </c>
      <c r="B728" s="80" t="s">
        <v>1684</v>
      </c>
      <c r="C728" s="87" t="s">
        <v>853</v>
      </c>
    </row>
    <row r="729" spans="1:3" x14ac:dyDescent="0.25">
      <c r="A729" s="81" t="s">
        <v>253</v>
      </c>
      <c r="B729" s="80">
        <v>800</v>
      </c>
      <c r="C729" s="87" t="s">
        <v>758</v>
      </c>
    </row>
    <row r="730" spans="1:3" x14ac:dyDescent="0.25">
      <c r="A730" s="81" t="s">
        <v>253</v>
      </c>
      <c r="B730" s="80">
        <v>600</v>
      </c>
      <c r="C730" s="87" t="s">
        <v>758</v>
      </c>
    </row>
    <row r="731" spans="1:3" x14ac:dyDescent="0.25">
      <c r="A731" s="81" t="s">
        <v>253</v>
      </c>
      <c r="B731" s="80" t="s">
        <v>1678</v>
      </c>
      <c r="C731" s="87" t="s">
        <v>758</v>
      </c>
    </row>
    <row r="732" spans="1:3" x14ac:dyDescent="0.25">
      <c r="A732" s="81" t="s">
        <v>253</v>
      </c>
      <c r="B732" s="80" t="s">
        <v>1691</v>
      </c>
      <c r="C732" s="87" t="s">
        <v>758</v>
      </c>
    </row>
    <row r="733" spans="1:3" x14ac:dyDescent="0.25">
      <c r="A733" s="81" t="s">
        <v>253</v>
      </c>
      <c r="B733" s="80" t="s">
        <v>1653</v>
      </c>
      <c r="C733" s="87" t="s">
        <v>758</v>
      </c>
    </row>
    <row r="734" spans="1:3" x14ac:dyDescent="0.25">
      <c r="A734" s="81" t="s">
        <v>253</v>
      </c>
      <c r="B734" s="80" t="s">
        <v>1662</v>
      </c>
      <c r="C734" s="87" t="s">
        <v>758</v>
      </c>
    </row>
    <row r="735" spans="1:3" x14ac:dyDescent="0.25">
      <c r="A735" s="81" t="s">
        <v>253</v>
      </c>
      <c r="B735" s="80" t="s">
        <v>1660</v>
      </c>
      <c r="C735" s="87" t="s">
        <v>758</v>
      </c>
    </row>
    <row r="736" spans="1:3" x14ac:dyDescent="0.25">
      <c r="A736" s="81" t="s">
        <v>253</v>
      </c>
      <c r="B736" s="80" t="s">
        <v>1679</v>
      </c>
      <c r="C736" s="87" t="s">
        <v>758</v>
      </c>
    </row>
    <row r="737" spans="1:3" x14ac:dyDescent="0.25">
      <c r="A737" s="81" t="s">
        <v>253</v>
      </c>
      <c r="B737" s="80" t="s">
        <v>268</v>
      </c>
      <c r="C737" s="87" t="s">
        <v>758</v>
      </c>
    </row>
    <row r="738" spans="1:3" x14ac:dyDescent="0.25">
      <c r="A738" s="81" t="s">
        <v>253</v>
      </c>
      <c r="B738" s="80">
        <v>2024</v>
      </c>
      <c r="C738" s="87" t="s">
        <v>758</v>
      </c>
    </row>
    <row r="739" spans="1:3" x14ac:dyDescent="0.25">
      <c r="A739" s="81" t="s">
        <v>253</v>
      </c>
      <c r="B739" s="80" t="s">
        <v>1658</v>
      </c>
      <c r="C739" s="87" t="s">
        <v>758</v>
      </c>
    </row>
    <row r="740" spans="1:3" x14ac:dyDescent="0.25">
      <c r="A740" s="81" t="s">
        <v>253</v>
      </c>
      <c r="B740" s="80" t="s">
        <v>1645</v>
      </c>
      <c r="C740" s="87" t="s">
        <v>758</v>
      </c>
    </row>
    <row r="741" spans="1:3" x14ac:dyDescent="0.25">
      <c r="A741" s="81" t="s">
        <v>253</v>
      </c>
      <c r="B741" s="80" t="s">
        <v>289</v>
      </c>
      <c r="C741" s="87" t="s">
        <v>758</v>
      </c>
    </row>
    <row r="742" spans="1:3" x14ac:dyDescent="0.25">
      <c r="A742" s="81" t="s">
        <v>268</v>
      </c>
      <c r="B742" s="80" t="s">
        <v>2092</v>
      </c>
      <c r="C742" s="87" t="s">
        <v>806</v>
      </c>
    </row>
    <row r="743" spans="1:3" x14ac:dyDescent="0.25">
      <c r="A743" s="81" t="s">
        <v>268</v>
      </c>
      <c r="B743" s="80" t="s">
        <v>1871</v>
      </c>
      <c r="C743" s="87" t="s">
        <v>806</v>
      </c>
    </row>
    <row r="744" spans="1:3" x14ac:dyDescent="0.25">
      <c r="A744" s="81" t="s">
        <v>268</v>
      </c>
      <c r="B744" s="80" t="s">
        <v>1883</v>
      </c>
      <c r="C744" s="87" t="s">
        <v>806</v>
      </c>
    </row>
    <row r="745" spans="1:3" x14ac:dyDescent="0.25">
      <c r="A745" s="81" t="s">
        <v>268</v>
      </c>
      <c r="B745" s="80" t="s">
        <v>275</v>
      </c>
      <c r="C745" s="87" t="s">
        <v>806</v>
      </c>
    </row>
    <row r="746" spans="1:3" x14ac:dyDescent="0.25">
      <c r="A746" s="81" t="s">
        <v>268</v>
      </c>
      <c r="B746" s="80" t="s">
        <v>1817</v>
      </c>
      <c r="C746" s="87" t="s">
        <v>806</v>
      </c>
    </row>
    <row r="747" spans="1:3" x14ac:dyDescent="0.25">
      <c r="A747" s="81" t="s">
        <v>268</v>
      </c>
      <c r="B747" s="80" t="s">
        <v>1877</v>
      </c>
      <c r="C747" s="87" t="s">
        <v>806</v>
      </c>
    </row>
    <row r="748" spans="1:3" x14ac:dyDescent="0.25">
      <c r="A748" s="81" t="s">
        <v>268</v>
      </c>
      <c r="B748" s="80" t="s">
        <v>1657</v>
      </c>
      <c r="C748" s="87" t="s">
        <v>806</v>
      </c>
    </row>
    <row r="749" spans="1:3" x14ac:dyDescent="0.25">
      <c r="A749" s="81" t="s">
        <v>268</v>
      </c>
      <c r="B749" s="80" t="s">
        <v>1759</v>
      </c>
      <c r="C749" s="87" t="s">
        <v>806</v>
      </c>
    </row>
    <row r="750" spans="1:3" x14ac:dyDescent="0.25">
      <c r="A750" s="81" t="s">
        <v>268</v>
      </c>
      <c r="B750" s="80" t="s">
        <v>1821</v>
      </c>
      <c r="C750" s="87" t="s">
        <v>806</v>
      </c>
    </row>
    <row r="751" spans="1:3" x14ac:dyDescent="0.25">
      <c r="A751" s="81" t="s">
        <v>268</v>
      </c>
      <c r="B751" s="80" t="s">
        <v>1825</v>
      </c>
      <c r="C751" s="87" t="s">
        <v>806</v>
      </c>
    </row>
    <row r="752" spans="1:3" x14ac:dyDescent="0.25">
      <c r="A752" s="81" t="s">
        <v>268</v>
      </c>
      <c r="B752" s="80" t="s">
        <v>1793</v>
      </c>
      <c r="C752" s="87" t="s">
        <v>806</v>
      </c>
    </row>
    <row r="753" spans="1:3" x14ac:dyDescent="0.25">
      <c r="A753" s="81" t="s">
        <v>268</v>
      </c>
      <c r="B753" s="80" t="s">
        <v>249</v>
      </c>
      <c r="C753" s="87" t="s">
        <v>806</v>
      </c>
    </row>
    <row r="754" spans="1:3" x14ac:dyDescent="0.25">
      <c r="A754" s="81" t="s">
        <v>306</v>
      </c>
      <c r="B754" s="80" t="s">
        <v>495</v>
      </c>
      <c r="C754" s="87" t="s">
        <v>870</v>
      </c>
    </row>
    <row r="755" spans="1:3" x14ac:dyDescent="0.25">
      <c r="A755" s="81" t="s">
        <v>306</v>
      </c>
      <c r="B755" s="80" t="s">
        <v>359</v>
      </c>
      <c r="C755" s="87" t="s">
        <v>870</v>
      </c>
    </row>
    <row r="756" spans="1:3" x14ac:dyDescent="0.25">
      <c r="A756" s="81" t="s">
        <v>306</v>
      </c>
      <c r="B756" s="80" t="s">
        <v>360</v>
      </c>
      <c r="C756" s="87" t="s">
        <v>870</v>
      </c>
    </row>
    <row r="757" spans="1:3" x14ac:dyDescent="0.25">
      <c r="A757" s="81" t="s">
        <v>306</v>
      </c>
      <c r="B757" s="80" t="s">
        <v>361</v>
      </c>
      <c r="C757" s="87" t="s">
        <v>870</v>
      </c>
    </row>
    <row r="758" spans="1:3" x14ac:dyDescent="0.25">
      <c r="A758" s="81" t="s">
        <v>306</v>
      </c>
      <c r="B758" s="80" t="s">
        <v>1799</v>
      </c>
      <c r="C758" s="87" t="s">
        <v>870</v>
      </c>
    </row>
    <row r="759" spans="1:3" x14ac:dyDescent="0.25">
      <c r="A759" s="81" t="s">
        <v>306</v>
      </c>
      <c r="B759" s="80" t="s">
        <v>1665</v>
      </c>
      <c r="C759" s="87" t="s">
        <v>870</v>
      </c>
    </row>
    <row r="760" spans="1:3" x14ac:dyDescent="0.25">
      <c r="A760" s="81" t="s">
        <v>306</v>
      </c>
      <c r="B760" s="80" t="s">
        <v>1657</v>
      </c>
      <c r="C760" s="87" t="s">
        <v>870</v>
      </c>
    </row>
    <row r="761" spans="1:3" x14ac:dyDescent="0.25">
      <c r="A761" s="81" t="s">
        <v>306</v>
      </c>
      <c r="B761" s="80">
        <v>400</v>
      </c>
      <c r="C761" s="87" t="s">
        <v>870</v>
      </c>
    </row>
    <row r="762" spans="1:3" x14ac:dyDescent="0.25">
      <c r="A762" s="81" t="s">
        <v>306</v>
      </c>
      <c r="B762" s="80" t="s">
        <v>2093</v>
      </c>
      <c r="C762" s="87" t="s">
        <v>870</v>
      </c>
    </row>
    <row r="763" spans="1:3" x14ac:dyDescent="0.25">
      <c r="A763" s="81" t="s">
        <v>306</v>
      </c>
      <c r="B763" s="80" t="s">
        <v>2094</v>
      </c>
      <c r="C763" s="87" t="s">
        <v>870</v>
      </c>
    </row>
    <row r="764" spans="1:3" x14ac:dyDescent="0.25">
      <c r="A764" s="81" t="s">
        <v>306</v>
      </c>
      <c r="B764" s="80" t="s">
        <v>1701</v>
      </c>
      <c r="C764" s="87" t="s">
        <v>870</v>
      </c>
    </row>
    <row r="765" spans="1:3" x14ac:dyDescent="0.25">
      <c r="A765" s="81" t="s">
        <v>306</v>
      </c>
      <c r="B765" s="80">
        <v>2025</v>
      </c>
      <c r="C765" s="87" t="s">
        <v>870</v>
      </c>
    </row>
    <row r="766" spans="1:3" x14ac:dyDescent="0.25">
      <c r="A766" s="81" t="s">
        <v>306</v>
      </c>
      <c r="B766" s="80" t="s">
        <v>1711</v>
      </c>
      <c r="C766" s="87" t="s">
        <v>870</v>
      </c>
    </row>
    <row r="767" spans="1:3" x14ac:dyDescent="0.25">
      <c r="A767" s="81" t="s">
        <v>306</v>
      </c>
      <c r="B767" s="80" t="s">
        <v>1640</v>
      </c>
      <c r="C767" s="87" t="s">
        <v>870</v>
      </c>
    </row>
    <row r="768" spans="1:3" x14ac:dyDescent="0.25">
      <c r="A768" s="81" t="s">
        <v>306</v>
      </c>
      <c r="B768" s="80" t="s">
        <v>1710</v>
      </c>
      <c r="C768" s="87" t="s">
        <v>870</v>
      </c>
    </row>
    <row r="769" spans="1:3" x14ac:dyDescent="0.25">
      <c r="A769" s="81" t="s">
        <v>306</v>
      </c>
      <c r="B769" s="80" t="s">
        <v>1715</v>
      </c>
      <c r="C769" s="87" t="s">
        <v>870</v>
      </c>
    </row>
    <row r="770" spans="1:3" x14ac:dyDescent="0.25">
      <c r="A770" s="81" t="s">
        <v>306</v>
      </c>
      <c r="B770" s="80" t="s">
        <v>1655</v>
      </c>
      <c r="C770" s="87" t="s">
        <v>870</v>
      </c>
    </row>
    <row r="771" spans="1:3" x14ac:dyDescent="0.25">
      <c r="A771" s="81" t="s">
        <v>306</v>
      </c>
      <c r="B771" s="80" t="s">
        <v>1714</v>
      </c>
      <c r="C771" s="87" t="s">
        <v>870</v>
      </c>
    </row>
    <row r="772" spans="1:3" x14ac:dyDescent="0.25">
      <c r="A772" s="81" t="s">
        <v>306</v>
      </c>
      <c r="B772" s="80" t="s">
        <v>1721</v>
      </c>
      <c r="C772" s="87" t="s">
        <v>870</v>
      </c>
    </row>
    <row r="773" spans="1:3" x14ac:dyDescent="0.25">
      <c r="A773" s="81" t="s">
        <v>306</v>
      </c>
      <c r="B773" s="80">
        <v>2024</v>
      </c>
      <c r="C773" s="87" t="s">
        <v>870</v>
      </c>
    </row>
    <row r="774" spans="1:3" x14ac:dyDescent="0.25">
      <c r="A774" s="81" t="s">
        <v>306</v>
      </c>
      <c r="B774" s="80" t="s">
        <v>1698</v>
      </c>
      <c r="C774" s="87" t="s">
        <v>870</v>
      </c>
    </row>
    <row r="775" spans="1:3" x14ac:dyDescent="0.25">
      <c r="A775" s="81" t="s">
        <v>306</v>
      </c>
      <c r="B775" s="80" t="s">
        <v>1647</v>
      </c>
      <c r="C775" s="87" t="s">
        <v>870</v>
      </c>
    </row>
    <row r="776" spans="1:3" x14ac:dyDescent="0.25">
      <c r="A776" s="81" t="s">
        <v>280</v>
      </c>
      <c r="B776" s="80" t="s">
        <v>1751</v>
      </c>
      <c r="C776" s="87" t="s">
        <v>821</v>
      </c>
    </row>
    <row r="777" spans="1:3" x14ac:dyDescent="0.25">
      <c r="A777" s="81" t="s">
        <v>280</v>
      </c>
      <c r="B777" s="80" t="s">
        <v>328</v>
      </c>
      <c r="C777" s="87" t="s">
        <v>821</v>
      </c>
    </row>
    <row r="778" spans="1:3" x14ac:dyDescent="0.25">
      <c r="A778" s="81" t="s">
        <v>280</v>
      </c>
      <c r="B778" s="80" t="s">
        <v>329</v>
      </c>
      <c r="C778" s="87" t="s">
        <v>821</v>
      </c>
    </row>
    <row r="779" spans="1:3" x14ac:dyDescent="0.25">
      <c r="A779" s="81" t="s">
        <v>280</v>
      </c>
      <c r="B779" s="80" t="s">
        <v>330</v>
      </c>
      <c r="C779" s="87" t="s">
        <v>821</v>
      </c>
    </row>
    <row r="780" spans="1:3" x14ac:dyDescent="0.25">
      <c r="A780" s="81" t="s">
        <v>280</v>
      </c>
      <c r="B780" s="80" t="s">
        <v>331</v>
      </c>
      <c r="C780" s="87" t="s">
        <v>821</v>
      </c>
    </row>
    <row r="781" spans="1:3" x14ac:dyDescent="0.25">
      <c r="A781" s="81" t="s">
        <v>280</v>
      </c>
      <c r="B781" s="80" t="s">
        <v>332</v>
      </c>
      <c r="C781" s="87" t="s">
        <v>821</v>
      </c>
    </row>
    <row r="782" spans="1:3" x14ac:dyDescent="0.25">
      <c r="A782" s="81" t="s">
        <v>280</v>
      </c>
      <c r="B782" s="80" t="s">
        <v>333</v>
      </c>
      <c r="C782" s="87" t="s">
        <v>821</v>
      </c>
    </row>
    <row r="783" spans="1:3" x14ac:dyDescent="0.25">
      <c r="A783" s="81" t="s">
        <v>280</v>
      </c>
      <c r="B783" s="80" t="s">
        <v>1709</v>
      </c>
      <c r="C783" s="87" t="s">
        <v>821</v>
      </c>
    </row>
    <row r="784" spans="1:3" x14ac:dyDescent="0.25">
      <c r="A784" s="81" t="s">
        <v>280</v>
      </c>
      <c r="B784" s="80" t="s">
        <v>1651</v>
      </c>
      <c r="C784" s="87" t="s">
        <v>821</v>
      </c>
    </row>
    <row r="785" spans="1:3" x14ac:dyDescent="0.25">
      <c r="A785" s="81" t="s">
        <v>280</v>
      </c>
      <c r="B785" s="80">
        <v>27</v>
      </c>
      <c r="C785" s="87" t="s">
        <v>821</v>
      </c>
    </row>
    <row r="786" spans="1:3" x14ac:dyDescent="0.25">
      <c r="A786" s="81" t="s">
        <v>280</v>
      </c>
      <c r="B786" s="80">
        <v>11</v>
      </c>
      <c r="C786" s="87" t="s">
        <v>821</v>
      </c>
    </row>
    <row r="787" spans="1:3" x14ac:dyDescent="0.25">
      <c r="A787" s="81" t="s">
        <v>280</v>
      </c>
      <c r="B787" s="80" t="s">
        <v>490</v>
      </c>
      <c r="C787" s="87" t="s">
        <v>821</v>
      </c>
    </row>
    <row r="788" spans="1:3" x14ac:dyDescent="0.25">
      <c r="A788" s="81" t="s">
        <v>280</v>
      </c>
      <c r="B788" s="80" t="s">
        <v>334</v>
      </c>
      <c r="C788" s="87" t="s">
        <v>821</v>
      </c>
    </row>
    <row r="789" spans="1:3" x14ac:dyDescent="0.25">
      <c r="A789" s="81" t="s">
        <v>280</v>
      </c>
      <c r="B789" s="80" t="s">
        <v>280</v>
      </c>
      <c r="C789" s="87" t="s">
        <v>821</v>
      </c>
    </row>
    <row r="790" spans="1:3" x14ac:dyDescent="0.25">
      <c r="A790" s="81" t="s">
        <v>280</v>
      </c>
      <c r="B790" s="80" t="s">
        <v>1775</v>
      </c>
      <c r="C790" s="87" t="s">
        <v>821</v>
      </c>
    </row>
    <row r="791" spans="1:3" x14ac:dyDescent="0.25">
      <c r="A791" s="81" t="s">
        <v>280</v>
      </c>
      <c r="B791" s="80" t="s">
        <v>1870</v>
      </c>
      <c r="C791" s="87" t="s">
        <v>821</v>
      </c>
    </row>
    <row r="792" spans="1:3" x14ac:dyDescent="0.25">
      <c r="A792" s="81" t="s">
        <v>280</v>
      </c>
      <c r="B792" s="80" t="s">
        <v>1686</v>
      </c>
      <c r="C792" s="87" t="s">
        <v>821</v>
      </c>
    </row>
    <row r="793" spans="1:3" x14ac:dyDescent="0.25">
      <c r="A793" s="81" t="s">
        <v>280</v>
      </c>
      <c r="B793" s="80" t="s">
        <v>1644</v>
      </c>
      <c r="C793" s="87" t="s">
        <v>821</v>
      </c>
    </row>
    <row r="794" spans="1:3" x14ac:dyDescent="0.25">
      <c r="A794" s="81" t="s">
        <v>280</v>
      </c>
      <c r="B794" s="80" t="s">
        <v>2095</v>
      </c>
      <c r="C794" s="87" t="s">
        <v>821</v>
      </c>
    </row>
    <row r="795" spans="1:3" x14ac:dyDescent="0.25">
      <c r="A795" s="81" t="s">
        <v>280</v>
      </c>
      <c r="B795" s="80" t="s">
        <v>1772</v>
      </c>
      <c r="C795" s="87" t="s">
        <v>819</v>
      </c>
    </row>
    <row r="796" spans="1:3" x14ac:dyDescent="0.25">
      <c r="A796" s="81" t="s">
        <v>280</v>
      </c>
      <c r="B796" s="80">
        <v>27</v>
      </c>
      <c r="C796" s="87" t="s">
        <v>819</v>
      </c>
    </row>
    <row r="797" spans="1:3" x14ac:dyDescent="0.25">
      <c r="A797" s="81" t="s">
        <v>280</v>
      </c>
      <c r="B797" s="80">
        <v>11</v>
      </c>
      <c r="C797" s="87" t="s">
        <v>819</v>
      </c>
    </row>
    <row r="798" spans="1:3" x14ac:dyDescent="0.25">
      <c r="A798" s="81" t="s">
        <v>280</v>
      </c>
      <c r="B798" s="80" t="s">
        <v>490</v>
      </c>
      <c r="C798" s="87" t="s">
        <v>819</v>
      </c>
    </row>
    <row r="799" spans="1:3" x14ac:dyDescent="0.25">
      <c r="A799" s="81" t="s">
        <v>280</v>
      </c>
      <c r="B799" s="80" t="s">
        <v>1709</v>
      </c>
      <c r="C799" s="87" t="s">
        <v>819</v>
      </c>
    </row>
    <row r="800" spans="1:3" x14ac:dyDescent="0.25">
      <c r="A800" s="81" t="s">
        <v>280</v>
      </c>
      <c r="B800" s="80" t="s">
        <v>1651</v>
      </c>
      <c r="C800" s="87" t="s">
        <v>819</v>
      </c>
    </row>
    <row r="801" spans="1:3" x14ac:dyDescent="0.25">
      <c r="A801" s="81" t="s">
        <v>280</v>
      </c>
      <c r="B801" s="80">
        <v>2023</v>
      </c>
      <c r="C801" s="87" t="s">
        <v>819</v>
      </c>
    </row>
    <row r="802" spans="1:3" x14ac:dyDescent="0.25">
      <c r="A802" s="81" t="s">
        <v>280</v>
      </c>
      <c r="B802" s="80" t="s">
        <v>1712</v>
      </c>
      <c r="C802" s="87" t="s">
        <v>819</v>
      </c>
    </row>
    <row r="803" spans="1:3" x14ac:dyDescent="0.25">
      <c r="A803" s="81" t="s">
        <v>280</v>
      </c>
      <c r="B803" s="80" t="s">
        <v>280</v>
      </c>
      <c r="C803" s="87" t="s">
        <v>819</v>
      </c>
    </row>
    <row r="804" spans="1:3" x14ac:dyDescent="0.25">
      <c r="A804" s="81" t="s">
        <v>280</v>
      </c>
      <c r="B804" s="80" t="s">
        <v>1647</v>
      </c>
      <c r="C804" s="87" t="s">
        <v>819</v>
      </c>
    </row>
    <row r="805" spans="1:3" x14ac:dyDescent="0.25">
      <c r="A805" s="81" t="s">
        <v>280</v>
      </c>
      <c r="B805" s="80" t="s">
        <v>1765</v>
      </c>
      <c r="C805" s="87" t="s">
        <v>819</v>
      </c>
    </row>
    <row r="806" spans="1:3" x14ac:dyDescent="0.25">
      <c r="A806" s="81" t="s">
        <v>280</v>
      </c>
      <c r="B806" s="80" t="s">
        <v>279</v>
      </c>
      <c r="C806" s="87" t="s">
        <v>819</v>
      </c>
    </row>
    <row r="807" spans="1:3" x14ac:dyDescent="0.25">
      <c r="A807" s="81" t="s">
        <v>268</v>
      </c>
      <c r="B807" s="80" t="s">
        <v>1772</v>
      </c>
      <c r="C807" s="87" t="s">
        <v>818</v>
      </c>
    </row>
    <row r="808" spans="1:3" x14ac:dyDescent="0.25">
      <c r="A808" s="81" t="s">
        <v>268</v>
      </c>
      <c r="B808" s="80">
        <v>27</v>
      </c>
      <c r="C808" s="87" t="s">
        <v>818</v>
      </c>
    </row>
    <row r="809" spans="1:3" x14ac:dyDescent="0.25">
      <c r="A809" s="81" t="s">
        <v>268</v>
      </c>
      <c r="B809" s="80">
        <v>11</v>
      </c>
      <c r="C809" s="87" t="s">
        <v>818</v>
      </c>
    </row>
    <row r="810" spans="1:3" x14ac:dyDescent="0.25">
      <c r="A810" s="81" t="s">
        <v>268</v>
      </c>
      <c r="B810" s="80" t="s">
        <v>490</v>
      </c>
      <c r="C810" s="87" t="s">
        <v>818</v>
      </c>
    </row>
    <row r="811" spans="1:3" x14ac:dyDescent="0.25">
      <c r="A811" s="81" t="s">
        <v>268</v>
      </c>
      <c r="B811" s="80" t="s">
        <v>1709</v>
      </c>
      <c r="C811" s="87" t="s">
        <v>818</v>
      </c>
    </row>
    <row r="812" spans="1:3" x14ac:dyDescent="0.25">
      <c r="A812" s="81" t="s">
        <v>268</v>
      </c>
      <c r="B812" s="80" t="s">
        <v>1651</v>
      </c>
      <c r="C812" s="87" t="s">
        <v>818</v>
      </c>
    </row>
    <row r="813" spans="1:3" x14ac:dyDescent="0.25">
      <c r="A813" s="81" t="s">
        <v>268</v>
      </c>
      <c r="B813" s="80">
        <v>2023</v>
      </c>
      <c r="C813" s="87" t="s">
        <v>818</v>
      </c>
    </row>
    <row r="814" spans="1:3" x14ac:dyDescent="0.25">
      <c r="A814" s="81" t="s">
        <v>268</v>
      </c>
      <c r="B814" s="80" t="s">
        <v>1712</v>
      </c>
      <c r="C814" s="87" t="s">
        <v>818</v>
      </c>
    </row>
    <row r="815" spans="1:3" x14ac:dyDescent="0.25">
      <c r="A815" s="81" t="s">
        <v>268</v>
      </c>
      <c r="B815" s="80" t="s">
        <v>280</v>
      </c>
      <c r="C815" s="87" t="s">
        <v>818</v>
      </c>
    </row>
    <row r="816" spans="1:3" x14ac:dyDescent="0.25">
      <c r="A816" s="81" t="s">
        <v>268</v>
      </c>
      <c r="B816" s="80" t="s">
        <v>1647</v>
      </c>
      <c r="C816" s="87" t="s">
        <v>818</v>
      </c>
    </row>
    <row r="817" spans="1:3" x14ac:dyDescent="0.25">
      <c r="A817" s="81" t="s">
        <v>268</v>
      </c>
      <c r="B817" s="80" t="s">
        <v>1765</v>
      </c>
      <c r="C817" s="87" t="s">
        <v>818</v>
      </c>
    </row>
    <row r="818" spans="1:3" x14ac:dyDescent="0.25">
      <c r="A818" s="81" t="s">
        <v>268</v>
      </c>
      <c r="B818" s="80" t="s">
        <v>279</v>
      </c>
      <c r="C818" s="87" t="s">
        <v>818</v>
      </c>
    </row>
    <row r="819" spans="1:3" x14ac:dyDescent="0.25">
      <c r="A819" s="81" t="s">
        <v>304</v>
      </c>
      <c r="B819" s="80" t="s">
        <v>1748</v>
      </c>
      <c r="C819" s="87" t="s">
        <v>868</v>
      </c>
    </row>
    <row r="820" spans="1:3" x14ac:dyDescent="0.25">
      <c r="A820" s="81" t="s">
        <v>304</v>
      </c>
      <c r="B820" s="80" t="s">
        <v>1727</v>
      </c>
      <c r="C820" s="87" t="s">
        <v>868</v>
      </c>
    </row>
    <row r="821" spans="1:3" x14ac:dyDescent="0.25">
      <c r="A821" s="81" t="s">
        <v>304</v>
      </c>
      <c r="B821" s="80" t="s">
        <v>1731</v>
      </c>
      <c r="C821" s="87" t="s">
        <v>868</v>
      </c>
    </row>
    <row r="822" spans="1:3" x14ac:dyDescent="0.25">
      <c r="A822" s="81" t="s">
        <v>304</v>
      </c>
      <c r="B822" s="80" t="s">
        <v>1754</v>
      </c>
      <c r="C822" s="87" t="s">
        <v>868</v>
      </c>
    </row>
    <row r="823" spans="1:3" x14ac:dyDescent="0.25">
      <c r="A823" s="81" t="s">
        <v>304</v>
      </c>
      <c r="B823" s="80" t="s">
        <v>1641</v>
      </c>
      <c r="C823" s="87" t="s">
        <v>868</v>
      </c>
    </row>
    <row r="824" spans="1:3" x14ac:dyDescent="0.25">
      <c r="A824" s="81" t="s">
        <v>304</v>
      </c>
      <c r="B824" s="80" t="s">
        <v>1726</v>
      </c>
      <c r="C824" s="87" t="s">
        <v>868</v>
      </c>
    </row>
    <row r="825" spans="1:3" x14ac:dyDescent="0.25">
      <c r="A825" s="81" t="s">
        <v>304</v>
      </c>
      <c r="B825" s="80" t="s">
        <v>1746</v>
      </c>
      <c r="C825" s="87" t="s">
        <v>868</v>
      </c>
    </row>
    <row r="826" spans="1:3" x14ac:dyDescent="0.25">
      <c r="A826" s="81" t="s">
        <v>304</v>
      </c>
      <c r="B826" s="80" t="s">
        <v>304</v>
      </c>
      <c r="C826" s="87" t="s">
        <v>868</v>
      </c>
    </row>
    <row r="827" spans="1:3" x14ac:dyDescent="0.25">
      <c r="A827" s="81" t="s">
        <v>304</v>
      </c>
      <c r="B827" s="80" t="s">
        <v>1730</v>
      </c>
      <c r="C827" s="87" t="s">
        <v>868</v>
      </c>
    </row>
    <row r="828" spans="1:3" x14ac:dyDescent="0.25">
      <c r="A828" s="81" t="s">
        <v>304</v>
      </c>
      <c r="B828" s="80" t="s">
        <v>1744</v>
      </c>
      <c r="C828" s="87" t="s">
        <v>868</v>
      </c>
    </row>
    <row r="829" spans="1:3" x14ac:dyDescent="0.25">
      <c r="A829" s="81" t="s">
        <v>304</v>
      </c>
      <c r="B829" s="80" t="s">
        <v>1736</v>
      </c>
      <c r="C829" s="87" t="s">
        <v>868</v>
      </c>
    </row>
    <row r="830" spans="1:3" x14ac:dyDescent="0.25">
      <c r="A830" s="81" t="s">
        <v>304</v>
      </c>
      <c r="B830" s="80" t="s">
        <v>1729</v>
      </c>
      <c r="C830" s="87" t="s">
        <v>868</v>
      </c>
    </row>
    <row r="831" spans="1:3" x14ac:dyDescent="0.25">
      <c r="A831" s="81" t="s">
        <v>304</v>
      </c>
      <c r="B831" s="80" t="s">
        <v>1725</v>
      </c>
      <c r="C831" s="87" t="s">
        <v>868</v>
      </c>
    </row>
    <row r="832" spans="1:3" x14ac:dyDescent="0.25">
      <c r="A832" s="81" t="s">
        <v>304</v>
      </c>
      <c r="B832" s="80" t="s">
        <v>302</v>
      </c>
      <c r="C832" s="87" t="s">
        <v>868</v>
      </c>
    </row>
    <row r="833" spans="1:3" x14ac:dyDescent="0.25">
      <c r="A833" s="81" t="s">
        <v>308</v>
      </c>
      <c r="B833" s="80" t="s">
        <v>2096</v>
      </c>
      <c r="C833" s="87" t="s">
        <v>872</v>
      </c>
    </row>
    <row r="834" spans="1:3" x14ac:dyDescent="0.25">
      <c r="A834" s="81" t="s">
        <v>308</v>
      </c>
      <c r="B834" s="80" t="s">
        <v>1665</v>
      </c>
      <c r="C834" s="87" t="s">
        <v>872</v>
      </c>
    </row>
    <row r="835" spans="1:3" x14ac:dyDescent="0.25">
      <c r="A835" s="81" t="s">
        <v>308</v>
      </c>
      <c r="B835" s="80" t="s">
        <v>1673</v>
      </c>
      <c r="C835" s="87" t="s">
        <v>872</v>
      </c>
    </row>
    <row r="836" spans="1:3" x14ac:dyDescent="0.25">
      <c r="A836" s="81" t="s">
        <v>308</v>
      </c>
      <c r="B836" s="80" t="s">
        <v>362</v>
      </c>
      <c r="C836" s="87" t="s">
        <v>872</v>
      </c>
    </row>
    <row r="837" spans="1:3" x14ac:dyDescent="0.25">
      <c r="A837" s="81" t="s">
        <v>308</v>
      </c>
      <c r="B837" s="80" t="s">
        <v>363</v>
      </c>
      <c r="C837" s="87" t="s">
        <v>872</v>
      </c>
    </row>
    <row r="838" spans="1:3" x14ac:dyDescent="0.25">
      <c r="A838" s="81" t="s">
        <v>308</v>
      </c>
      <c r="B838" s="80" t="s">
        <v>1661</v>
      </c>
      <c r="C838" s="87" t="s">
        <v>872</v>
      </c>
    </row>
    <row r="839" spans="1:3" x14ac:dyDescent="0.25">
      <c r="A839" s="81" t="s">
        <v>308</v>
      </c>
      <c r="B839" s="80" t="s">
        <v>2097</v>
      </c>
      <c r="C839" s="87" t="s">
        <v>872</v>
      </c>
    </row>
    <row r="840" spans="1:3" x14ac:dyDescent="0.25">
      <c r="A840" s="81" t="s">
        <v>308</v>
      </c>
      <c r="B840" s="80" t="s">
        <v>1659</v>
      </c>
      <c r="C840" s="87" t="s">
        <v>872</v>
      </c>
    </row>
    <row r="841" spans="1:3" x14ac:dyDescent="0.25">
      <c r="A841" s="81" t="s">
        <v>308</v>
      </c>
      <c r="B841" s="80" t="s">
        <v>2098</v>
      </c>
      <c r="C841" s="87" t="s">
        <v>872</v>
      </c>
    </row>
    <row r="842" spans="1:3" x14ac:dyDescent="0.25">
      <c r="A842" s="81" t="s">
        <v>308</v>
      </c>
      <c r="B842" s="80" t="s">
        <v>2099</v>
      </c>
      <c r="C842" s="87" t="s">
        <v>872</v>
      </c>
    </row>
    <row r="843" spans="1:3" x14ac:dyDescent="0.25">
      <c r="A843" s="81" t="s">
        <v>308</v>
      </c>
      <c r="B843" s="80" t="s">
        <v>2100</v>
      </c>
      <c r="C843" s="87" t="s">
        <v>872</v>
      </c>
    </row>
    <row r="844" spans="1:3" x14ac:dyDescent="0.25">
      <c r="A844" s="81" t="s">
        <v>308</v>
      </c>
      <c r="B844" s="80" t="s">
        <v>1852</v>
      </c>
      <c r="C844" s="87" t="s">
        <v>872</v>
      </c>
    </row>
    <row r="845" spans="1:3" x14ac:dyDescent="0.25">
      <c r="A845" s="81" t="s">
        <v>308</v>
      </c>
      <c r="B845" s="80" t="s">
        <v>1816</v>
      </c>
      <c r="C845" s="87" t="s">
        <v>872</v>
      </c>
    </row>
    <row r="846" spans="1:3" x14ac:dyDescent="0.25">
      <c r="A846" s="81" t="s">
        <v>308</v>
      </c>
      <c r="B846" s="80" t="s">
        <v>1799</v>
      </c>
      <c r="C846" s="87" t="s">
        <v>872</v>
      </c>
    </row>
    <row r="847" spans="1:3" x14ac:dyDescent="0.25">
      <c r="A847" s="81" t="s">
        <v>308</v>
      </c>
      <c r="B847" s="80" t="s">
        <v>494</v>
      </c>
      <c r="C847" s="87" t="s">
        <v>872</v>
      </c>
    </row>
    <row r="848" spans="1:3" x14ac:dyDescent="0.25">
      <c r="A848" s="81" t="s">
        <v>308</v>
      </c>
      <c r="B848" s="80" t="s">
        <v>1861</v>
      </c>
      <c r="C848" s="87" t="s">
        <v>872</v>
      </c>
    </row>
    <row r="849" spans="1:3" x14ac:dyDescent="0.25">
      <c r="A849" s="81" t="s">
        <v>308</v>
      </c>
      <c r="B849" s="80" t="s">
        <v>1839</v>
      </c>
      <c r="C849" s="87" t="s">
        <v>872</v>
      </c>
    </row>
    <row r="850" spans="1:3" x14ac:dyDescent="0.25">
      <c r="A850" s="81" t="s">
        <v>308</v>
      </c>
      <c r="B850" s="80" t="s">
        <v>1657</v>
      </c>
      <c r="C850" s="87" t="s">
        <v>872</v>
      </c>
    </row>
    <row r="851" spans="1:3" x14ac:dyDescent="0.25">
      <c r="A851" s="81" t="s">
        <v>308</v>
      </c>
      <c r="B851" s="80" t="s">
        <v>1894</v>
      </c>
      <c r="C851" s="87" t="s">
        <v>872</v>
      </c>
    </row>
    <row r="852" spans="1:3" x14ac:dyDescent="0.25">
      <c r="A852" s="81" t="s">
        <v>308</v>
      </c>
      <c r="B852" s="80" t="s">
        <v>1840</v>
      </c>
      <c r="C852" s="87" t="s">
        <v>872</v>
      </c>
    </row>
    <row r="853" spans="1:3" x14ac:dyDescent="0.25">
      <c r="A853" s="81" t="s">
        <v>308</v>
      </c>
      <c r="B853" s="80" t="s">
        <v>308</v>
      </c>
      <c r="C853" s="87" t="s">
        <v>872</v>
      </c>
    </row>
    <row r="854" spans="1:3" x14ac:dyDescent="0.25">
      <c r="A854" s="81" t="s">
        <v>308</v>
      </c>
      <c r="B854" s="80" t="s">
        <v>1932</v>
      </c>
      <c r="C854" s="87" t="s">
        <v>872</v>
      </c>
    </row>
    <row r="855" spans="1:3" x14ac:dyDescent="0.25">
      <c r="A855" s="81" t="s">
        <v>308</v>
      </c>
      <c r="B855" s="80" t="s">
        <v>1654</v>
      </c>
      <c r="C855" s="87" t="s">
        <v>872</v>
      </c>
    </row>
    <row r="856" spans="1:3" x14ac:dyDescent="0.25">
      <c r="A856" s="81" t="s">
        <v>268</v>
      </c>
      <c r="B856" s="80">
        <v>800</v>
      </c>
      <c r="C856" s="87" t="s">
        <v>840</v>
      </c>
    </row>
    <row r="857" spans="1:3" x14ac:dyDescent="0.25">
      <c r="A857" s="81" t="s">
        <v>268</v>
      </c>
      <c r="B857" s="80">
        <v>600</v>
      </c>
      <c r="C857" s="87" t="s">
        <v>840</v>
      </c>
    </row>
    <row r="858" spans="1:3" x14ac:dyDescent="0.25">
      <c r="A858" s="81" t="s">
        <v>268</v>
      </c>
      <c r="B858" s="80" t="s">
        <v>1678</v>
      </c>
      <c r="C858" s="87" t="s">
        <v>840</v>
      </c>
    </row>
    <row r="859" spans="1:3" x14ac:dyDescent="0.25">
      <c r="A859" s="81" t="s">
        <v>268</v>
      </c>
      <c r="B859" s="80" t="s">
        <v>1691</v>
      </c>
      <c r="C859" s="87" t="s">
        <v>840</v>
      </c>
    </row>
    <row r="860" spans="1:3" x14ac:dyDescent="0.25">
      <c r="A860" s="81" t="s">
        <v>268</v>
      </c>
      <c r="B860" s="80" t="s">
        <v>1653</v>
      </c>
      <c r="C860" s="87" t="s">
        <v>840</v>
      </c>
    </row>
    <row r="861" spans="1:3" x14ac:dyDescent="0.25">
      <c r="A861" s="81" t="s">
        <v>268</v>
      </c>
      <c r="B861" s="80" t="s">
        <v>1662</v>
      </c>
      <c r="C861" s="87" t="s">
        <v>840</v>
      </c>
    </row>
    <row r="862" spans="1:3" x14ac:dyDescent="0.25">
      <c r="A862" s="81" t="s">
        <v>268</v>
      </c>
      <c r="B862" s="80" t="s">
        <v>1660</v>
      </c>
      <c r="C862" s="87" t="s">
        <v>840</v>
      </c>
    </row>
    <row r="863" spans="1:3" x14ac:dyDescent="0.25">
      <c r="A863" s="81" t="s">
        <v>268</v>
      </c>
      <c r="B863" s="80" t="s">
        <v>1679</v>
      </c>
      <c r="C863" s="87" t="s">
        <v>840</v>
      </c>
    </row>
    <row r="864" spans="1:3" x14ac:dyDescent="0.25">
      <c r="A864" s="81" t="s">
        <v>268</v>
      </c>
      <c r="B864" s="80" t="s">
        <v>268</v>
      </c>
      <c r="C864" s="87" t="s">
        <v>840</v>
      </c>
    </row>
    <row r="865" spans="1:3" x14ac:dyDescent="0.25">
      <c r="A865" s="81" t="s">
        <v>268</v>
      </c>
      <c r="B865" s="80">
        <v>2024</v>
      </c>
      <c r="C865" s="87" t="s">
        <v>840</v>
      </c>
    </row>
    <row r="866" spans="1:3" x14ac:dyDescent="0.25">
      <c r="A866" s="81" t="s">
        <v>268</v>
      </c>
      <c r="B866" s="80" t="s">
        <v>1658</v>
      </c>
      <c r="C866" s="87" t="s">
        <v>840</v>
      </c>
    </row>
    <row r="867" spans="1:3" x14ac:dyDescent="0.25">
      <c r="A867" s="81" t="s">
        <v>268</v>
      </c>
      <c r="B867" s="80" t="s">
        <v>1645</v>
      </c>
      <c r="C867" s="87" t="s">
        <v>840</v>
      </c>
    </row>
    <row r="868" spans="1:3" x14ac:dyDescent="0.25">
      <c r="A868" s="81" t="s">
        <v>268</v>
      </c>
      <c r="B868" s="80" t="s">
        <v>289</v>
      </c>
      <c r="C868" s="87" t="s">
        <v>840</v>
      </c>
    </row>
    <row r="869" spans="1:3" x14ac:dyDescent="0.25">
      <c r="A869" s="81" t="s">
        <v>258</v>
      </c>
      <c r="B869" s="80" t="s">
        <v>258</v>
      </c>
      <c r="C869" s="87" t="s">
        <v>764</v>
      </c>
    </row>
    <row r="870" spans="1:3" x14ac:dyDescent="0.25">
      <c r="A870" s="81" t="s">
        <v>258</v>
      </c>
      <c r="B870" s="80" t="s">
        <v>1661</v>
      </c>
      <c r="C870" s="87" t="s">
        <v>764</v>
      </c>
    </row>
    <row r="871" spans="1:3" x14ac:dyDescent="0.25">
      <c r="A871" s="81" t="s">
        <v>258</v>
      </c>
      <c r="B871" s="80" t="s">
        <v>1766</v>
      </c>
      <c r="C871" s="87" t="s">
        <v>764</v>
      </c>
    </row>
    <row r="872" spans="1:3" x14ac:dyDescent="0.25">
      <c r="A872" s="81" t="s">
        <v>258</v>
      </c>
      <c r="B872" s="80" t="s">
        <v>1680</v>
      </c>
      <c r="C872" s="87" t="s">
        <v>764</v>
      </c>
    </row>
    <row r="873" spans="1:3" x14ac:dyDescent="0.25">
      <c r="A873" s="81" t="s">
        <v>258</v>
      </c>
      <c r="B873" s="80" t="s">
        <v>1692</v>
      </c>
      <c r="C873" s="87" t="s">
        <v>764</v>
      </c>
    </row>
    <row r="874" spans="1:3" x14ac:dyDescent="0.25">
      <c r="A874" s="81" t="s">
        <v>258</v>
      </c>
      <c r="B874" s="80" t="s">
        <v>1723</v>
      </c>
      <c r="C874" s="87" t="s">
        <v>764</v>
      </c>
    </row>
    <row r="875" spans="1:3" x14ac:dyDescent="0.25">
      <c r="A875" s="81" t="s">
        <v>258</v>
      </c>
      <c r="B875" s="80" t="s">
        <v>1676</v>
      </c>
      <c r="C875" s="87" t="s">
        <v>764</v>
      </c>
    </row>
    <row r="876" spans="1:3" x14ac:dyDescent="0.25">
      <c r="A876" s="81" t="s">
        <v>258</v>
      </c>
      <c r="B876" s="80" t="s">
        <v>1718</v>
      </c>
      <c r="C876" s="87" t="s">
        <v>764</v>
      </c>
    </row>
    <row r="877" spans="1:3" x14ac:dyDescent="0.25">
      <c r="A877" s="81" t="s">
        <v>258</v>
      </c>
      <c r="B877" s="80" t="s">
        <v>1808</v>
      </c>
      <c r="C877" s="87" t="s">
        <v>764</v>
      </c>
    </row>
    <row r="878" spans="1:3" x14ac:dyDescent="0.25">
      <c r="A878" s="81" t="s">
        <v>258</v>
      </c>
      <c r="B878" s="80" t="s">
        <v>268</v>
      </c>
      <c r="C878" s="87" t="s">
        <v>764</v>
      </c>
    </row>
    <row r="879" spans="1:3" x14ac:dyDescent="0.25">
      <c r="A879" s="81" t="s">
        <v>258</v>
      </c>
      <c r="B879" s="80" t="s">
        <v>1774</v>
      </c>
      <c r="C879" s="87" t="s">
        <v>764</v>
      </c>
    </row>
    <row r="880" spans="1:3" x14ac:dyDescent="0.25">
      <c r="A880" s="81" t="s">
        <v>258</v>
      </c>
      <c r="B880" s="80" t="s">
        <v>1688</v>
      </c>
      <c r="C880" s="87" t="s">
        <v>764</v>
      </c>
    </row>
    <row r="881" spans="1:3" x14ac:dyDescent="0.25">
      <c r="A881" s="81" t="s">
        <v>258</v>
      </c>
      <c r="B881" s="80" t="s">
        <v>1768</v>
      </c>
      <c r="C881" s="87" t="s">
        <v>764</v>
      </c>
    </row>
    <row r="882" spans="1:3" x14ac:dyDescent="0.25">
      <c r="A882" s="81" t="s">
        <v>258</v>
      </c>
      <c r="B882" s="80" t="s">
        <v>257</v>
      </c>
      <c r="C882" s="87" t="s">
        <v>764</v>
      </c>
    </row>
    <row r="883" spans="1:3" x14ac:dyDescent="0.25">
      <c r="A883" s="81" t="s">
        <v>254</v>
      </c>
      <c r="B883" s="80" t="s">
        <v>476</v>
      </c>
      <c r="C883" s="87" t="s">
        <v>760</v>
      </c>
    </row>
    <row r="884" spans="1:3" x14ac:dyDescent="0.25">
      <c r="A884" s="81" t="s">
        <v>254</v>
      </c>
      <c r="B884" s="80" t="s">
        <v>261</v>
      </c>
      <c r="C884" s="87" t="s">
        <v>760</v>
      </c>
    </row>
    <row r="885" spans="1:3" x14ac:dyDescent="0.25">
      <c r="A885" s="81" t="s">
        <v>254</v>
      </c>
      <c r="B885" s="80" t="s">
        <v>268</v>
      </c>
      <c r="C885" s="87" t="s">
        <v>760</v>
      </c>
    </row>
    <row r="886" spans="1:3" x14ac:dyDescent="0.25">
      <c r="A886" s="81" t="s">
        <v>254</v>
      </c>
      <c r="B886" s="80" t="s">
        <v>320</v>
      </c>
      <c r="C886" s="87" t="s">
        <v>760</v>
      </c>
    </row>
    <row r="887" spans="1:3" x14ac:dyDescent="0.25">
      <c r="A887" s="81" t="s">
        <v>254</v>
      </c>
      <c r="B887" s="80" t="s">
        <v>1640</v>
      </c>
      <c r="C887" s="87" t="s">
        <v>760</v>
      </c>
    </row>
    <row r="888" spans="1:3" x14ac:dyDescent="0.25">
      <c r="A888" s="81" t="s">
        <v>254</v>
      </c>
      <c r="B888" s="80" t="s">
        <v>1644</v>
      </c>
      <c r="C888" s="87" t="s">
        <v>760</v>
      </c>
    </row>
    <row r="889" spans="1:3" x14ac:dyDescent="0.25">
      <c r="A889" s="81" t="s">
        <v>254</v>
      </c>
      <c r="B889" s="80" t="s">
        <v>1661</v>
      </c>
      <c r="C889" s="87" t="s">
        <v>760</v>
      </c>
    </row>
    <row r="890" spans="1:3" x14ac:dyDescent="0.25">
      <c r="A890" s="81" t="s">
        <v>254</v>
      </c>
      <c r="B890" s="80" t="s">
        <v>1642</v>
      </c>
      <c r="C890" s="87" t="s">
        <v>760</v>
      </c>
    </row>
    <row r="891" spans="1:3" x14ac:dyDescent="0.25">
      <c r="A891" s="81" t="s">
        <v>254</v>
      </c>
      <c r="B891" s="80" t="s">
        <v>1643</v>
      </c>
      <c r="C891" s="87" t="s">
        <v>760</v>
      </c>
    </row>
    <row r="892" spans="1:3" x14ac:dyDescent="0.25">
      <c r="A892" s="81" t="s">
        <v>254</v>
      </c>
      <c r="B892" s="80" t="s">
        <v>252</v>
      </c>
      <c r="C892" s="87" t="s">
        <v>760</v>
      </c>
    </row>
    <row r="893" spans="1:3" x14ac:dyDescent="0.25">
      <c r="A893" s="81" t="s">
        <v>281</v>
      </c>
      <c r="B893" s="80" t="s">
        <v>336</v>
      </c>
      <c r="C893" s="87" t="s">
        <v>826</v>
      </c>
    </row>
    <row r="894" spans="1:3" x14ac:dyDescent="0.25">
      <c r="A894" s="81" t="s">
        <v>281</v>
      </c>
      <c r="B894" s="80" t="s">
        <v>1836</v>
      </c>
      <c r="C894" s="87" t="s">
        <v>826</v>
      </c>
    </row>
    <row r="895" spans="1:3" x14ac:dyDescent="0.25">
      <c r="A895" s="81" t="s">
        <v>281</v>
      </c>
      <c r="B895" s="80" t="s">
        <v>1827</v>
      </c>
      <c r="C895" s="87" t="s">
        <v>826</v>
      </c>
    </row>
    <row r="896" spans="1:3" x14ac:dyDescent="0.25">
      <c r="A896" s="81" t="s">
        <v>281</v>
      </c>
      <c r="B896" s="80" t="s">
        <v>1783</v>
      </c>
      <c r="C896" s="87" t="s">
        <v>826</v>
      </c>
    </row>
    <row r="897" spans="1:3" x14ac:dyDescent="0.25">
      <c r="A897" s="81" t="s">
        <v>281</v>
      </c>
      <c r="B897" s="80" t="s">
        <v>1647</v>
      </c>
      <c r="C897" s="87" t="s">
        <v>826</v>
      </c>
    </row>
    <row r="898" spans="1:3" x14ac:dyDescent="0.25">
      <c r="A898" s="81" t="s">
        <v>281</v>
      </c>
      <c r="B898" s="80">
        <v>11</v>
      </c>
      <c r="C898" s="87" t="s">
        <v>826</v>
      </c>
    </row>
    <row r="899" spans="1:3" x14ac:dyDescent="0.25">
      <c r="A899" s="81" t="s">
        <v>281</v>
      </c>
      <c r="B899" s="80" t="s">
        <v>1671</v>
      </c>
      <c r="C899" s="87" t="s">
        <v>826</v>
      </c>
    </row>
    <row r="900" spans="1:3" x14ac:dyDescent="0.25">
      <c r="A900" s="81" t="s">
        <v>281</v>
      </c>
      <c r="B900" s="80" t="s">
        <v>1943</v>
      </c>
      <c r="C900" s="87" t="s">
        <v>826</v>
      </c>
    </row>
    <row r="901" spans="1:3" x14ac:dyDescent="0.25">
      <c r="A901" s="81" t="s">
        <v>281</v>
      </c>
      <c r="B901" s="80" t="s">
        <v>1914</v>
      </c>
      <c r="C901" s="87" t="s">
        <v>826</v>
      </c>
    </row>
    <row r="902" spans="1:3" x14ac:dyDescent="0.25">
      <c r="A902" s="81" t="s">
        <v>281</v>
      </c>
      <c r="B902" s="80" t="s">
        <v>1806</v>
      </c>
      <c r="C902" s="87" t="s">
        <v>826</v>
      </c>
    </row>
    <row r="903" spans="1:3" x14ac:dyDescent="0.25">
      <c r="A903" s="81" t="s">
        <v>281</v>
      </c>
      <c r="B903" s="80" t="s">
        <v>1805</v>
      </c>
      <c r="C903" s="87" t="s">
        <v>826</v>
      </c>
    </row>
    <row r="904" spans="1:3" x14ac:dyDescent="0.25">
      <c r="A904" s="81" t="s">
        <v>281</v>
      </c>
      <c r="B904" s="80" t="s">
        <v>268</v>
      </c>
      <c r="C904" s="87" t="s">
        <v>826</v>
      </c>
    </row>
    <row r="905" spans="1:3" x14ac:dyDescent="0.25">
      <c r="A905" s="81" t="s">
        <v>281</v>
      </c>
      <c r="B905" s="80" t="s">
        <v>1875</v>
      </c>
      <c r="C905" s="87" t="s">
        <v>826</v>
      </c>
    </row>
    <row r="906" spans="1:3" x14ac:dyDescent="0.25">
      <c r="A906" s="81" t="s">
        <v>281</v>
      </c>
      <c r="B906" s="80" t="s">
        <v>1739</v>
      </c>
      <c r="C906" s="87" t="s">
        <v>826</v>
      </c>
    </row>
    <row r="907" spans="1:3" x14ac:dyDescent="0.25">
      <c r="A907" s="81" t="s">
        <v>281</v>
      </c>
      <c r="B907" s="80" t="s">
        <v>282</v>
      </c>
      <c r="C907" s="87" t="s">
        <v>826</v>
      </c>
    </row>
    <row r="908" spans="1:3" x14ac:dyDescent="0.25">
      <c r="A908" s="81" t="s">
        <v>285</v>
      </c>
      <c r="B908" s="80" t="s">
        <v>2101</v>
      </c>
      <c r="C908" s="87" t="s">
        <v>834</v>
      </c>
    </row>
    <row r="909" spans="1:3" x14ac:dyDescent="0.25">
      <c r="A909" s="81" t="s">
        <v>285</v>
      </c>
      <c r="B909" s="80" t="s">
        <v>2102</v>
      </c>
      <c r="C909" s="87" t="s">
        <v>834</v>
      </c>
    </row>
    <row r="910" spans="1:3" x14ac:dyDescent="0.25">
      <c r="A910" s="81" t="s">
        <v>285</v>
      </c>
      <c r="B910" s="80" t="s">
        <v>2103</v>
      </c>
      <c r="C910" s="87" t="s">
        <v>834</v>
      </c>
    </row>
    <row r="911" spans="1:3" x14ac:dyDescent="0.25">
      <c r="A911" s="81" t="s">
        <v>285</v>
      </c>
      <c r="B911" s="80" t="s">
        <v>2104</v>
      </c>
      <c r="C911" s="87" t="s">
        <v>834</v>
      </c>
    </row>
    <row r="912" spans="1:3" x14ac:dyDescent="0.25">
      <c r="A912" s="81" t="s">
        <v>285</v>
      </c>
      <c r="B912" s="80" t="s">
        <v>2105</v>
      </c>
      <c r="C912" s="87" t="s">
        <v>834</v>
      </c>
    </row>
    <row r="913" spans="1:3" x14ac:dyDescent="0.25">
      <c r="A913" s="81" t="s">
        <v>285</v>
      </c>
      <c r="B913" s="80" t="s">
        <v>268</v>
      </c>
      <c r="C913" s="87" t="s">
        <v>834</v>
      </c>
    </row>
    <row r="914" spans="1:3" x14ac:dyDescent="0.25">
      <c r="A914" s="81" t="s">
        <v>285</v>
      </c>
      <c r="B914" s="80" t="s">
        <v>1755</v>
      </c>
      <c r="C914" s="87" t="s">
        <v>834</v>
      </c>
    </row>
    <row r="915" spans="1:3" x14ac:dyDescent="0.25">
      <c r="A915" s="81" t="s">
        <v>285</v>
      </c>
      <c r="B915" s="80" t="s">
        <v>2106</v>
      </c>
      <c r="C915" s="87" t="s">
        <v>834</v>
      </c>
    </row>
    <row r="916" spans="1:3" x14ac:dyDescent="0.25">
      <c r="A916" s="81" t="s">
        <v>285</v>
      </c>
      <c r="B916" s="80" t="s">
        <v>339</v>
      </c>
      <c r="C916" s="87" t="s">
        <v>834</v>
      </c>
    </row>
    <row r="917" spans="1:3" x14ac:dyDescent="0.25">
      <c r="A917" s="81" t="s">
        <v>243</v>
      </c>
      <c r="B917" s="80" t="s">
        <v>244</v>
      </c>
      <c r="C917" s="87" t="s">
        <v>747</v>
      </c>
    </row>
    <row r="918" spans="1:3" x14ac:dyDescent="0.25">
      <c r="A918" s="81" t="s">
        <v>243</v>
      </c>
      <c r="B918" s="80" t="s">
        <v>471</v>
      </c>
      <c r="C918" s="87" t="s">
        <v>747</v>
      </c>
    </row>
    <row r="919" spans="1:3" x14ac:dyDescent="0.25">
      <c r="A919" s="81" t="s">
        <v>243</v>
      </c>
      <c r="B919" s="80" t="s">
        <v>2107</v>
      </c>
      <c r="C919" s="87" t="s">
        <v>747</v>
      </c>
    </row>
    <row r="920" spans="1:3" x14ac:dyDescent="0.25">
      <c r="A920" s="81" t="s">
        <v>243</v>
      </c>
      <c r="B920" s="80" t="s">
        <v>1668</v>
      </c>
      <c r="C920" s="87" t="s">
        <v>747</v>
      </c>
    </row>
    <row r="921" spans="1:3" x14ac:dyDescent="0.25">
      <c r="A921" s="81" t="s">
        <v>243</v>
      </c>
      <c r="B921" s="80" t="s">
        <v>2108</v>
      </c>
      <c r="C921" s="87" t="s">
        <v>747</v>
      </c>
    </row>
    <row r="922" spans="1:3" x14ac:dyDescent="0.25">
      <c r="A922" s="81" t="s">
        <v>243</v>
      </c>
      <c r="B922" s="80" t="s">
        <v>2109</v>
      </c>
      <c r="C922" s="87" t="s">
        <v>747</v>
      </c>
    </row>
    <row r="923" spans="1:3" x14ac:dyDescent="0.25">
      <c r="A923" s="81" t="s">
        <v>243</v>
      </c>
      <c r="B923" s="80" t="s">
        <v>1756</v>
      </c>
      <c r="C923" s="87" t="s">
        <v>747</v>
      </c>
    </row>
    <row r="924" spans="1:3" x14ac:dyDescent="0.25">
      <c r="A924" s="81" t="s">
        <v>243</v>
      </c>
      <c r="B924" s="80" t="s">
        <v>268</v>
      </c>
      <c r="C924" s="87" t="s">
        <v>747</v>
      </c>
    </row>
    <row r="925" spans="1:3" x14ac:dyDescent="0.25">
      <c r="A925" s="81" t="s">
        <v>243</v>
      </c>
      <c r="B925" s="80" t="s">
        <v>309</v>
      </c>
      <c r="C925" s="87" t="s">
        <v>747</v>
      </c>
    </row>
    <row r="926" spans="1:3" x14ac:dyDescent="0.25">
      <c r="A926" s="81" t="s">
        <v>243</v>
      </c>
      <c r="B926" s="80" t="s">
        <v>1829</v>
      </c>
      <c r="C926" s="87" t="s">
        <v>747</v>
      </c>
    </row>
    <row r="927" spans="1:3" x14ac:dyDescent="0.25">
      <c r="A927" s="81" t="s">
        <v>243</v>
      </c>
      <c r="B927" s="80" t="s">
        <v>1902</v>
      </c>
      <c r="C927" s="87" t="s">
        <v>747</v>
      </c>
    </row>
    <row r="928" spans="1:3" x14ac:dyDescent="0.25">
      <c r="A928" s="81" t="s">
        <v>243</v>
      </c>
      <c r="B928" s="80" t="s">
        <v>1747</v>
      </c>
      <c r="C928" s="87" t="s">
        <v>747</v>
      </c>
    </row>
    <row r="929" spans="1:3" x14ac:dyDescent="0.25">
      <c r="A929" s="81" t="s">
        <v>243</v>
      </c>
      <c r="B929" s="80" t="s">
        <v>243</v>
      </c>
      <c r="C929" s="87" t="s">
        <v>747</v>
      </c>
    </row>
    <row r="930" spans="1:3" x14ac:dyDescent="0.25">
      <c r="A930" s="81" t="s">
        <v>243</v>
      </c>
      <c r="B930" s="80" t="s">
        <v>1665</v>
      </c>
      <c r="C930" s="87" t="s">
        <v>747</v>
      </c>
    </row>
    <row r="931" spans="1:3" x14ac:dyDescent="0.25">
      <c r="A931" s="81" t="s">
        <v>243</v>
      </c>
      <c r="B931" s="80" t="s">
        <v>1673</v>
      </c>
      <c r="C931" s="87" t="s">
        <v>747</v>
      </c>
    </row>
    <row r="932" spans="1:3" x14ac:dyDescent="0.25">
      <c r="A932" s="81" t="s">
        <v>252</v>
      </c>
      <c r="B932" s="80" t="s">
        <v>318</v>
      </c>
      <c r="C932" s="87" t="s">
        <v>757</v>
      </c>
    </row>
    <row r="933" spans="1:3" x14ac:dyDescent="0.25">
      <c r="A933" s="81" t="s">
        <v>252</v>
      </c>
      <c r="B933" s="80" t="s">
        <v>319</v>
      </c>
      <c r="C933" s="87" t="s">
        <v>757</v>
      </c>
    </row>
    <row r="934" spans="1:3" x14ac:dyDescent="0.25">
      <c r="A934" s="81" t="s">
        <v>252</v>
      </c>
      <c r="B934" s="80" t="s">
        <v>474</v>
      </c>
      <c r="C934" s="87" t="s">
        <v>757</v>
      </c>
    </row>
    <row r="935" spans="1:3" x14ac:dyDescent="0.25">
      <c r="A935" s="81" t="s">
        <v>252</v>
      </c>
      <c r="B935" s="80" t="s">
        <v>268</v>
      </c>
      <c r="C935" s="87" t="s">
        <v>757</v>
      </c>
    </row>
    <row r="936" spans="1:3" x14ac:dyDescent="0.25">
      <c r="A936" s="81" t="s">
        <v>252</v>
      </c>
      <c r="B936" s="80" t="s">
        <v>1775</v>
      </c>
      <c r="C936" s="87" t="s">
        <v>757</v>
      </c>
    </row>
    <row r="937" spans="1:3" x14ac:dyDescent="0.25">
      <c r="A937" s="81" t="s">
        <v>252</v>
      </c>
      <c r="B937" s="80" t="s">
        <v>2110</v>
      </c>
      <c r="C937" s="87" t="s">
        <v>757</v>
      </c>
    </row>
    <row r="938" spans="1:3" x14ac:dyDescent="0.25">
      <c r="A938" s="81" t="s">
        <v>252</v>
      </c>
      <c r="B938" s="80" t="s">
        <v>1654</v>
      </c>
      <c r="C938" s="87" t="s">
        <v>757</v>
      </c>
    </row>
    <row r="939" spans="1:3" x14ac:dyDescent="0.25">
      <c r="A939" s="81" t="s">
        <v>252</v>
      </c>
      <c r="B939" s="80" t="s">
        <v>1649</v>
      </c>
      <c r="C939" s="87" t="s">
        <v>757</v>
      </c>
    </row>
    <row r="940" spans="1:3" x14ac:dyDescent="0.25">
      <c r="A940" s="81" t="s">
        <v>252</v>
      </c>
      <c r="B940" s="80" t="s">
        <v>1670</v>
      </c>
      <c r="C940" s="87" t="s">
        <v>757</v>
      </c>
    </row>
    <row r="941" spans="1:3" x14ac:dyDescent="0.25">
      <c r="A941" s="81" t="s">
        <v>252</v>
      </c>
      <c r="B941" s="80" t="s">
        <v>312</v>
      </c>
      <c r="C941" s="87" t="s">
        <v>757</v>
      </c>
    </row>
    <row r="942" spans="1:3" x14ac:dyDescent="0.25">
      <c r="A942" s="81" t="s">
        <v>252</v>
      </c>
      <c r="B942" s="80" t="s">
        <v>1694</v>
      </c>
      <c r="C942" s="87" t="s">
        <v>757</v>
      </c>
    </row>
    <row r="943" spans="1:3" x14ac:dyDescent="0.25">
      <c r="A943" s="81" t="s">
        <v>252</v>
      </c>
      <c r="B943" s="80" t="s">
        <v>1652</v>
      </c>
      <c r="C943" s="87" t="s">
        <v>757</v>
      </c>
    </row>
    <row r="944" spans="1:3" x14ac:dyDescent="0.25">
      <c r="A944" s="81" t="s">
        <v>252</v>
      </c>
      <c r="B944" s="80" t="s">
        <v>1675</v>
      </c>
      <c r="C944" s="87" t="s">
        <v>757</v>
      </c>
    </row>
    <row r="945" spans="1:3" x14ac:dyDescent="0.25">
      <c r="A945" s="81" t="s">
        <v>252</v>
      </c>
      <c r="B945" s="80" t="s">
        <v>1687</v>
      </c>
      <c r="C945" s="87" t="s">
        <v>757</v>
      </c>
    </row>
    <row r="946" spans="1:3" x14ac:dyDescent="0.25">
      <c r="A946" s="81" t="s">
        <v>252</v>
      </c>
      <c r="B946" s="80" t="s">
        <v>1642</v>
      </c>
      <c r="C946" s="87" t="s">
        <v>757</v>
      </c>
    </row>
    <row r="947" spans="1:3" x14ac:dyDescent="0.25">
      <c r="A947" s="81" t="s">
        <v>252</v>
      </c>
      <c r="B947" s="80" t="s">
        <v>1643</v>
      </c>
      <c r="C947" s="87" t="s">
        <v>757</v>
      </c>
    </row>
    <row r="948" spans="1:3" x14ac:dyDescent="0.25">
      <c r="A948" s="81" t="s">
        <v>261</v>
      </c>
      <c r="B948" s="80" t="s">
        <v>1751</v>
      </c>
      <c r="C948" s="87" t="s">
        <v>773</v>
      </c>
    </row>
    <row r="949" spans="1:3" x14ac:dyDescent="0.25">
      <c r="A949" s="81" t="s">
        <v>261</v>
      </c>
      <c r="B949" s="80" t="s">
        <v>2111</v>
      </c>
      <c r="C949" s="87" t="s">
        <v>773</v>
      </c>
    </row>
    <row r="950" spans="1:3" x14ac:dyDescent="0.25">
      <c r="A950" s="81" t="s">
        <v>261</v>
      </c>
      <c r="B950" s="80">
        <v>12</v>
      </c>
      <c r="C950" s="87" t="s">
        <v>773</v>
      </c>
    </row>
    <row r="951" spans="1:3" x14ac:dyDescent="0.25">
      <c r="A951" s="81" t="s">
        <v>261</v>
      </c>
      <c r="B951" s="80" t="s">
        <v>2112</v>
      </c>
      <c r="C951" s="87" t="s">
        <v>773</v>
      </c>
    </row>
    <row r="952" spans="1:3" x14ac:dyDescent="0.25">
      <c r="A952" s="81" t="s">
        <v>261</v>
      </c>
      <c r="B952" s="80" t="s">
        <v>1646</v>
      </c>
      <c r="C952" s="87" t="s">
        <v>773</v>
      </c>
    </row>
    <row r="953" spans="1:3" x14ac:dyDescent="0.25">
      <c r="A953" s="81" t="s">
        <v>261</v>
      </c>
      <c r="B953" s="80" t="s">
        <v>1863</v>
      </c>
      <c r="C953" s="87" t="s">
        <v>773</v>
      </c>
    </row>
    <row r="954" spans="1:3" x14ac:dyDescent="0.25">
      <c r="A954" s="81" t="s">
        <v>261</v>
      </c>
      <c r="B954" s="80" t="s">
        <v>1865</v>
      </c>
      <c r="C954" s="87" t="s">
        <v>773</v>
      </c>
    </row>
    <row r="955" spans="1:3" x14ac:dyDescent="0.25">
      <c r="A955" s="81" t="s">
        <v>261</v>
      </c>
      <c r="B955" s="80" t="s">
        <v>478</v>
      </c>
      <c r="C955" s="87" t="s">
        <v>773</v>
      </c>
    </row>
    <row r="956" spans="1:3" x14ac:dyDescent="0.25">
      <c r="A956" s="81" t="s">
        <v>261</v>
      </c>
      <c r="B956" s="80" t="s">
        <v>2113</v>
      </c>
      <c r="C956" s="87" t="s">
        <v>773</v>
      </c>
    </row>
    <row r="957" spans="1:3" x14ac:dyDescent="0.25">
      <c r="A957" s="81" t="s">
        <v>261</v>
      </c>
      <c r="B957" s="80" t="s">
        <v>2114</v>
      </c>
      <c r="C957" s="87" t="s">
        <v>773</v>
      </c>
    </row>
    <row r="958" spans="1:3" x14ac:dyDescent="0.25">
      <c r="A958" s="81" t="s">
        <v>261</v>
      </c>
      <c r="B958" s="80" t="s">
        <v>2115</v>
      </c>
      <c r="C958" s="87" t="s">
        <v>773</v>
      </c>
    </row>
    <row r="959" spans="1:3" x14ac:dyDescent="0.25">
      <c r="A959" s="81" t="s">
        <v>261</v>
      </c>
      <c r="B959" s="80" t="s">
        <v>2086</v>
      </c>
      <c r="C959" s="87" t="s">
        <v>773</v>
      </c>
    </row>
    <row r="960" spans="1:3" x14ac:dyDescent="0.25">
      <c r="A960" s="81" t="s">
        <v>261</v>
      </c>
      <c r="B960" s="80" t="s">
        <v>2116</v>
      </c>
      <c r="C960" s="87" t="s">
        <v>773</v>
      </c>
    </row>
    <row r="961" spans="1:3" x14ac:dyDescent="0.25">
      <c r="A961" s="81" t="s">
        <v>261</v>
      </c>
      <c r="B961" s="80" t="s">
        <v>1767</v>
      </c>
      <c r="C961" s="87" t="s">
        <v>773</v>
      </c>
    </row>
    <row r="962" spans="1:3" x14ac:dyDescent="0.25">
      <c r="A962" s="81" t="s">
        <v>249</v>
      </c>
      <c r="B962" s="80" t="s">
        <v>317</v>
      </c>
      <c r="C962" s="87" t="s">
        <v>753</v>
      </c>
    </row>
    <row r="963" spans="1:3" x14ac:dyDescent="0.25">
      <c r="A963" s="81" t="s">
        <v>249</v>
      </c>
      <c r="B963" s="80" t="s">
        <v>1928</v>
      </c>
      <c r="C963" s="87" t="s">
        <v>753</v>
      </c>
    </row>
    <row r="964" spans="1:3" x14ac:dyDescent="0.25">
      <c r="A964" s="81" t="s">
        <v>249</v>
      </c>
      <c r="B964" s="80" t="s">
        <v>1859</v>
      </c>
      <c r="C964" s="87" t="s">
        <v>753</v>
      </c>
    </row>
    <row r="965" spans="1:3" x14ac:dyDescent="0.25">
      <c r="A965" s="81" t="s">
        <v>249</v>
      </c>
      <c r="B965" s="80" t="s">
        <v>321</v>
      </c>
      <c r="C965" s="87" t="s">
        <v>753</v>
      </c>
    </row>
    <row r="966" spans="1:3" x14ac:dyDescent="0.25">
      <c r="A966" s="81" t="s">
        <v>249</v>
      </c>
      <c r="B966" s="80" t="s">
        <v>249</v>
      </c>
      <c r="C966" s="87" t="s">
        <v>753</v>
      </c>
    </row>
    <row r="967" spans="1:3" x14ac:dyDescent="0.25">
      <c r="A967" s="81" t="s">
        <v>276</v>
      </c>
      <c r="B967" s="80" t="s">
        <v>2117</v>
      </c>
      <c r="C967" s="87" t="s">
        <v>812</v>
      </c>
    </row>
    <row r="968" spans="1:3" x14ac:dyDescent="0.25">
      <c r="A968" s="81" t="s">
        <v>276</v>
      </c>
      <c r="B968" s="80" t="s">
        <v>1640</v>
      </c>
      <c r="C968" s="87" t="s">
        <v>812</v>
      </c>
    </row>
    <row r="969" spans="1:3" x14ac:dyDescent="0.25">
      <c r="A969" s="81" t="s">
        <v>276</v>
      </c>
      <c r="B969" s="80" t="s">
        <v>1644</v>
      </c>
      <c r="C969" s="87" t="s">
        <v>812</v>
      </c>
    </row>
    <row r="970" spans="1:3" x14ac:dyDescent="0.25">
      <c r="A970" s="81" t="s">
        <v>276</v>
      </c>
      <c r="B970" s="80" t="s">
        <v>1735</v>
      </c>
      <c r="C970" s="87" t="s">
        <v>812</v>
      </c>
    </row>
    <row r="971" spans="1:3" x14ac:dyDescent="0.25">
      <c r="A971" s="81" t="s">
        <v>276</v>
      </c>
      <c r="B971" s="80" t="s">
        <v>1905</v>
      </c>
      <c r="C971" s="87" t="s">
        <v>812</v>
      </c>
    </row>
    <row r="972" spans="1:3" x14ac:dyDescent="0.25">
      <c r="A972" s="81" t="s">
        <v>276</v>
      </c>
      <c r="B972" s="80" t="s">
        <v>1828</v>
      </c>
      <c r="C972" s="87" t="s">
        <v>812</v>
      </c>
    </row>
    <row r="973" spans="1:3" x14ac:dyDescent="0.25">
      <c r="A973" s="81" t="s">
        <v>276</v>
      </c>
      <c r="B973" s="80" t="s">
        <v>1645</v>
      </c>
      <c r="C973" s="87" t="s">
        <v>812</v>
      </c>
    </row>
    <row r="974" spans="1:3" x14ac:dyDescent="0.25">
      <c r="A974" s="81" t="s">
        <v>276</v>
      </c>
      <c r="B974" s="80" t="s">
        <v>1674</v>
      </c>
      <c r="C974" s="87" t="s">
        <v>812</v>
      </c>
    </row>
    <row r="975" spans="1:3" x14ac:dyDescent="0.25">
      <c r="A975" s="81" t="s">
        <v>276</v>
      </c>
      <c r="B975" s="80" t="s">
        <v>1789</v>
      </c>
      <c r="C975" s="87" t="s">
        <v>812</v>
      </c>
    </row>
    <row r="976" spans="1:3" x14ac:dyDescent="0.25">
      <c r="A976" s="81" t="s">
        <v>276</v>
      </c>
      <c r="B976" s="80" t="s">
        <v>1940</v>
      </c>
      <c r="C976" s="87" t="s">
        <v>812</v>
      </c>
    </row>
    <row r="977" spans="1:3" x14ac:dyDescent="0.25">
      <c r="A977" s="81" t="s">
        <v>276</v>
      </c>
      <c r="B977" s="80" t="s">
        <v>489</v>
      </c>
      <c r="C977" s="87" t="s">
        <v>812</v>
      </c>
    </row>
    <row r="978" spans="1:3" x14ac:dyDescent="0.25">
      <c r="A978" s="81" t="s">
        <v>276</v>
      </c>
      <c r="B978" s="80" t="s">
        <v>1759</v>
      </c>
      <c r="C978" s="87" t="s">
        <v>812</v>
      </c>
    </row>
    <row r="979" spans="1:3" x14ac:dyDescent="0.25">
      <c r="A979" s="81" t="s">
        <v>276</v>
      </c>
      <c r="B979" s="80" t="s">
        <v>277</v>
      </c>
      <c r="C979" s="87" t="s">
        <v>812</v>
      </c>
    </row>
    <row r="980" spans="1:3" x14ac:dyDescent="0.25">
      <c r="A980" s="81" t="s">
        <v>294</v>
      </c>
      <c r="B980" s="80" t="s">
        <v>1990</v>
      </c>
      <c r="C980" s="87" t="s">
        <v>848</v>
      </c>
    </row>
    <row r="981" spans="1:3" x14ac:dyDescent="0.25">
      <c r="A981" s="81" t="s">
        <v>294</v>
      </c>
      <c r="B981" s="80" t="s">
        <v>1685</v>
      </c>
      <c r="C981" s="87" t="s">
        <v>848</v>
      </c>
    </row>
    <row r="982" spans="1:3" x14ac:dyDescent="0.25">
      <c r="A982" s="81" t="s">
        <v>294</v>
      </c>
      <c r="B982" s="80" t="s">
        <v>1667</v>
      </c>
      <c r="C982" s="87" t="s">
        <v>848</v>
      </c>
    </row>
    <row r="983" spans="1:3" x14ac:dyDescent="0.25">
      <c r="A983" s="81" t="s">
        <v>294</v>
      </c>
      <c r="B983" s="80" t="s">
        <v>1654</v>
      </c>
      <c r="C983" s="87" t="s">
        <v>848</v>
      </c>
    </row>
    <row r="984" spans="1:3" x14ac:dyDescent="0.25">
      <c r="A984" s="81" t="s">
        <v>294</v>
      </c>
      <c r="B984" s="80" t="s">
        <v>1645</v>
      </c>
      <c r="C984" s="87" t="s">
        <v>848</v>
      </c>
    </row>
    <row r="985" spans="1:3" x14ac:dyDescent="0.25">
      <c r="A985" s="81" t="s">
        <v>294</v>
      </c>
      <c r="B985" s="80" t="s">
        <v>1703</v>
      </c>
      <c r="C985" s="87" t="s">
        <v>848</v>
      </c>
    </row>
    <row r="986" spans="1:3" x14ac:dyDescent="0.25">
      <c r="A986" s="81" t="s">
        <v>294</v>
      </c>
      <c r="B986" s="80" t="s">
        <v>1724</v>
      </c>
      <c r="C986" s="87" t="s">
        <v>848</v>
      </c>
    </row>
    <row r="987" spans="1:3" x14ac:dyDescent="0.25">
      <c r="A987" s="81" t="s">
        <v>294</v>
      </c>
      <c r="B987" s="80" t="s">
        <v>470</v>
      </c>
      <c r="C987" s="87" t="s">
        <v>848</v>
      </c>
    </row>
    <row r="988" spans="1:3" x14ac:dyDescent="0.25">
      <c r="A988" s="81" t="s">
        <v>294</v>
      </c>
      <c r="B988" s="80" t="s">
        <v>1690</v>
      </c>
      <c r="C988" s="87" t="s">
        <v>848</v>
      </c>
    </row>
    <row r="989" spans="1:3" x14ac:dyDescent="0.25">
      <c r="A989" s="81" t="s">
        <v>294</v>
      </c>
      <c r="B989" s="80" t="s">
        <v>1704</v>
      </c>
      <c r="C989" s="87" t="s">
        <v>848</v>
      </c>
    </row>
    <row r="990" spans="1:3" x14ac:dyDescent="0.25">
      <c r="A990" s="81" t="s">
        <v>294</v>
      </c>
      <c r="B990" s="80" t="s">
        <v>1682</v>
      </c>
      <c r="C990" s="87" t="s">
        <v>848</v>
      </c>
    </row>
    <row r="991" spans="1:3" x14ac:dyDescent="0.25">
      <c r="A991" s="81" t="s">
        <v>294</v>
      </c>
      <c r="B991" s="80" t="s">
        <v>249</v>
      </c>
      <c r="C991" s="87" t="s">
        <v>848</v>
      </c>
    </row>
    <row r="992" spans="1:3" x14ac:dyDescent="0.25">
      <c r="A992" s="81" t="s">
        <v>245</v>
      </c>
      <c r="B992" s="80" t="s">
        <v>268</v>
      </c>
      <c r="C992" s="87" t="s">
        <v>749</v>
      </c>
    </row>
    <row r="993" spans="1:3" x14ac:dyDescent="0.25">
      <c r="A993" s="81" t="s">
        <v>245</v>
      </c>
      <c r="B993" s="80" t="s">
        <v>2118</v>
      </c>
      <c r="C993" s="87" t="s">
        <v>749</v>
      </c>
    </row>
    <row r="994" spans="1:3" x14ac:dyDescent="0.25">
      <c r="A994" s="81" t="s">
        <v>245</v>
      </c>
      <c r="B994" s="80" t="s">
        <v>1784</v>
      </c>
      <c r="C994" s="87" t="s">
        <v>749</v>
      </c>
    </row>
    <row r="995" spans="1:3" x14ac:dyDescent="0.25">
      <c r="A995" s="81" t="s">
        <v>245</v>
      </c>
      <c r="B995" s="80" t="s">
        <v>2119</v>
      </c>
      <c r="C995" s="87" t="s">
        <v>749</v>
      </c>
    </row>
    <row r="996" spans="1:3" x14ac:dyDescent="0.25">
      <c r="A996" s="81" t="s">
        <v>245</v>
      </c>
      <c r="B996" s="80" t="s">
        <v>310</v>
      </c>
      <c r="C996" s="87" t="s">
        <v>749</v>
      </c>
    </row>
    <row r="997" spans="1:3" x14ac:dyDescent="0.25">
      <c r="A997" s="81" t="s">
        <v>245</v>
      </c>
      <c r="B997" s="80" t="s">
        <v>311</v>
      </c>
      <c r="C997" s="87" t="s">
        <v>749</v>
      </c>
    </row>
    <row r="998" spans="1:3" x14ac:dyDescent="0.25">
      <c r="A998" s="81" t="s">
        <v>249</v>
      </c>
      <c r="B998" s="80" t="s">
        <v>268</v>
      </c>
      <c r="C998" s="87" t="s">
        <v>800</v>
      </c>
    </row>
    <row r="999" spans="1:3" x14ac:dyDescent="0.25">
      <c r="A999" s="81" t="s">
        <v>249</v>
      </c>
      <c r="B999" s="80">
        <v>699</v>
      </c>
      <c r="C999" s="87" t="s">
        <v>800</v>
      </c>
    </row>
    <row r="1000" spans="1:3" x14ac:dyDescent="0.25">
      <c r="A1000" s="81" t="s">
        <v>249</v>
      </c>
      <c r="B1000" s="80" t="s">
        <v>2120</v>
      </c>
      <c r="C1000" s="87" t="s">
        <v>800</v>
      </c>
    </row>
    <row r="1001" spans="1:3" x14ac:dyDescent="0.25">
      <c r="A1001" s="81" t="s">
        <v>249</v>
      </c>
      <c r="B1001" s="80" t="s">
        <v>2121</v>
      </c>
      <c r="C1001" s="87" t="s">
        <v>800</v>
      </c>
    </row>
    <row r="1002" spans="1:3" x14ac:dyDescent="0.25">
      <c r="A1002" s="81" t="s">
        <v>249</v>
      </c>
      <c r="B1002" s="80" t="s">
        <v>2122</v>
      </c>
      <c r="C1002" s="87" t="s">
        <v>800</v>
      </c>
    </row>
    <row r="1003" spans="1:3" x14ac:dyDescent="0.25">
      <c r="A1003" s="81" t="s">
        <v>249</v>
      </c>
      <c r="B1003" s="80" t="s">
        <v>2123</v>
      </c>
      <c r="C1003" s="87" t="s">
        <v>800</v>
      </c>
    </row>
    <row r="1004" spans="1:3" x14ac:dyDescent="0.25">
      <c r="A1004" s="81" t="s">
        <v>249</v>
      </c>
      <c r="B1004" s="80" t="s">
        <v>2124</v>
      </c>
      <c r="C1004" s="87" t="s">
        <v>800</v>
      </c>
    </row>
    <row r="1005" spans="1:3" x14ac:dyDescent="0.25">
      <c r="A1005" s="81" t="s">
        <v>249</v>
      </c>
      <c r="B1005" s="80" t="s">
        <v>2125</v>
      </c>
      <c r="C1005" s="87" t="s">
        <v>800</v>
      </c>
    </row>
    <row r="1006" spans="1:3" x14ac:dyDescent="0.25">
      <c r="A1006" s="81" t="s">
        <v>249</v>
      </c>
      <c r="B1006" s="80" t="s">
        <v>277</v>
      </c>
      <c r="C1006" s="87" t="s">
        <v>800</v>
      </c>
    </row>
    <row r="1007" spans="1:3" x14ac:dyDescent="0.25">
      <c r="A1007" s="81" t="s">
        <v>249</v>
      </c>
      <c r="B1007" s="80" t="s">
        <v>1893</v>
      </c>
      <c r="C1007" s="87" t="s">
        <v>800</v>
      </c>
    </row>
    <row r="1008" spans="1:3" x14ac:dyDescent="0.25">
      <c r="A1008" s="81" t="s">
        <v>249</v>
      </c>
      <c r="B1008" s="80" t="s">
        <v>1644</v>
      </c>
      <c r="C1008" s="87" t="s">
        <v>800</v>
      </c>
    </row>
    <row r="1009" spans="1:3" x14ac:dyDescent="0.25">
      <c r="A1009" s="81" t="s">
        <v>249</v>
      </c>
      <c r="B1009" s="80" t="s">
        <v>2126</v>
      </c>
      <c r="C1009" s="87" t="s">
        <v>800</v>
      </c>
    </row>
    <row r="1010" spans="1:3" x14ac:dyDescent="0.25">
      <c r="A1010" s="81" t="s">
        <v>249</v>
      </c>
      <c r="B1010" s="80" t="s">
        <v>1869</v>
      </c>
      <c r="C1010" s="87" t="s">
        <v>800</v>
      </c>
    </row>
    <row r="1011" spans="1:3" x14ac:dyDescent="0.25">
      <c r="A1011" s="81" t="s">
        <v>249</v>
      </c>
      <c r="B1011" s="80" t="s">
        <v>2127</v>
      </c>
      <c r="C1011" s="87" t="s">
        <v>800</v>
      </c>
    </row>
    <row r="1012" spans="1:3" x14ac:dyDescent="0.25">
      <c r="A1012" s="81" t="s">
        <v>249</v>
      </c>
      <c r="B1012" s="80" t="s">
        <v>2128</v>
      </c>
      <c r="C1012" s="87" t="s">
        <v>800</v>
      </c>
    </row>
    <row r="1013" spans="1:3" x14ac:dyDescent="0.25">
      <c r="A1013" s="81" t="s">
        <v>249</v>
      </c>
      <c r="B1013" s="80" t="s">
        <v>2129</v>
      </c>
      <c r="C1013" s="87" t="s">
        <v>800</v>
      </c>
    </row>
    <row r="1014" spans="1:3" x14ac:dyDescent="0.25">
      <c r="A1014" s="81" t="s">
        <v>249</v>
      </c>
      <c r="B1014" s="80" t="s">
        <v>2130</v>
      </c>
      <c r="C1014" s="87" t="s">
        <v>800</v>
      </c>
    </row>
    <row r="1015" spans="1:3" x14ac:dyDescent="0.25">
      <c r="A1015" s="81" t="s">
        <v>249</v>
      </c>
      <c r="B1015" s="80" t="s">
        <v>1755</v>
      </c>
      <c r="C1015" s="87" t="s">
        <v>800</v>
      </c>
    </row>
    <row r="1016" spans="1:3" x14ac:dyDescent="0.25">
      <c r="A1016" s="81" t="s">
        <v>249</v>
      </c>
      <c r="B1016" s="80" t="s">
        <v>1778</v>
      </c>
      <c r="C1016" s="87" t="s">
        <v>800</v>
      </c>
    </row>
    <row r="1017" spans="1:3" x14ac:dyDescent="0.25">
      <c r="A1017" s="81" t="s">
        <v>249</v>
      </c>
      <c r="B1017" s="80" t="s">
        <v>1705</v>
      </c>
      <c r="C1017" s="87" t="s">
        <v>800</v>
      </c>
    </row>
    <row r="1018" spans="1:3" x14ac:dyDescent="0.25">
      <c r="A1018" s="81" t="s">
        <v>249</v>
      </c>
      <c r="B1018" s="80" t="s">
        <v>1738</v>
      </c>
      <c r="C1018" s="87" t="s">
        <v>800</v>
      </c>
    </row>
    <row r="1019" spans="1:3" x14ac:dyDescent="0.25">
      <c r="A1019" s="81" t="s">
        <v>249</v>
      </c>
      <c r="B1019" s="80" t="s">
        <v>1802</v>
      </c>
      <c r="C1019" s="87" t="s">
        <v>800</v>
      </c>
    </row>
    <row r="1020" spans="1:3" x14ac:dyDescent="0.25">
      <c r="A1020" s="81" t="s">
        <v>249</v>
      </c>
      <c r="B1020" s="80" t="s">
        <v>1737</v>
      </c>
      <c r="C1020" s="87" t="s">
        <v>800</v>
      </c>
    </row>
    <row r="1021" spans="1:3" x14ac:dyDescent="0.25">
      <c r="A1021" s="81" t="s">
        <v>249</v>
      </c>
      <c r="B1021" s="80" t="s">
        <v>275</v>
      </c>
      <c r="C1021" s="87" t="s">
        <v>800</v>
      </c>
    </row>
    <row r="1022" spans="1:3" x14ac:dyDescent="0.25">
      <c r="A1022" s="81" t="s">
        <v>249</v>
      </c>
      <c r="B1022" s="80" t="s">
        <v>1650</v>
      </c>
      <c r="C1022" s="87" t="s">
        <v>800</v>
      </c>
    </row>
    <row r="1023" spans="1:3" x14ac:dyDescent="0.25">
      <c r="A1023" s="81" t="s">
        <v>249</v>
      </c>
      <c r="B1023" s="80" t="s">
        <v>249</v>
      </c>
      <c r="C1023" s="87" t="s">
        <v>800</v>
      </c>
    </row>
    <row r="1024" spans="1:3" x14ac:dyDescent="0.25">
      <c r="A1024" s="81" t="s">
        <v>249</v>
      </c>
      <c r="B1024" s="80" t="s">
        <v>485</v>
      </c>
      <c r="C1024" s="87" t="s">
        <v>800</v>
      </c>
    </row>
    <row r="1025" spans="1:3" x14ac:dyDescent="0.25">
      <c r="A1025" s="81" t="s">
        <v>261</v>
      </c>
      <c r="B1025" s="80" t="s">
        <v>2131</v>
      </c>
      <c r="C1025" s="87" t="s">
        <v>771</v>
      </c>
    </row>
    <row r="1026" spans="1:3" x14ac:dyDescent="0.25">
      <c r="A1026" s="81" t="s">
        <v>261</v>
      </c>
      <c r="B1026" s="80" t="s">
        <v>1660</v>
      </c>
      <c r="C1026" s="87" t="s">
        <v>771</v>
      </c>
    </row>
    <row r="1027" spans="1:3" x14ac:dyDescent="0.25">
      <c r="A1027" s="81" t="s">
        <v>261</v>
      </c>
      <c r="B1027" s="80" t="s">
        <v>1653</v>
      </c>
      <c r="C1027" s="87" t="s">
        <v>771</v>
      </c>
    </row>
    <row r="1028" spans="1:3" x14ac:dyDescent="0.25">
      <c r="A1028" s="81" t="s">
        <v>261</v>
      </c>
      <c r="B1028" s="80" t="s">
        <v>1646</v>
      </c>
      <c r="C1028" s="87" t="s">
        <v>771</v>
      </c>
    </row>
    <row r="1029" spans="1:3" x14ac:dyDescent="0.25">
      <c r="A1029" s="81" t="s">
        <v>261</v>
      </c>
      <c r="B1029" s="80" t="s">
        <v>1863</v>
      </c>
      <c r="C1029" s="87" t="s">
        <v>771</v>
      </c>
    </row>
    <row r="1030" spans="1:3" x14ac:dyDescent="0.25">
      <c r="A1030" s="81" t="s">
        <v>261</v>
      </c>
      <c r="B1030" s="80" t="s">
        <v>2132</v>
      </c>
      <c r="C1030" s="87" t="s">
        <v>771</v>
      </c>
    </row>
    <row r="1031" spans="1:3" x14ac:dyDescent="0.25">
      <c r="A1031" s="81" t="s">
        <v>261</v>
      </c>
      <c r="B1031" s="80" t="s">
        <v>2133</v>
      </c>
      <c r="C1031" s="87" t="s">
        <v>771</v>
      </c>
    </row>
    <row r="1032" spans="1:3" x14ac:dyDescent="0.25">
      <c r="A1032" s="81" t="s">
        <v>261</v>
      </c>
      <c r="B1032" s="80" t="s">
        <v>2134</v>
      </c>
      <c r="C1032" s="87" t="s">
        <v>771</v>
      </c>
    </row>
    <row r="1033" spans="1:3" x14ac:dyDescent="0.25">
      <c r="A1033" s="81" t="s">
        <v>261</v>
      </c>
      <c r="B1033" s="80" t="s">
        <v>1865</v>
      </c>
      <c r="C1033" s="87" t="s">
        <v>771</v>
      </c>
    </row>
    <row r="1034" spans="1:3" x14ac:dyDescent="0.25">
      <c r="A1034" s="81" t="s">
        <v>261</v>
      </c>
      <c r="B1034" s="80" t="s">
        <v>2135</v>
      </c>
      <c r="C1034" s="87" t="s">
        <v>771</v>
      </c>
    </row>
    <row r="1035" spans="1:3" x14ac:dyDescent="0.25">
      <c r="A1035" s="81" t="s">
        <v>261</v>
      </c>
      <c r="B1035" s="80" t="s">
        <v>478</v>
      </c>
      <c r="C1035" s="87" t="s">
        <v>771</v>
      </c>
    </row>
    <row r="1036" spans="1:3" x14ac:dyDescent="0.25">
      <c r="A1036" s="81" t="s">
        <v>261</v>
      </c>
      <c r="B1036" s="80">
        <v>12</v>
      </c>
      <c r="C1036" s="87" t="s">
        <v>771</v>
      </c>
    </row>
    <row r="1037" spans="1:3" x14ac:dyDescent="0.25">
      <c r="A1037" s="81" t="s">
        <v>261</v>
      </c>
      <c r="B1037" s="80">
        <v>31</v>
      </c>
      <c r="C1037" s="87" t="s">
        <v>771</v>
      </c>
    </row>
    <row r="1038" spans="1:3" x14ac:dyDescent="0.25">
      <c r="A1038" s="81" t="s">
        <v>261</v>
      </c>
      <c r="B1038" s="80" t="s">
        <v>1937</v>
      </c>
      <c r="C1038" s="87" t="s">
        <v>771</v>
      </c>
    </row>
    <row r="1039" spans="1:3" x14ac:dyDescent="0.25">
      <c r="A1039" s="81" t="s">
        <v>261</v>
      </c>
      <c r="B1039" s="80" t="s">
        <v>1819</v>
      </c>
      <c r="C1039" s="87" t="s">
        <v>771</v>
      </c>
    </row>
    <row r="1040" spans="1:3" x14ac:dyDescent="0.25">
      <c r="A1040" s="81" t="s">
        <v>261</v>
      </c>
      <c r="B1040" s="80" t="s">
        <v>1663</v>
      </c>
      <c r="C1040" s="87" t="s">
        <v>771</v>
      </c>
    </row>
    <row r="1041" spans="1:3" x14ac:dyDescent="0.25">
      <c r="A1041" s="81" t="s">
        <v>261</v>
      </c>
      <c r="B1041" s="80" t="s">
        <v>268</v>
      </c>
      <c r="C1041" s="87" t="s">
        <v>771</v>
      </c>
    </row>
    <row r="1042" spans="1:3" x14ac:dyDescent="0.25">
      <c r="A1042" s="81" t="s">
        <v>261</v>
      </c>
      <c r="B1042" s="80" t="s">
        <v>1649</v>
      </c>
      <c r="C1042" s="87" t="s">
        <v>771</v>
      </c>
    </row>
    <row r="1043" spans="1:3" x14ac:dyDescent="0.25">
      <c r="A1043" s="81" t="s">
        <v>261</v>
      </c>
      <c r="B1043" s="80" t="s">
        <v>1651</v>
      </c>
      <c r="C1043" s="87" t="s">
        <v>771</v>
      </c>
    </row>
    <row r="1044" spans="1:3" x14ac:dyDescent="0.25">
      <c r="A1044" s="81" t="s">
        <v>261</v>
      </c>
      <c r="B1044" s="80" t="s">
        <v>1812</v>
      </c>
      <c r="C1044" s="87" t="s">
        <v>771</v>
      </c>
    </row>
    <row r="1045" spans="1:3" x14ac:dyDescent="0.25">
      <c r="A1045" s="81" t="s">
        <v>261</v>
      </c>
      <c r="B1045" s="80" t="s">
        <v>1647</v>
      </c>
      <c r="C1045" s="87" t="s">
        <v>771</v>
      </c>
    </row>
    <row r="1046" spans="1:3" x14ac:dyDescent="0.25">
      <c r="A1046" s="81" t="s">
        <v>261</v>
      </c>
      <c r="B1046" s="80" t="s">
        <v>1915</v>
      </c>
      <c r="C1046" s="87" t="s">
        <v>771</v>
      </c>
    </row>
    <row r="1047" spans="1:3" x14ac:dyDescent="0.25">
      <c r="A1047" s="81" t="s">
        <v>261</v>
      </c>
      <c r="B1047" s="80" t="s">
        <v>1654</v>
      </c>
      <c r="C1047" s="87" t="s">
        <v>771</v>
      </c>
    </row>
    <row r="1048" spans="1:3" x14ac:dyDescent="0.25">
      <c r="A1048" s="81" t="s">
        <v>246</v>
      </c>
      <c r="B1048" s="80" t="s">
        <v>1748</v>
      </c>
      <c r="C1048" s="87" t="s">
        <v>750</v>
      </c>
    </row>
    <row r="1049" spans="1:3" x14ac:dyDescent="0.25">
      <c r="A1049" s="81" t="s">
        <v>246</v>
      </c>
      <c r="B1049" s="80" t="s">
        <v>1727</v>
      </c>
      <c r="C1049" s="87" t="s">
        <v>750</v>
      </c>
    </row>
    <row r="1050" spans="1:3" x14ac:dyDescent="0.25">
      <c r="A1050" s="81" t="s">
        <v>246</v>
      </c>
      <c r="B1050" s="80" t="s">
        <v>1731</v>
      </c>
      <c r="C1050" s="87" t="s">
        <v>750</v>
      </c>
    </row>
    <row r="1051" spans="1:3" x14ac:dyDescent="0.25">
      <c r="A1051" s="81" t="s">
        <v>246</v>
      </c>
      <c r="B1051" s="80" t="s">
        <v>1754</v>
      </c>
      <c r="C1051" s="87" t="s">
        <v>750</v>
      </c>
    </row>
    <row r="1052" spans="1:3" x14ac:dyDescent="0.25">
      <c r="A1052" s="81" t="s">
        <v>246</v>
      </c>
      <c r="B1052" s="80" t="s">
        <v>1641</v>
      </c>
      <c r="C1052" s="87" t="s">
        <v>750</v>
      </c>
    </row>
    <row r="1053" spans="1:3" x14ac:dyDescent="0.25">
      <c r="A1053" s="81" t="s">
        <v>246</v>
      </c>
      <c r="B1053" s="80" t="s">
        <v>1726</v>
      </c>
      <c r="C1053" s="87" t="s">
        <v>750</v>
      </c>
    </row>
    <row r="1054" spans="1:3" x14ac:dyDescent="0.25">
      <c r="A1054" s="81" t="s">
        <v>246</v>
      </c>
      <c r="B1054" s="80" t="s">
        <v>1746</v>
      </c>
      <c r="C1054" s="87" t="s">
        <v>750</v>
      </c>
    </row>
    <row r="1055" spans="1:3" x14ac:dyDescent="0.25">
      <c r="A1055" s="81" t="s">
        <v>246</v>
      </c>
      <c r="B1055" s="80" t="s">
        <v>304</v>
      </c>
      <c r="C1055" s="87" t="s">
        <v>750</v>
      </c>
    </row>
    <row r="1056" spans="1:3" x14ac:dyDescent="0.25">
      <c r="A1056" s="81" t="s">
        <v>246</v>
      </c>
      <c r="B1056" s="80" t="s">
        <v>1730</v>
      </c>
      <c r="C1056" s="87" t="s">
        <v>750</v>
      </c>
    </row>
    <row r="1057" spans="1:3" x14ac:dyDescent="0.25">
      <c r="A1057" s="81" t="s">
        <v>246</v>
      </c>
      <c r="B1057" s="80" t="s">
        <v>1744</v>
      </c>
      <c r="C1057" s="87" t="s">
        <v>750</v>
      </c>
    </row>
    <row r="1058" spans="1:3" x14ac:dyDescent="0.25">
      <c r="A1058" s="81" t="s">
        <v>246</v>
      </c>
      <c r="B1058" s="80" t="s">
        <v>1736</v>
      </c>
      <c r="C1058" s="87" t="s">
        <v>750</v>
      </c>
    </row>
    <row r="1059" spans="1:3" x14ac:dyDescent="0.25">
      <c r="A1059" s="81" t="s">
        <v>246</v>
      </c>
      <c r="B1059" s="80" t="s">
        <v>1729</v>
      </c>
      <c r="C1059" s="87" t="s">
        <v>750</v>
      </c>
    </row>
    <row r="1060" spans="1:3" x14ac:dyDescent="0.25">
      <c r="A1060" s="81" t="s">
        <v>246</v>
      </c>
      <c r="B1060" s="80" t="s">
        <v>1725</v>
      </c>
      <c r="C1060" s="87" t="s">
        <v>750</v>
      </c>
    </row>
    <row r="1061" spans="1:3" x14ac:dyDescent="0.25">
      <c r="A1061" s="81" t="s">
        <v>246</v>
      </c>
      <c r="B1061" s="80" t="s">
        <v>302</v>
      </c>
      <c r="C1061" s="87" t="s">
        <v>750</v>
      </c>
    </row>
    <row r="1062" spans="1:3" x14ac:dyDescent="0.25">
      <c r="A1062" s="81" t="s">
        <v>275</v>
      </c>
      <c r="B1062" s="80" t="s">
        <v>1705</v>
      </c>
      <c r="C1062" s="87" t="s">
        <v>805</v>
      </c>
    </row>
    <row r="1063" spans="1:3" x14ac:dyDescent="0.25">
      <c r="A1063" s="81" t="s">
        <v>275</v>
      </c>
      <c r="B1063" s="80" t="s">
        <v>1738</v>
      </c>
      <c r="C1063" s="87" t="s">
        <v>805</v>
      </c>
    </row>
    <row r="1064" spans="1:3" x14ac:dyDescent="0.25">
      <c r="A1064" s="81" t="s">
        <v>275</v>
      </c>
      <c r="B1064" s="80" t="s">
        <v>1802</v>
      </c>
      <c r="C1064" s="87" t="s">
        <v>805</v>
      </c>
    </row>
    <row r="1065" spans="1:3" x14ac:dyDescent="0.25">
      <c r="A1065" s="81" t="s">
        <v>275</v>
      </c>
      <c r="B1065" s="80" t="s">
        <v>1737</v>
      </c>
      <c r="C1065" s="87" t="s">
        <v>805</v>
      </c>
    </row>
    <row r="1066" spans="1:3" x14ac:dyDescent="0.25">
      <c r="A1066" s="81" t="s">
        <v>275</v>
      </c>
      <c r="B1066" s="80" t="s">
        <v>275</v>
      </c>
      <c r="C1066" s="87" t="s">
        <v>805</v>
      </c>
    </row>
    <row r="1067" spans="1:3" x14ac:dyDescent="0.25">
      <c r="A1067" s="81" t="s">
        <v>275</v>
      </c>
      <c r="B1067" s="80" t="s">
        <v>1650</v>
      </c>
      <c r="C1067" s="87" t="s">
        <v>805</v>
      </c>
    </row>
    <row r="1068" spans="1:3" x14ac:dyDescent="0.25">
      <c r="A1068" s="81" t="s">
        <v>275</v>
      </c>
      <c r="B1068" s="80" t="s">
        <v>485</v>
      </c>
      <c r="C1068" s="87" t="s">
        <v>805</v>
      </c>
    </row>
    <row r="1069" spans="1:3" x14ac:dyDescent="0.25">
      <c r="A1069" s="81" t="s">
        <v>275</v>
      </c>
      <c r="B1069" s="80" t="s">
        <v>249</v>
      </c>
      <c r="C1069" s="87" t="s">
        <v>805</v>
      </c>
    </row>
    <row r="1070" spans="1:3" x14ac:dyDescent="0.25">
      <c r="A1070" s="81" t="s">
        <v>278</v>
      </c>
      <c r="B1070" s="80" t="s">
        <v>1873</v>
      </c>
      <c r="C1070" s="87" t="s">
        <v>816</v>
      </c>
    </row>
    <row r="1071" spans="1:3" x14ac:dyDescent="0.25">
      <c r="A1071" s="81" t="s">
        <v>278</v>
      </c>
      <c r="B1071" s="80" t="s">
        <v>2136</v>
      </c>
      <c r="C1071" s="87" t="s">
        <v>816</v>
      </c>
    </row>
    <row r="1072" spans="1:3" x14ac:dyDescent="0.25">
      <c r="A1072" s="81" t="s">
        <v>278</v>
      </c>
      <c r="B1072" s="80" t="s">
        <v>2137</v>
      </c>
      <c r="C1072" s="87" t="s">
        <v>816</v>
      </c>
    </row>
    <row r="1073" spans="1:3" x14ac:dyDescent="0.25">
      <c r="A1073" s="81" t="s">
        <v>278</v>
      </c>
      <c r="B1073" s="80" t="s">
        <v>2138</v>
      </c>
      <c r="C1073" s="87" t="s">
        <v>816</v>
      </c>
    </row>
    <row r="1074" spans="1:3" x14ac:dyDescent="0.25">
      <c r="A1074" s="81" t="s">
        <v>278</v>
      </c>
      <c r="B1074" s="80" t="s">
        <v>1695</v>
      </c>
      <c r="C1074" s="87" t="s">
        <v>816</v>
      </c>
    </row>
    <row r="1075" spans="1:3" x14ac:dyDescent="0.25">
      <c r="A1075" s="81" t="s">
        <v>278</v>
      </c>
      <c r="B1075" s="80" t="s">
        <v>1641</v>
      </c>
      <c r="C1075" s="87" t="s">
        <v>816</v>
      </c>
    </row>
    <row r="1076" spans="1:3" x14ac:dyDescent="0.25">
      <c r="A1076" s="81" t="s">
        <v>278</v>
      </c>
      <c r="B1076" s="80" t="s">
        <v>1646</v>
      </c>
      <c r="C1076" s="87" t="s">
        <v>816</v>
      </c>
    </row>
    <row r="1077" spans="1:3" x14ac:dyDescent="0.25">
      <c r="A1077" s="81" t="s">
        <v>278</v>
      </c>
      <c r="B1077" s="80" t="s">
        <v>2139</v>
      </c>
      <c r="C1077" s="87" t="s">
        <v>816</v>
      </c>
    </row>
    <row r="1078" spans="1:3" x14ac:dyDescent="0.25">
      <c r="A1078" s="81" t="s">
        <v>278</v>
      </c>
      <c r="B1078" s="80" t="s">
        <v>1886</v>
      </c>
      <c r="C1078" s="87" t="s">
        <v>816</v>
      </c>
    </row>
    <row r="1079" spans="1:3" x14ac:dyDescent="0.25">
      <c r="A1079" s="81" t="s">
        <v>278</v>
      </c>
      <c r="B1079" s="80" t="s">
        <v>1792</v>
      </c>
      <c r="C1079" s="87" t="s">
        <v>816</v>
      </c>
    </row>
    <row r="1080" spans="1:3" x14ac:dyDescent="0.25">
      <c r="A1080" s="81" t="s">
        <v>278</v>
      </c>
      <c r="B1080" s="80" t="s">
        <v>268</v>
      </c>
      <c r="C1080" s="87" t="s">
        <v>816</v>
      </c>
    </row>
    <row r="1081" spans="1:3" x14ac:dyDescent="0.25">
      <c r="A1081" s="81" t="s">
        <v>278</v>
      </c>
      <c r="B1081" s="80" t="s">
        <v>2140</v>
      </c>
      <c r="C1081" s="87" t="s">
        <v>816</v>
      </c>
    </row>
    <row r="1082" spans="1:3" x14ac:dyDescent="0.25">
      <c r="A1082" s="81" t="s">
        <v>278</v>
      </c>
      <c r="B1082" s="80" t="s">
        <v>2141</v>
      </c>
      <c r="C1082" s="87" t="s">
        <v>816</v>
      </c>
    </row>
    <row r="1083" spans="1:3" x14ac:dyDescent="0.25">
      <c r="A1083" s="81" t="s">
        <v>278</v>
      </c>
      <c r="B1083" s="80" t="s">
        <v>2142</v>
      </c>
      <c r="C1083" s="87" t="s">
        <v>816</v>
      </c>
    </row>
    <row r="1084" spans="1:3" x14ac:dyDescent="0.25">
      <c r="A1084" s="81" t="s">
        <v>278</v>
      </c>
      <c r="B1084" s="80" t="s">
        <v>1659</v>
      </c>
      <c r="C1084" s="87" t="s">
        <v>816</v>
      </c>
    </row>
    <row r="1085" spans="1:3" x14ac:dyDescent="0.25">
      <c r="A1085" s="81" t="s">
        <v>278</v>
      </c>
      <c r="B1085" s="80" t="s">
        <v>1752</v>
      </c>
      <c r="C1085" s="87" t="s">
        <v>816</v>
      </c>
    </row>
    <row r="1086" spans="1:3" x14ac:dyDescent="0.25">
      <c r="A1086" s="81" t="s">
        <v>278</v>
      </c>
      <c r="B1086" s="80" t="s">
        <v>2143</v>
      </c>
      <c r="C1086" s="87" t="s">
        <v>816</v>
      </c>
    </row>
    <row r="1087" spans="1:3" x14ac:dyDescent="0.25">
      <c r="A1087" s="81" t="s">
        <v>278</v>
      </c>
      <c r="B1087" s="80" t="s">
        <v>2144</v>
      </c>
      <c r="C1087" s="87" t="s">
        <v>816</v>
      </c>
    </row>
    <row r="1088" spans="1:3" x14ac:dyDescent="0.25">
      <c r="A1088" s="81" t="s">
        <v>278</v>
      </c>
      <c r="B1088" s="80" t="s">
        <v>1642</v>
      </c>
      <c r="C1088" s="87" t="s">
        <v>816</v>
      </c>
    </row>
    <row r="1089" spans="1:3" x14ac:dyDescent="0.25">
      <c r="A1089" s="81" t="s">
        <v>278</v>
      </c>
      <c r="B1089" s="80" t="s">
        <v>494</v>
      </c>
      <c r="C1089" s="87" t="s">
        <v>816</v>
      </c>
    </row>
    <row r="1090" spans="1:3" x14ac:dyDescent="0.25">
      <c r="A1090" s="81" t="s">
        <v>268</v>
      </c>
      <c r="B1090" s="80">
        <v>15</v>
      </c>
      <c r="C1090" s="87" t="s">
        <v>862</v>
      </c>
    </row>
    <row r="1091" spans="1:3" x14ac:dyDescent="0.25">
      <c r="A1091" s="81" t="s">
        <v>268</v>
      </c>
      <c r="B1091" s="80" t="s">
        <v>1671</v>
      </c>
      <c r="C1091" s="87" t="s">
        <v>862</v>
      </c>
    </row>
    <row r="1092" spans="1:3" x14ac:dyDescent="0.25">
      <c r="A1092" s="81" t="s">
        <v>268</v>
      </c>
      <c r="B1092" s="80" t="s">
        <v>2145</v>
      </c>
      <c r="C1092" s="87" t="s">
        <v>862</v>
      </c>
    </row>
    <row r="1093" spans="1:3" x14ac:dyDescent="0.25">
      <c r="A1093" s="81" t="s">
        <v>268</v>
      </c>
      <c r="B1093" s="80" t="s">
        <v>1640</v>
      </c>
      <c r="C1093" s="87" t="s">
        <v>862</v>
      </c>
    </row>
    <row r="1094" spans="1:3" x14ac:dyDescent="0.25">
      <c r="A1094" s="81" t="s">
        <v>268</v>
      </c>
      <c r="B1094" s="80" t="s">
        <v>1787</v>
      </c>
      <c r="C1094" s="87" t="s">
        <v>862</v>
      </c>
    </row>
    <row r="1095" spans="1:3" x14ac:dyDescent="0.25">
      <c r="A1095" s="81" t="s">
        <v>268</v>
      </c>
      <c r="B1095" s="80" t="s">
        <v>2146</v>
      </c>
      <c r="C1095" s="87" t="s">
        <v>862</v>
      </c>
    </row>
    <row r="1096" spans="1:3" x14ac:dyDescent="0.25">
      <c r="A1096" s="81" t="s">
        <v>268</v>
      </c>
      <c r="B1096" s="80" t="s">
        <v>1860</v>
      </c>
      <c r="C1096" s="87" t="s">
        <v>862</v>
      </c>
    </row>
    <row r="1097" spans="1:3" x14ac:dyDescent="0.25">
      <c r="A1097" s="81" t="s">
        <v>268</v>
      </c>
      <c r="B1097" s="80" t="s">
        <v>2147</v>
      </c>
      <c r="C1097" s="87" t="s">
        <v>862</v>
      </c>
    </row>
    <row r="1098" spans="1:3" x14ac:dyDescent="0.25">
      <c r="A1098" s="81" t="s">
        <v>268</v>
      </c>
      <c r="B1098" s="80" t="s">
        <v>2148</v>
      </c>
      <c r="C1098" s="87" t="s">
        <v>862</v>
      </c>
    </row>
    <row r="1099" spans="1:3" x14ac:dyDescent="0.25">
      <c r="A1099" s="81" t="s">
        <v>268</v>
      </c>
      <c r="B1099" s="80" t="s">
        <v>1757</v>
      </c>
      <c r="C1099" s="87" t="s">
        <v>862</v>
      </c>
    </row>
    <row r="1100" spans="1:3" x14ac:dyDescent="0.25">
      <c r="A1100" s="81" t="s">
        <v>268</v>
      </c>
      <c r="B1100" s="80" t="s">
        <v>1732</v>
      </c>
      <c r="C1100" s="87" t="s">
        <v>862</v>
      </c>
    </row>
    <row r="1101" spans="1:3" x14ac:dyDescent="0.25">
      <c r="A1101" s="81" t="s">
        <v>268</v>
      </c>
      <c r="B1101" s="80" t="s">
        <v>1753</v>
      </c>
      <c r="C1101" s="87" t="s">
        <v>862</v>
      </c>
    </row>
    <row r="1102" spans="1:3" x14ac:dyDescent="0.25">
      <c r="A1102" s="81" t="s">
        <v>268</v>
      </c>
      <c r="B1102" s="80" t="s">
        <v>1743</v>
      </c>
      <c r="C1102" s="87" t="s">
        <v>862</v>
      </c>
    </row>
    <row r="1103" spans="1:3" x14ac:dyDescent="0.25">
      <c r="A1103" s="81" t="s">
        <v>268</v>
      </c>
      <c r="B1103" s="80" t="s">
        <v>1728</v>
      </c>
      <c r="C1103" s="87" t="s">
        <v>862</v>
      </c>
    </row>
    <row r="1104" spans="1:3" x14ac:dyDescent="0.25">
      <c r="A1104" s="81" t="s">
        <v>268</v>
      </c>
      <c r="B1104" s="80" t="s">
        <v>1641</v>
      </c>
      <c r="C1104" s="87" t="s">
        <v>862</v>
      </c>
    </row>
    <row r="1105" spans="1:3" x14ac:dyDescent="0.25">
      <c r="A1105" s="81" t="s">
        <v>268</v>
      </c>
      <c r="B1105" s="80" t="s">
        <v>1646</v>
      </c>
      <c r="C1105" s="87" t="s">
        <v>862</v>
      </c>
    </row>
    <row r="1106" spans="1:3" x14ac:dyDescent="0.25">
      <c r="A1106" s="81" t="s">
        <v>268</v>
      </c>
      <c r="B1106" s="80" t="s">
        <v>1649</v>
      </c>
      <c r="C1106" s="87" t="s">
        <v>862</v>
      </c>
    </row>
    <row r="1107" spans="1:3" x14ac:dyDescent="0.25">
      <c r="A1107" s="81" t="s">
        <v>268</v>
      </c>
      <c r="B1107" s="80" t="s">
        <v>1663</v>
      </c>
      <c r="C1107" s="87" t="s">
        <v>862</v>
      </c>
    </row>
    <row r="1108" spans="1:3" x14ac:dyDescent="0.25">
      <c r="A1108" s="81" t="s">
        <v>268</v>
      </c>
      <c r="B1108" s="80" t="s">
        <v>268</v>
      </c>
      <c r="C1108" s="87" t="s">
        <v>862</v>
      </c>
    </row>
    <row r="1109" spans="1:3" x14ac:dyDescent="0.25">
      <c r="A1109" s="81" t="s">
        <v>261</v>
      </c>
      <c r="B1109" s="80" t="s">
        <v>1812</v>
      </c>
      <c r="C1109" s="87" t="s">
        <v>770</v>
      </c>
    </row>
    <row r="1110" spans="1:3" x14ac:dyDescent="0.25">
      <c r="A1110" s="81" t="s">
        <v>261</v>
      </c>
      <c r="B1110" s="80" t="s">
        <v>268</v>
      </c>
      <c r="C1110" s="87" t="s">
        <v>770</v>
      </c>
    </row>
    <row r="1111" spans="1:3" x14ac:dyDescent="0.25">
      <c r="A1111" s="81" t="s">
        <v>261</v>
      </c>
      <c r="B1111" s="80" t="s">
        <v>2149</v>
      </c>
      <c r="C1111" s="87" t="s">
        <v>770</v>
      </c>
    </row>
    <row r="1112" spans="1:3" x14ac:dyDescent="0.25">
      <c r="A1112" s="81" t="s">
        <v>261</v>
      </c>
      <c r="B1112" s="80" t="s">
        <v>2150</v>
      </c>
      <c r="C1112" s="87" t="s">
        <v>770</v>
      </c>
    </row>
    <row r="1113" spans="1:3" x14ac:dyDescent="0.25">
      <c r="A1113" s="81" t="s">
        <v>261</v>
      </c>
      <c r="B1113" s="80" t="s">
        <v>478</v>
      </c>
      <c r="C1113" s="87" t="s">
        <v>770</v>
      </c>
    </row>
    <row r="1114" spans="1:3" x14ac:dyDescent="0.25">
      <c r="A1114" s="81" t="s">
        <v>261</v>
      </c>
      <c r="B1114" s="80" t="s">
        <v>1935</v>
      </c>
      <c r="C1114" s="87" t="s">
        <v>770</v>
      </c>
    </row>
    <row r="1115" spans="1:3" x14ac:dyDescent="0.25">
      <c r="A1115" s="81" t="s">
        <v>261</v>
      </c>
      <c r="B1115" s="80" t="s">
        <v>1835</v>
      </c>
      <c r="C1115" s="87" t="s">
        <v>770</v>
      </c>
    </row>
    <row r="1116" spans="1:3" x14ac:dyDescent="0.25">
      <c r="A1116" s="81" t="s">
        <v>261</v>
      </c>
      <c r="B1116" s="80" t="s">
        <v>2151</v>
      </c>
      <c r="C1116" s="87" t="s">
        <v>770</v>
      </c>
    </row>
    <row r="1117" spans="1:3" x14ac:dyDescent="0.25">
      <c r="A1117" s="81" t="s">
        <v>261</v>
      </c>
      <c r="B1117" s="80" t="s">
        <v>2152</v>
      </c>
      <c r="C1117" s="87" t="s">
        <v>770</v>
      </c>
    </row>
    <row r="1118" spans="1:3" x14ac:dyDescent="0.25">
      <c r="A1118" s="81" t="s">
        <v>261</v>
      </c>
      <c r="B1118" s="80" t="s">
        <v>1657</v>
      </c>
      <c r="C1118" s="87" t="s">
        <v>770</v>
      </c>
    </row>
    <row r="1119" spans="1:3" x14ac:dyDescent="0.25">
      <c r="A1119" s="81" t="s">
        <v>261</v>
      </c>
      <c r="B1119" s="80" t="s">
        <v>1926</v>
      </c>
      <c r="C1119" s="87" t="s">
        <v>770</v>
      </c>
    </row>
    <row r="1120" spans="1:3" x14ac:dyDescent="0.25">
      <c r="A1120" s="81" t="s">
        <v>261</v>
      </c>
      <c r="B1120" s="80" t="s">
        <v>2153</v>
      </c>
      <c r="C1120" s="87" t="s">
        <v>770</v>
      </c>
    </row>
    <row r="1121" spans="1:3" x14ac:dyDescent="0.25">
      <c r="A1121" s="81" t="s">
        <v>261</v>
      </c>
      <c r="B1121" s="80" t="s">
        <v>1919</v>
      </c>
      <c r="C1121" s="87" t="s">
        <v>770</v>
      </c>
    </row>
    <row r="1122" spans="1:3" x14ac:dyDescent="0.25">
      <c r="A1122" s="81" t="s">
        <v>261</v>
      </c>
      <c r="B1122" s="80" t="s">
        <v>1911</v>
      </c>
      <c r="C1122" s="87" t="s">
        <v>770</v>
      </c>
    </row>
    <row r="1123" spans="1:3" x14ac:dyDescent="0.25">
      <c r="A1123" s="81" t="s">
        <v>261</v>
      </c>
      <c r="B1123" s="80" t="s">
        <v>475</v>
      </c>
      <c r="C1123" s="87" t="s">
        <v>770</v>
      </c>
    </row>
    <row r="1124" spans="1:3" x14ac:dyDescent="0.25">
      <c r="A1124" s="81" t="s">
        <v>261</v>
      </c>
      <c r="B1124" s="80" t="s">
        <v>1689</v>
      </c>
      <c r="C1124" s="87" t="s">
        <v>770</v>
      </c>
    </row>
    <row r="1125" spans="1:3" x14ac:dyDescent="0.25">
      <c r="A1125" s="81" t="s">
        <v>261</v>
      </c>
      <c r="B1125" s="80" t="s">
        <v>1923</v>
      </c>
      <c r="C1125" s="87" t="s">
        <v>770</v>
      </c>
    </row>
    <row r="1126" spans="1:3" x14ac:dyDescent="0.25">
      <c r="A1126" s="81" t="s">
        <v>261</v>
      </c>
      <c r="B1126" s="80" t="s">
        <v>1649</v>
      </c>
      <c r="C1126" s="87" t="s">
        <v>770</v>
      </c>
    </row>
    <row r="1127" spans="1:3" x14ac:dyDescent="0.25">
      <c r="A1127" s="81" t="s">
        <v>261</v>
      </c>
      <c r="B1127" s="80" t="s">
        <v>1651</v>
      </c>
      <c r="C1127" s="87" t="s">
        <v>770</v>
      </c>
    </row>
    <row r="1128" spans="1:3" x14ac:dyDescent="0.25">
      <c r="A1128" s="81" t="s">
        <v>261</v>
      </c>
      <c r="B1128" s="80" t="s">
        <v>261</v>
      </c>
      <c r="C1128" s="87" t="s">
        <v>770</v>
      </c>
    </row>
    <row r="1129" spans="1:3" x14ac:dyDescent="0.25">
      <c r="A1129" s="81" t="s">
        <v>261</v>
      </c>
      <c r="B1129" s="80" t="s">
        <v>1647</v>
      </c>
      <c r="C1129" s="87" t="s">
        <v>770</v>
      </c>
    </row>
    <row r="1130" spans="1:3" x14ac:dyDescent="0.25">
      <c r="A1130" s="81" t="s">
        <v>293</v>
      </c>
      <c r="B1130" s="80" t="s">
        <v>1682</v>
      </c>
      <c r="C1130" s="87" t="s">
        <v>844</v>
      </c>
    </row>
    <row r="1131" spans="1:3" x14ac:dyDescent="0.25">
      <c r="A1131" s="81" t="s">
        <v>293</v>
      </c>
      <c r="B1131" s="80" t="s">
        <v>2154</v>
      </c>
      <c r="C1131" s="87" t="s">
        <v>844</v>
      </c>
    </row>
    <row r="1132" spans="1:3" x14ac:dyDescent="0.25">
      <c r="A1132" s="81" t="s">
        <v>293</v>
      </c>
      <c r="B1132" s="80" t="s">
        <v>2155</v>
      </c>
      <c r="C1132" s="87" t="s">
        <v>844</v>
      </c>
    </row>
    <row r="1133" spans="1:3" x14ac:dyDescent="0.25">
      <c r="A1133" s="81" t="s">
        <v>293</v>
      </c>
      <c r="B1133" s="80" t="s">
        <v>1668</v>
      </c>
      <c r="C1133" s="87" t="s">
        <v>844</v>
      </c>
    </row>
    <row r="1134" spans="1:3" x14ac:dyDescent="0.25">
      <c r="A1134" s="81" t="s">
        <v>293</v>
      </c>
      <c r="B1134" s="80" t="s">
        <v>2156</v>
      </c>
      <c r="C1134" s="87" t="s">
        <v>844</v>
      </c>
    </row>
    <row r="1135" spans="1:3" x14ac:dyDescent="0.25">
      <c r="A1135" s="81" t="s">
        <v>293</v>
      </c>
      <c r="B1135" s="80" t="s">
        <v>2157</v>
      </c>
      <c r="C1135" s="87" t="s">
        <v>844</v>
      </c>
    </row>
    <row r="1136" spans="1:3" x14ac:dyDescent="0.25">
      <c r="A1136" s="81" t="s">
        <v>293</v>
      </c>
      <c r="B1136" s="80" t="s">
        <v>347</v>
      </c>
      <c r="C1136" s="87" t="s">
        <v>844</v>
      </c>
    </row>
    <row r="1137" spans="1:3" x14ac:dyDescent="0.25">
      <c r="A1137" s="81" t="s">
        <v>293</v>
      </c>
      <c r="B1137" s="80" t="s">
        <v>348</v>
      </c>
      <c r="C1137" s="87" t="s">
        <v>844</v>
      </c>
    </row>
    <row r="1138" spans="1:3" x14ac:dyDescent="0.25">
      <c r="A1138" s="81" t="s">
        <v>293</v>
      </c>
      <c r="B1138" s="80" t="s">
        <v>2158</v>
      </c>
      <c r="C1138" s="87" t="s">
        <v>844</v>
      </c>
    </row>
    <row r="1139" spans="1:3" x14ac:dyDescent="0.25">
      <c r="A1139" s="81" t="s">
        <v>293</v>
      </c>
      <c r="B1139" s="80" t="s">
        <v>2159</v>
      </c>
      <c r="C1139" s="87" t="s">
        <v>844</v>
      </c>
    </row>
    <row r="1140" spans="1:3" x14ac:dyDescent="0.25">
      <c r="A1140" s="81" t="s">
        <v>293</v>
      </c>
      <c r="B1140" s="80" t="s">
        <v>349</v>
      </c>
      <c r="C1140" s="87" t="s">
        <v>844</v>
      </c>
    </row>
    <row r="1141" spans="1:3" x14ac:dyDescent="0.25">
      <c r="A1141" s="81" t="s">
        <v>293</v>
      </c>
      <c r="B1141" s="80" t="s">
        <v>295</v>
      </c>
      <c r="C1141" s="87" t="s">
        <v>844</v>
      </c>
    </row>
    <row r="1142" spans="1:3" x14ac:dyDescent="0.25">
      <c r="A1142" s="81" t="s">
        <v>293</v>
      </c>
      <c r="B1142" s="80" t="s">
        <v>243</v>
      </c>
      <c r="C1142" s="87" t="s">
        <v>844</v>
      </c>
    </row>
    <row r="1143" spans="1:3" x14ac:dyDescent="0.25">
      <c r="A1143" s="81" t="s">
        <v>293</v>
      </c>
      <c r="B1143" s="80" t="s">
        <v>1695</v>
      </c>
      <c r="C1143" s="87" t="s">
        <v>844</v>
      </c>
    </row>
    <row r="1144" spans="1:3" x14ac:dyDescent="0.25">
      <c r="A1144" s="81" t="s">
        <v>293</v>
      </c>
      <c r="B1144" s="80" t="s">
        <v>1641</v>
      </c>
      <c r="C1144" s="87" t="s">
        <v>844</v>
      </c>
    </row>
    <row r="1145" spans="1:3" x14ac:dyDescent="0.25">
      <c r="A1145" s="81" t="s">
        <v>293</v>
      </c>
      <c r="B1145" s="80" t="s">
        <v>350</v>
      </c>
      <c r="C1145" s="87" t="s">
        <v>844</v>
      </c>
    </row>
    <row r="1146" spans="1:3" x14ac:dyDescent="0.25">
      <c r="A1146" s="81" t="s">
        <v>293</v>
      </c>
      <c r="B1146" s="80">
        <v>2023</v>
      </c>
      <c r="C1146" s="87" t="s">
        <v>844</v>
      </c>
    </row>
    <row r="1147" spans="1:3" x14ac:dyDescent="0.25">
      <c r="A1147" s="81" t="s">
        <v>293</v>
      </c>
      <c r="B1147" s="80" t="s">
        <v>1884</v>
      </c>
      <c r="C1147" s="87" t="s">
        <v>844</v>
      </c>
    </row>
    <row r="1148" spans="1:3" x14ac:dyDescent="0.25">
      <c r="A1148" s="81" t="s">
        <v>293</v>
      </c>
      <c r="B1148" s="80" t="s">
        <v>268</v>
      </c>
      <c r="C1148" s="87" t="s">
        <v>844</v>
      </c>
    </row>
    <row r="1149" spans="1:3" x14ac:dyDescent="0.25">
      <c r="A1149" s="81" t="s">
        <v>272</v>
      </c>
      <c r="B1149" s="80" t="s">
        <v>1733</v>
      </c>
      <c r="C1149" s="87" t="s">
        <v>795</v>
      </c>
    </row>
    <row r="1150" spans="1:3" x14ac:dyDescent="0.25">
      <c r="A1150" s="81" t="s">
        <v>272</v>
      </c>
      <c r="B1150" s="80" t="s">
        <v>1988</v>
      </c>
      <c r="C1150" s="87" t="s">
        <v>795</v>
      </c>
    </row>
    <row r="1151" spans="1:3" x14ac:dyDescent="0.25">
      <c r="A1151" s="81" t="s">
        <v>272</v>
      </c>
      <c r="B1151" s="80" t="s">
        <v>1989</v>
      </c>
      <c r="C1151" s="87" t="s">
        <v>795</v>
      </c>
    </row>
    <row r="1152" spans="1:3" x14ac:dyDescent="0.25">
      <c r="A1152" s="81" t="s">
        <v>272</v>
      </c>
      <c r="B1152" s="80" t="s">
        <v>1702</v>
      </c>
      <c r="C1152" s="87" t="s">
        <v>795</v>
      </c>
    </row>
    <row r="1153" spans="1:3" x14ac:dyDescent="0.25">
      <c r="A1153" s="81" t="s">
        <v>272</v>
      </c>
      <c r="B1153" s="80" t="s">
        <v>275</v>
      </c>
      <c r="C1153" s="87" t="s">
        <v>795</v>
      </c>
    </row>
    <row r="1154" spans="1:3" x14ac:dyDescent="0.25">
      <c r="A1154" s="81" t="s">
        <v>272</v>
      </c>
      <c r="B1154" s="80" t="s">
        <v>1650</v>
      </c>
      <c r="C1154" s="87" t="s">
        <v>795</v>
      </c>
    </row>
    <row r="1155" spans="1:3" x14ac:dyDescent="0.25">
      <c r="A1155" s="81" t="s">
        <v>272</v>
      </c>
      <c r="B1155" s="80" t="s">
        <v>485</v>
      </c>
      <c r="C1155" s="87" t="s">
        <v>795</v>
      </c>
    </row>
    <row r="1156" spans="1:3" x14ac:dyDescent="0.25">
      <c r="A1156" s="81" t="s">
        <v>272</v>
      </c>
      <c r="B1156" s="80" t="s">
        <v>1656</v>
      </c>
      <c r="C1156" s="87" t="s">
        <v>795</v>
      </c>
    </row>
    <row r="1157" spans="1:3" x14ac:dyDescent="0.25">
      <c r="A1157" s="81" t="s">
        <v>272</v>
      </c>
      <c r="B1157" s="80" t="s">
        <v>249</v>
      </c>
      <c r="C1157" s="87" t="s">
        <v>795</v>
      </c>
    </row>
    <row r="1158" spans="1:3" x14ac:dyDescent="0.25">
      <c r="A1158" s="81" t="s">
        <v>259</v>
      </c>
      <c r="B1158" s="80" t="s">
        <v>476</v>
      </c>
      <c r="C1158" s="87" t="s">
        <v>767</v>
      </c>
    </row>
    <row r="1159" spans="1:3" x14ac:dyDescent="0.25">
      <c r="A1159" s="81" t="s">
        <v>259</v>
      </c>
      <c r="B1159" s="80" t="s">
        <v>261</v>
      </c>
      <c r="C1159" s="87" t="s">
        <v>767</v>
      </c>
    </row>
    <row r="1160" spans="1:3" x14ac:dyDescent="0.25">
      <c r="A1160" s="81" t="s">
        <v>259</v>
      </c>
      <c r="B1160" s="80" t="s">
        <v>268</v>
      </c>
      <c r="C1160" s="87" t="s">
        <v>767</v>
      </c>
    </row>
    <row r="1161" spans="1:3" x14ac:dyDescent="0.25">
      <c r="A1161" s="81" t="s">
        <v>259</v>
      </c>
      <c r="B1161" s="80" t="s">
        <v>320</v>
      </c>
      <c r="C1161" s="87" t="s">
        <v>767</v>
      </c>
    </row>
    <row r="1162" spans="1:3" x14ac:dyDescent="0.25">
      <c r="A1162" s="81" t="s">
        <v>259</v>
      </c>
      <c r="B1162" s="80" t="s">
        <v>1640</v>
      </c>
      <c r="C1162" s="87" t="s">
        <v>767</v>
      </c>
    </row>
    <row r="1163" spans="1:3" x14ac:dyDescent="0.25">
      <c r="A1163" s="81" t="s">
        <v>259</v>
      </c>
      <c r="B1163" s="80" t="s">
        <v>1644</v>
      </c>
      <c r="C1163" s="87" t="s">
        <v>767</v>
      </c>
    </row>
    <row r="1164" spans="1:3" x14ac:dyDescent="0.25">
      <c r="A1164" s="81" t="s">
        <v>259</v>
      </c>
      <c r="B1164" s="80" t="s">
        <v>1661</v>
      </c>
      <c r="C1164" s="87" t="s">
        <v>767</v>
      </c>
    </row>
    <row r="1165" spans="1:3" x14ac:dyDescent="0.25">
      <c r="A1165" s="81" t="s">
        <v>259</v>
      </c>
      <c r="B1165" s="80" t="s">
        <v>1642</v>
      </c>
      <c r="C1165" s="87" t="s">
        <v>767</v>
      </c>
    </row>
    <row r="1166" spans="1:3" x14ac:dyDescent="0.25">
      <c r="A1166" s="81" t="s">
        <v>259</v>
      </c>
      <c r="B1166" s="80" t="s">
        <v>1643</v>
      </c>
      <c r="C1166" s="87" t="s">
        <v>767</v>
      </c>
    </row>
    <row r="1167" spans="1:3" x14ac:dyDescent="0.25">
      <c r="A1167" s="81" t="s">
        <v>259</v>
      </c>
      <c r="B1167" s="80" t="s">
        <v>252</v>
      </c>
      <c r="C1167" s="87" t="s">
        <v>767</v>
      </c>
    </row>
    <row r="1168" spans="1:3" x14ac:dyDescent="0.25">
      <c r="A1168" s="81" t="s">
        <v>252</v>
      </c>
      <c r="B1168" s="80" t="s">
        <v>474</v>
      </c>
      <c r="C1168" s="87" t="s">
        <v>856</v>
      </c>
    </row>
    <row r="1169" spans="1:3" x14ac:dyDescent="0.25">
      <c r="A1169" s="81" t="s">
        <v>252</v>
      </c>
      <c r="B1169" s="80" t="s">
        <v>268</v>
      </c>
      <c r="C1169" s="87" t="s">
        <v>856</v>
      </c>
    </row>
    <row r="1170" spans="1:3" x14ac:dyDescent="0.25">
      <c r="A1170" s="81" t="s">
        <v>252</v>
      </c>
      <c r="B1170" s="80" t="s">
        <v>1652</v>
      </c>
      <c r="C1170" s="87" t="s">
        <v>856</v>
      </c>
    </row>
    <row r="1171" spans="1:3" x14ac:dyDescent="0.25">
      <c r="A1171" s="81" t="s">
        <v>252</v>
      </c>
      <c r="B1171" s="80" t="s">
        <v>1640</v>
      </c>
      <c r="C1171" s="87" t="s">
        <v>856</v>
      </c>
    </row>
    <row r="1172" spans="1:3" x14ac:dyDescent="0.25">
      <c r="A1172" s="81" t="s">
        <v>252</v>
      </c>
      <c r="B1172" s="80" t="s">
        <v>1642</v>
      </c>
      <c r="C1172" s="87" t="s">
        <v>856</v>
      </c>
    </row>
    <row r="1173" spans="1:3" x14ac:dyDescent="0.25">
      <c r="A1173" s="81" t="s">
        <v>252</v>
      </c>
      <c r="B1173" s="80" t="s">
        <v>1643</v>
      </c>
      <c r="C1173" s="87" t="s">
        <v>856</v>
      </c>
    </row>
    <row r="1174" spans="1:3" x14ac:dyDescent="0.25">
      <c r="A1174" s="81" t="s">
        <v>252</v>
      </c>
      <c r="B1174" s="80" t="s">
        <v>476</v>
      </c>
      <c r="C1174" s="87" t="s">
        <v>766</v>
      </c>
    </row>
    <row r="1175" spans="1:3" x14ac:dyDescent="0.25">
      <c r="A1175" s="81" t="s">
        <v>252</v>
      </c>
      <c r="B1175" s="80" t="s">
        <v>261</v>
      </c>
      <c r="C1175" s="87" t="s">
        <v>766</v>
      </c>
    </row>
    <row r="1176" spans="1:3" x14ac:dyDescent="0.25">
      <c r="A1176" s="81" t="s">
        <v>252</v>
      </c>
      <c r="B1176" s="80" t="s">
        <v>268</v>
      </c>
      <c r="C1176" s="87" t="s">
        <v>766</v>
      </c>
    </row>
    <row r="1177" spans="1:3" x14ac:dyDescent="0.25">
      <c r="A1177" s="81" t="s">
        <v>252</v>
      </c>
      <c r="B1177" s="80" t="s">
        <v>320</v>
      </c>
      <c r="C1177" s="87" t="s">
        <v>766</v>
      </c>
    </row>
    <row r="1178" spans="1:3" x14ac:dyDescent="0.25">
      <c r="A1178" s="81" t="s">
        <v>252</v>
      </c>
      <c r="B1178" s="80" t="s">
        <v>1640</v>
      </c>
      <c r="C1178" s="87" t="s">
        <v>766</v>
      </c>
    </row>
    <row r="1179" spans="1:3" x14ac:dyDescent="0.25">
      <c r="A1179" s="81" t="s">
        <v>252</v>
      </c>
      <c r="B1179" s="80" t="s">
        <v>1644</v>
      </c>
      <c r="C1179" s="87" t="s">
        <v>766</v>
      </c>
    </row>
    <row r="1180" spans="1:3" x14ac:dyDescent="0.25">
      <c r="A1180" s="81" t="s">
        <v>252</v>
      </c>
      <c r="B1180" s="80" t="s">
        <v>1661</v>
      </c>
      <c r="C1180" s="87" t="s">
        <v>766</v>
      </c>
    </row>
    <row r="1181" spans="1:3" x14ac:dyDescent="0.25">
      <c r="A1181" s="81" t="s">
        <v>252</v>
      </c>
      <c r="B1181" s="80" t="s">
        <v>1642</v>
      </c>
      <c r="C1181" s="87" t="s">
        <v>766</v>
      </c>
    </row>
    <row r="1182" spans="1:3" x14ac:dyDescent="0.25">
      <c r="A1182" s="81" t="s">
        <v>252</v>
      </c>
      <c r="B1182" s="80" t="s">
        <v>1643</v>
      </c>
      <c r="C1182" s="87" t="s">
        <v>766</v>
      </c>
    </row>
    <row r="1183" spans="1:3" x14ac:dyDescent="0.25">
      <c r="A1183" s="81" t="s">
        <v>268</v>
      </c>
      <c r="B1183" s="80" t="s">
        <v>2160</v>
      </c>
      <c r="C1183" s="87" t="s">
        <v>790</v>
      </c>
    </row>
    <row r="1184" spans="1:3" x14ac:dyDescent="0.25">
      <c r="A1184" s="81" t="s">
        <v>268</v>
      </c>
      <c r="B1184" s="87" t="s">
        <v>1644</v>
      </c>
      <c r="C1184" s="87" t="s">
        <v>790</v>
      </c>
    </row>
    <row r="1185" spans="1:3" x14ac:dyDescent="0.25">
      <c r="A1185" s="81" t="s">
        <v>268</v>
      </c>
      <c r="B1185" s="80" t="s">
        <v>1780</v>
      </c>
      <c r="C1185" s="87" t="s">
        <v>790</v>
      </c>
    </row>
    <row r="1186" spans="1:3" x14ac:dyDescent="0.25">
      <c r="A1186" s="81" t="s">
        <v>268</v>
      </c>
      <c r="B1186" s="80" t="s">
        <v>1773</v>
      </c>
      <c r="C1186" s="87" t="s">
        <v>790</v>
      </c>
    </row>
    <row r="1187" spans="1:3" x14ac:dyDescent="0.25">
      <c r="A1187" s="81" t="s">
        <v>268</v>
      </c>
      <c r="B1187" s="80" t="s">
        <v>1739</v>
      </c>
      <c r="C1187" s="87" t="s">
        <v>790</v>
      </c>
    </row>
    <row r="1188" spans="1:3" x14ac:dyDescent="0.25">
      <c r="A1188" s="81" t="s">
        <v>268</v>
      </c>
      <c r="B1188" s="80" t="s">
        <v>1785</v>
      </c>
      <c r="C1188" s="87" t="s">
        <v>790</v>
      </c>
    </row>
    <row r="1189" spans="1:3" x14ac:dyDescent="0.25">
      <c r="A1189" s="81" t="s">
        <v>268</v>
      </c>
      <c r="B1189" s="80" t="s">
        <v>1686</v>
      </c>
      <c r="C1189" s="87" t="s">
        <v>790</v>
      </c>
    </row>
    <row r="1190" spans="1:3" x14ac:dyDescent="0.25">
      <c r="A1190" s="81" t="s">
        <v>268</v>
      </c>
      <c r="B1190" s="80" t="s">
        <v>1749</v>
      </c>
      <c r="C1190" s="87" t="s">
        <v>790</v>
      </c>
    </row>
    <row r="1191" spans="1:3" x14ac:dyDescent="0.25">
      <c r="A1191" s="81" t="s">
        <v>268</v>
      </c>
      <c r="B1191" s="80" t="s">
        <v>1644</v>
      </c>
      <c r="C1191" s="87" t="s">
        <v>790</v>
      </c>
    </row>
    <row r="1192" spans="1:3" x14ac:dyDescent="0.25">
      <c r="A1192" s="81" t="s">
        <v>268</v>
      </c>
      <c r="B1192" s="80" t="s">
        <v>1807</v>
      </c>
      <c r="C1192" s="87" t="s">
        <v>790</v>
      </c>
    </row>
    <row r="1193" spans="1:3" x14ac:dyDescent="0.25">
      <c r="A1193" s="81" t="s">
        <v>268</v>
      </c>
      <c r="B1193" s="80" t="s">
        <v>1924</v>
      </c>
      <c r="C1193" s="87" t="s">
        <v>790</v>
      </c>
    </row>
    <row r="1194" spans="1:3" x14ac:dyDescent="0.25">
      <c r="A1194" s="81" t="s">
        <v>268</v>
      </c>
      <c r="B1194" s="80" t="s">
        <v>1891</v>
      </c>
      <c r="C1194" s="87" t="s">
        <v>790</v>
      </c>
    </row>
    <row r="1195" spans="1:3" x14ac:dyDescent="0.25">
      <c r="A1195" s="81" t="s">
        <v>268</v>
      </c>
      <c r="B1195" s="80" t="s">
        <v>269</v>
      </c>
      <c r="C1195" s="87" t="s">
        <v>790</v>
      </c>
    </row>
    <row r="1196" spans="1:3" x14ac:dyDescent="0.25">
      <c r="A1196" s="81" t="s">
        <v>252</v>
      </c>
      <c r="B1196" s="80" t="s">
        <v>474</v>
      </c>
      <c r="C1196" s="87" t="s">
        <v>781</v>
      </c>
    </row>
    <row r="1197" spans="1:3" x14ac:dyDescent="0.25">
      <c r="A1197" s="81" t="s">
        <v>252</v>
      </c>
      <c r="B1197" s="80" t="s">
        <v>267</v>
      </c>
      <c r="C1197" s="87" t="s">
        <v>781</v>
      </c>
    </row>
    <row r="1198" spans="1:3" x14ac:dyDescent="0.25">
      <c r="A1198" s="81" t="s">
        <v>252</v>
      </c>
      <c r="B1198" s="80" t="s">
        <v>268</v>
      </c>
      <c r="C1198" s="87" t="s">
        <v>781</v>
      </c>
    </row>
    <row r="1199" spans="1:3" x14ac:dyDescent="0.25">
      <c r="A1199" s="81" t="s">
        <v>252</v>
      </c>
      <c r="B1199" s="80" t="s">
        <v>1652</v>
      </c>
      <c r="C1199" s="87" t="s">
        <v>781</v>
      </c>
    </row>
    <row r="1200" spans="1:3" x14ac:dyDescent="0.25">
      <c r="A1200" s="81" t="s">
        <v>252</v>
      </c>
      <c r="B1200" s="80" t="s">
        <v>2161</v>
      </c>
      <c r="C1200" s="87" t="s">
        <v>781</v>
      </c>
    </row>
    <row r="1201" spans="1:3" x14ac:dyDescent="0.25">
      <c r="A1201" s="81" t="s">
        <v>252</v>
      </c>
      <c r="B1201" s="80" t="s">
        <v>1644</v>
      </c>
      <c r="C1201" s="87" t="s">
        <v>781</v>
      </c>
    </row>
    <row r="1202" spans="1:3" x14ac:dyDescent="0.25">
      <c r="A1202" s="81" t="s">
        <v>252</v>
      </c>
      <c r="B1202" s="80" t="s">
        <v>2162</v>
      </c>
      <c r="C1202" s="87" t="s">
        <v>781</v>
      </c>
    </row>
    <row r="1203" spans="1:3" x14ac:dyDescent="0.25">
      <c r="A1203" s="81" t="s">
        <v>252</v>
      </c>
      <c r="B1203" s="80" t="s">
        <v>1642</v>
      </c>
      <c r="C1203" s="87" t="s">
        <v>781</v>
      </c>
    </row>
    <row r="1204" spans="1:3" x14ac:dyDescent="0.25">
      <c r="A1204" s="81" t="s">
        <v>252</v>
      </c>
      <c r="B1204" s="80" t="s">
        <v>1643</v>
      </c>
      <c r="C1204" s="87" t="s">
        <v>781</v>
      </c>
    </row>
    <row r="1205" spans="1:3" x14ac:dyDescent="0.25">
      <c r="A1205" s="81" t="s">
        <v>302</v>
      </c>
      <c r="B1205" s="80" t="s">
        <v>1665</v>
      </c>
      <c r="C1205" s="87" t="s">
        <v>866</v>
      </c>
    </row>
    <row r="1206" spans="1:3" x14ac:dyDescent="0.25">
      <c r="A1206" s="81" t="s">
        <v>302</v>
      </c>
      <c r="B1206" s="80" t="s">
        <v>1673</v>
      </c>
      <c r="C1206" s="87" t="s">
        <v>866</v>
      </c>
    </row>
    <row r="1207" spans="1:3" x14ac:dyDescent="0.25">
      <c r="A1207" s="81" t="s">
        <v>302</v>
      </c>
      <c r="B1207" s="80" t="s">
        <v>268</v>
      </c>
      <c r="C1207" s="87" t="s">
        <v>866</v>
      </c>
    </row>
    <row r="1208" spans="1:3" x14ac:dyDescent="0.25">
      <c r="A1208" s="81" t="s">
        <v>302</v>
      </c>
      <c r="B1208" s="80" t="s">
        <v>2163</v>
      </c>
      <c r="C1208" s="87" t="s">
        <v>866</v>
      </c>
    </row>
    <row r="1209" spans="1:3" x14ac:dyDescent="0.25">
      <c r="A1209" s="81" t="s">
        <v>302</v>
      </c>
      <c r="B1209" s="80" t="s">
        <v>1644</v>
      </c>
      <c r="C1209" s="87" t="s">
        <v>866</v>
      </c>
    </row>
    <row r="1210" spans="1:3" x14ac:dyDescent="0.25">
      <c r="A1210" s="81" t="s">
        <v>302</v>
      </c>
      <c r="B1210" s="80" t="s">
        <v>2164</v>
      </c>
      <c r="C1210" s="87" t="s">
        <v>866</v>
      </c>
    </row>
    <row r="1211" spans="1:3" x14ac:dyDescent="0.25">
      <c r="A1211" s="81" t="s">
        <v>302</v>
      </c>
      <c r="B1211" s="80" t="s">
        <v>2165</v>
      </c>
      <c r="C1211" s="87" t="s">
        <v>866</v>
      </c>
    </row>
    <row r="1212" spans="1:3" x14ac:dyDescent="0.25">
      <c r="A1212" s="81" t="s">
        <v>302</v>
      </c>
      <c r="B1212" s="80" t="s">
        <v>2166</v>
      </c>
      <c r="C1212" s="87" t="s">
        <v>866</v>
      </c>
    </row>
    <row r="1213" spans="1:3" x14ac:dyDescent="0.25">
      <c r="A1213" s="81" t="s">
        <v>302</v>
      </c>
      <c r="B1213" s="80" t="s">
        <v>2167</v>
      </c>
      <c r="C1213" s="87" t="s">
        <v>866</v>
      </c>
    </row>
    <row r="1214" spans="1:3" x14ac:dyDescent="0.25">
      <c r="A1214" s="81" t="s">
        <v>302</v>
      </c>
      <c r="B1214" s="80" t="s">
        <v>2168</v>
      </c>
      <c r="C1214" s="87" t="s">
        <v>866</v>
      </c>
    </row>
    <row r="1215" spans="1:3" x14ac:dyDescent="0.25">
      <c r="A1215" s="81" t="s">
        <v>302</v>
      </c>
      <c r="B1215" s="80" t="s">
        <v>1893</v>
      </c>
      <c r="C1215" s="87" t="s">
        <v>866</v>
      </c>
    </row>
    <row r="1216" spans="1:3" x14ac:dyDescent="0.25">
      <c r="A1216" s="81" t="s">
        <v>302</v>
      </c>
      <c r="B1216" s="80" t="s">
        <v>2169</v>
      </c>
      <c r="C1216" s="87" t="s">
        <v>866</v>
      </c>
    </row>
    <row r="1217" spans="1:3" x14ac:dyDescent="0.25">
      <c r="A1217" s="81" t="s">
        <v>302</v>
      </c>
      <c r="B1217" s="80" t="s">
        <v>1748</v>
      </c>
      <c r="C1217" s="87" t="s">
        <v>866</v>
      </c>
    </row>
    <row r="1218" spans="1:3" x14ac:dyDescent="0.25">
      <c r="A1218" s="81" t="s">
        <v>302</v>
      </c>
      <c r="B1218" s="80" t="s">
        <v>1727</v>
      </c>
      <c r="C1218" s="87" t="s">
        <v>866</v>
      </c>
    </row>
    <row r="1219" spans="1:3" x14ac:dyDescent="0.25">
      <c r="A1219" s="81" t="s">
        <v>302</v>
      </c>
      <c r="B1219" s="80" t="s">
        <v>1731</v>
      </c>
      <c r="C1219" s="87" t="s">
        <v>866</v>
      </c>
    </row>
    <row r="1220" spans="1:3" x14ac:dyDescent="0.25">
      <c r="A1220" s="81" t="s">
        <v>302</v>
      </c>
      <c r="B1220" s="80" t="s">
        <v>1754</v>
      </c>
      <c r="C1220" s="87" t="s">
        <v>866</v>
      </c>
    </row>
    <row r="1221" spans="1:3" x14ac:dyDescent="0.25">
      <c r="A1221" s="81" t="s">
        <v>302</v>
      </c>
      <c r="B1221" s="80" t="s">
        <v>1641</v>
      </c>
      <c r="C1221" s="87" t="s">
        <v>866</v>
      </c>
    </row>
    <row r="1222" spans="1:3" x14ac:dyDescent="0.25">
      <c r="A1222" s="81" t="s">
        <v>302</v>
      </c>
      <c r="B1222" s="80" t="s">
        <v>1726</v>
      </c>
      <c r="C1222" s="87" t="s">
        <v>866</v>
      </c>
    </row>
    <row r="1223" spans="1:3" x14ac:dyDescent="0.25">
      <c r="A1223" s="81" t="s">
        <v>302</v>
      </c>
      <c r="B1223" s="80" t="s">
        <v>1746</v>
      </c>
      <c r="C1223" s="87" t="s">
        <v>866</v>
      </c>
    </row>
    <row r="1224" spans="1:3" x14ac:dyDescent="0.25">
      <c r="A1224" s="81" t="s">
        <v>302</v>
      </c>
      <c r="B1224" s="80" t="s">
        <v>304</v>
      </c>
      <c r="C1224" s="87" t="s">
        <v>866</v>
      </c>
    </row>
    <row r="1225" spans="1:3" x14ac:dyDescent="0.25">
      <c r="A1225" s="81" t="s">
        <v>302</v>
      </c>
      <c r="B1225" s="80" t="s">
        <v>1730</v>
      </c>
      <c r="C1225" s="87" t="s">
        <v>866</v>
      </c>
    </row>
    <row r="1226" spans="1:3" x14ac:dyDescent="0.25">
      <c r="A1226" s="81" t="s">
        <v>302</v>
      </c>
      <c r="B1226" s="80" t="s">
        <v>1744</v>
      </c>
      <c r="C1226" s="87" t="s">
        <v>866</v>
      </c>
    </row>
    <row r="1227" spans="1:3" x14ac:dyDescent="0.25">
      <c r="A1227" s="81" t="s">
        <v>302</v>
      </c>
      <c r="B1227" s="80" t="s">
        <v>1736</v>
      </c>
      <c r="C1227" s="87" t="s">
        <v>866</v>
      </c>
    </row>
    <row r="1228" spans="1:3" x14ac:dyDescent="0.25">
      <c r="A1228" s="81" t="s">
        <v>302</v>
      </c>
      <c r="B1228" s="80" t="s">
        <v>1729</v>
      </c>
      <c r="C1228" s="87" t="s">
        <v>866</v>
      </c>
    </row>
    <row r="1229" spans="1:3" x14ac:dyDescent="0.25">
      <c r="A1229" s="81" t="s">
        <v>302</v>
      </c>
      <c r="B1229" s="80" t="s">
        <v>1725</v>
      </c>
      <c r="C1229" s="87" t="s">
        <v>866</v>
      </c>
    </row>
    <row r="1230" spans="1:3" x14ac:dyDescent="0.25">
      <c r="A1230" s="81" t="s">
        <v>265</v>
      </c>
      <c r="B1230" s="80" t="s">
        <v>1713</v>
      </c>
      <c r="C1230" s="87" t="s">
        <v>778</v>
      </c>
    </row>
    <row r="1231" spans="1:3" x14ac:dyDescent="0.25">
      <c r="A1231" s="81" t="s">
        <v>265</v>
      </c>
      <c r="B1231" s="80" t="s">
        <v>1670</v>
      </c>
      <c r="C1231" s="87" t="s">
        <v>778</v>
      </c>
    </row>
    <row r="1232" spans="1:3" x14ac:dyDescent="0.25">
      <c r="A1232" s="81" t="s">
        <v>265</v>
      </c>
      <c r="B1232" s="80" t="s">
        <v>312</v>
      </c>
      <c r="C1232" s="87" t="s">
        <v>778</v>
      </c>
    </row>
    <row r="1233" spans="1:3" x14ac:dyDescent="0.25">
      <c r="A1233" s="81" t="s">
        <v>265</v>
      </c>
      <c r="B1233" s="80" t="s">
        <v>1694</v>
      </c>
      <c r="C1233" s="87" t="s">
        <v>778</v>
      </c>
    </row>
    <row r="1234" spans="1:3" x14ac:dyDescent="0.25">
      <c r="A1234" s="81" t="s">
        <v>265</v>
      </c>
      <c r="B1234" s="80" t="s">
        <v>1652</v>
      </c>
      <c r="C1234" s="87" t="s">
        <v>778</v>
      </c>
    </row>
    <row r="1235" spans="1:3" x14ac:dyDescent="0.25">
      <c r="A1235" s="81" t="s">
        <v>265</v>
      </c>
      <c r="B1235" s="80" t="s">
        <v>1675</v>
      </c>
      <c r="C1235" s="87" t="s">
        <v>778</v>
      </c>
    </row>
    <row r="1236" spans="1:3" x14ac:dyDescent="0.25">
      <c r="A1236" s="81" t="s">
        <v>265</v>
      </c>
      <c r="B1236" s="80" t="s">
        <v>1687</v>
      </c>
      <c r="C1236" s="87" t="s">
        <v>778</v>
      </c>
    </row>
    <row r="1237" spans="1:3" x14ac:dyDescent="0.25">
      <c r="A1237" s="81" t="s">
        <v>265</v>
      </c>
      <c r="B1237" s="80" t="s">
        <v>1642</v>
      </c>
      <c r="C1237" s="87" t="s">
        <v>778</v>
      </c>
    </row>
    <row r="1238" spans="1:3" x14ac:dyDescent="0.25">
      <c r="A1238" s="81" t="s">
        <v>265</v>
      </c>
      <c r="B1238" s="80" t="s">
        <v>1643</v>
      </c>
      <c r="C1238" s="87" t="s">
        <v>778</v>
      </c>
    </row>
    <row r="1239" spans="1:3" x14ac:dyDescent="0.25">
      <c r="A1239" s="81" t="s">
        <v>265</v>
      </c>
      <c r="B1239" s="80" t="s">
        <v>252</v>
      </c>
      <c r="C1239" s="87" t="s">
        <v>778</v>
      </c>
    </row>
    <row r="1240" spans="1:3" x14ac:dyDescent="0.25">
      <c r="A1240" s="81" t="s">
        <v>277</v>
      </c>
      <c r="B1240" s="80" t="s">
        <v>1678</v>
      </c>
      <c r="C1240" s="87" t="s">
        <v>815</v>
      </c>
    </row>
    <row r="1241" spans="1:3" x14ac:dyDescent="0.25">
      <c r="A1241" s="81" t="s">
        <v>277</v>
      </c>
      <c r="B1241" s="80" t="s">
        <v>2170</v>
      </c>
      <c r="C1241" s="87" t="s">
        <v>815</v>
      </c>
    </row>
    <row r="1242" spans="1:3" x14ac:dyDescent="0.25">
      <c r="A1242" s="81" t="s">
        <v>277</v>
      </c>
      <c r="B1242" s="80" t="s">
        <v>2171</v>
      </c>
      <c r="C1242" s="87" t="s">
        <v>815</v>
      </c>
    </row>
    <row r="1243" spans="1:3" x14ac:dyDescent="0.25">
      <c r="A1243" s="81" t="s">
        <v>277</v>
      </c>
      <c r="B1243" s="80" t="s">
        <v>2172</v>
      </c>
      <c r="C1243" s="87" t="s">
        <v>815</v>
      </c>
    </row>
    <row r="1244" spans="1:3" x14ac:dyDescent="0.25">
      <c r="A1244" s="81" t="s">
        <v>277</v>
      </c>
      <c r="B1244" s="80" t="s">
        <v>1742</v>
      </c>
      <c r="C1244" s="87" t="s">
        <v>815</v>
      </c>
    </row>
    <row r="1245" spans="1:3" x14ac:dyDescent="0.25">
      <c r="A1245" s="81" t="s">
        <v>277</v>
      </c>
      <c r="B1245" s="80" t="s">
        <v>327</v>
      </c>
      <c r="C1245" s="87" t="s">
        <v>815</v>
      </c>
    </row>
    <row r="1246" spans="1:3" x14ac:dyDescent="0.25">
      <c r="A1246" s="81" t="s">
        <v>277</v>
      </c>
      <c r="B1246" s="80" t="s">
        <v>1653</v>
      </c>
      <c r="C1246" s="87" t="s">
        <v>815</v>
      </c>
    </row>
    <row r="1247" spans="1:3" x14ac:dyDescent="0.25">
      <c r="A1247" s="81" t="s">
        <v>277</v>
      </c>
      <c r="B1247" s="80" t="s">
        <v>2173</v>
      </c>
      <c r="C1247" s="87" t="s">
        <v>815</v>
      </c>
    </row>
    <row r="1248" spans="1:3" x14ac:dyDescent="0.25">
      <c r="A1248" s="81" t="s">
        <v>277</v>
      </c>
      <c r="B1248" s="80" t="s">
        <v>2174</v>
      </c>
      <c r="C1248" s="87" t="s">
        <v>815</v>
      </c>
    </row>
    <row r="1249" spans="1:3" x14ac:dyDescent="0.25">
      <c r="A1249" s="81" t="s">
        <v>277</v>
      </c>
      <c r="B1249" s="80" t="s">
        <v>2175</v>
      </c>
      <c r="C1249" s="87" t="s">
        <v>815</v>
      </c>
    </row>
    <row r="1250" spans="1:3" x14ac:dyDescent="0.25">
      <c r="A1250" s="81" t="s">
        <v>277</v>
      </c>
      <c r="B1250" s="80" t="s">
        <v>1640</v>
      </c>
      <c r="C1250" s="87" t="s">
        <v>815</v>
      </c>
    </row>
    <row r="1251" spans="1:3" x14ac:dyDescent="0.25">
      <c r="A1251" s="81" t="s">
        <v>277</v>
      </c>
      <c r="B1251" s="80" t="s">
        <v>1644</v>
      </c>
      <c r="C1251" s="87" t="s">
        <v>815</v>
      </c>
    </row>
    <row r="1252" spans="1:3" x14ac:dyDescent="0.25">
      <c r="A1252" s="81" t="s">
        <v>277</v>
      </c>
      <c r="B1252" s="80" t="s">
        <v>1735</v>
      </c>
      <c r="C1252" s="87" t="s">
        <v>815</v>
      </c>
    </row>
    <row r="1253" spans="1:3" x14ac:dyDescent="0.25">
      <c r="A1253" s="81" t="s">
        <v>277</v>
      </c>
      <c r="B1253" s="80" t="s">
        <v>1905</v>
      </c>
      <c r="C1253" s="87" t="s">
        <v>815</v>
      </c>
    </row>
    <row r="1254" spans="1:3" x14ac:dyDescent="0.25">
      <c r="A1254" s="81" t="s">
        <v>277</v>
      </c>
      <c r="B1254" s="80" t="s">
        <v>1828</v>
      </c>
      <c r="C1254" s="87" t="s">
        <v>815</v>
      </c>
    </row>
    <row r="1255" spans="1:3" x14ac:dyDescent="0.25">
      <c r="A1255" s="81" t="s">
        <v>277</v>
      </c>
      <c r="B1255" s="80" t="s">
        <v>1645</v>
      </c>
      <c r="C1255" s="87" t="s">
        <v>815</v>
      </c>
    </row>
    <row r="1256" spans="1:3" x14ac:dyDescent="0.25">
      <c r="A1256" s="81" t="s">
        <v>277</v>
      </c>
      <c r="B1256" s="80" t="s">
        <v>1674</v>
      </c>
      <c r="C1256" s="87" t="s">
        <v>815</v>
      </c>
    </row>
    <row r="1257" spans="1:3" x14ac:dyDescent="0.25">
      <c r="A1257" s="81" t="s">
        <v>277</v>
      </c>
      <c r="B1257" s="80" t="s">
        <v>1789</v>
      </c>
      <c r="C1257" s="87" t="s">
        <v>815</v>
      </c>
    </row>
    <row r="1258" spans="1:3" x14ac:dyDescent="0.25">
      <c r="A1258" s="81" t="s">
        <v>277</v>
      </c>
      <c r="B1258" s="80" t="s">
        <v>1940</v>
      </c>
      <c r="C1258" s="87" t="s">
        <v>815</v>
      </c>
    </row>
    <row r="1259" spans="1:3" x14ac:dyDescent="0.25">
      <c r="A1259" s="81" t="s">
        <v>277</v>
      </c>
      <c r="B1259" s="80" t="s">
        <v>489</v>
      </c>
      <c r="C1259" s="87" t="s">
        <v>815</v>
      </c>
    </row>
    <row r="1260" spans="1:3" x14ac:dyDescent="0.25">
      <c r="A1260" s="81" t="s">
        <v>277</v>
      </c>
      <c r="B1260" s="80" t="s">
        <v>1759</v>
      </c>
      <c r="C1260" s="87" t="s">
        <v>815</v>
      </c>
    </row>
    <row r="1261" spans="1:3" x14ac:dyDescent="0.25">
      <c r="A1261" s="81" t="s">
        <v>273</v>
      </c>
      <c r="B1261" s="80" t="s">
        <v>2176</v>
      </c>
      <c r="C1261" s="87" t="s">
        <v>796</v>
      </c>
    </row>
    <row r="1262" spans="1:3" x14ac:dyDescent="0.25">
      <c r="A1262" s="81" t="s">
        <v>273</v>
      </c>
      <c r="B1262" s="80" t="s">
        <v>2177</v>
      </c>
      <c r="C1262" s="87" t="s">
        <v>796</v>
      </c>
    </row>
    <row r="1263" spans="1:3" x14ac:dyDescent="0.25">
      <c r="A1263" s="81" t="s">
        <v>273</v>
      </c>
      <c r="B1263" s="80" t="s">
        <v>1872</v>
      </c>
      <c r="C1263" s="87" t="s">
        <v>796</v>
      </c>
    </row>
    <row r="1264" spans="1:3" x14ac:dyDescent="0.25">
      <c r="A1264" s="81" t="s">
        <v>273</v>
      </c>
      <c r="B1264" s="80" t="s">
        <v>2178</v>
      </c>
      <c r="C1264" s="87" t="s">
        <v>796</v>
      </c>
    </row>
    <row r="1265" spans="1:3" x14ac:dyDescent="0.25">
      <c r="A1265" s="81" t="s">
        <v>273</v>
      </c>
      <c r="B1265" s="80" t="s">
        <v>2179</v>
      </c>
      <c r="C1265" s="87" t="s">
        <v>796</v>
      </c>
    </row>
    <row r="1266" spans="1:3" x14ac:dyDescent="0.25">
      <c r="A1266" s="81" t="s">
        <v>273</v>
      </c>
      <c r="B1266" s="80" t="s">
        <v>2180</v>
      </c>
      <c r="C1266" s="87" t="s">
        <v>796</v>
      </c>
    </row>
    <row r="1267" spans="1:3" x14ac:dyDescent="0.25">
      <c r="A1267" s="81" t="s">
        <v>273</v>
      </c>
      <c r="B1267" s="80" t="s">
        <v>2181</v>
      </c>
      <c r="C1267" s="87" t="s">
        <v>796</v>
      </c>
    </row>
    <row r="1268" spans="1:3" x14ac:dyDescent="0.25">
      <c r="A1268" s="81" t="s">
        <v>273</v>
      </c>
      <c r="B1268" s="80" t="s">
        <v>2182</v>
      </c>
      <c r="C1268" s="87" t="s">
        <v>796</v>
      </c>
    </row>
    <row r="1269" spans="1:3" x14ac:dyDescent="0.25">
      <c r="A1269" s="81" t="s">
        <v>273</v>
      </c>
      <c r="B1269" s="80" t="s">
        <v>1762</v>
      </c>
      <c r="C1269" s="87" t="s">
        <v>796</v>
      </c>
    </row>
    <row r="1270" spans="1:3" x14ac:dyDescent="0.25">
      <c r="A1270" s="81" t="s">
        <v>273</v>
      </c>
      <c r="B1270" s="80" t="s">
        <v>2183</v>
      </c>
      <c r="C1270" s="87" t="s">
        <v>796</v>
      </c>
    </row>
    <row r="1271" spans="1:3" x14ac:dyDescent="0.25">
      <c r="A1271" s="81" t="s">
        <v>273</v>
      </c>
      <c r="B1271" s="80" t="s">
        <v>1926</v>
      </c>
      <c r="C1271" s="87" t="s">
        <v>796</v>
      </c>
    </row>
    <row r="1272" spans="1:3" x14ac:dyDescent="0.25">
      <c r="A1272" s="81" t="s">
        <v>273</v>
      </c>
      <c r="B1272" s="80" t="s">
        <v>1769</v>
      </c>
      <c r="C1272" s="87" t="s">
        <v>796</v>
      </c>
    </row>
    <row r="1273" spans="1:3" x14ac:dyDescent="0.25">
      <c r="A1273" s="81" t="s">
        <v>273</v>
      </c>
      <c r="B1273" s="80" t="s">
        <v>1770</v>
      </c>
      <c r="C1273" s="87" t="s">
        <v>796</v>
      </c>
    </row>
    <row r="1274" spans="1:3" x14ac:dyDescent="0.25">
      <c r="A1274" s="81" t="s">
        <v>273</v>
      </c>
      <c r="B1274" s="80" t="s">
        <v>2184</v>
      </c>
      <c r="C1274" s="87" t="s">
        <v>796</v>
      </c>
    </row>
    <row r="1275" spans="1:3" x14ac:dyDescent="0.25">
      <c r="A1275" s="81" t="s">
        <v>273</v>
      </c>
      <c r="B1275" s="80" t="s">
        <v>268</v>
      </c>
      <c r="C1275" s="87" t="s">
        <v>796</v>
      </c>
    </row>
    <row r="1276" spans="1:3" x14ac:dyDescent="0.25">
      <c r="A1276" s="81" t="s">
        <v>269</v>
      </c>
      <c r="B1276" s="80" t="s">
        <v>483</v>
      </c>
      <c r="C1276" s="87" t="s">
        <v>791</v>
      </c>
    </row>
    <row r="1277" spans="1:3" x14ac:dyDescent="0.25">
      <c r="A1277" s="81" t="s">
        <v>269</v>
      </c>
      <c r="B1277" s="80" t="s">
        <v>1673</v>
      </c>
      <c r="C1277" s="87" t="s">
        <v>791</v>
      </c>
    </row>
    <row r="1278" spans="1:3" x14ac:dyDescent="0.25">
      <c r="A1278" s="81" t="s">
        <v>269</v>
      </c>
      <c r="B1278" s="80" t="s">
        <v>1909</v>
      </c>
      <c r="C1278" s="87" t="s">
        <v>791</v>
      </c>
    </row>
    <row r="1279" spans="1:3" x14ac:dyDescent="0.25">
      <c r="A1279" s="81" t="s">
        <v>269</v>
      </c>
      <c r="B1279" s="80" t="s">
        <v>1851</v>
      </c>
      <c r="C1279" s="87" t="s">
        <v>791</v>
      </c>
    </row>
    <row r="1280" spans="1:3" x14ac:dyDescent="0.25">
      <c r="A1280" s="81" t="s">
        <v>269</v>
      </c>
      <c r="B1280" s="80" t="s">
        <v>1847</v>
      </c>
      <c r="C1280" s="87" t="s">
        <v>791</v>
      </c>
    </row>
    <row r="1281" spans="1:3" x14ac:dyDescent="0.25">
      <c r="A1281" s="81" t="s">
        <v>269</v>
      </c>
      <c r="B1281" s="80" t="s">
        <v>1640</v>
      </c>
      <c r="C1281" s="87" t="s">
        <v>791</v>
      </c>
    </row>
    <row r="1282" spans="1:3" x14ac:dyDescent="0.25">
      <c r="A1282" s="81" t="s">
        <v>269</v>
      </c>
      <c r="B1282" s="80" t="s">
        <v>1862</v>
      </c>
      <c r="C1282" s="87" t="s">
        <v>791</v>
      </c>
    </row>
    <row r="1283" spans="1:3" x14ac:dyDescent="0.25">
      <c r="A1283" s="81" t="s">
        <v>269</v>
      </c>
      <c r="B1283" s="80" t="s">
        <v>1755</v>
      </c>
      <c r="C1283" s="87" t="s">
        <v>791</v>
      </c>
    </row>
    <row r="1284" spans="1:3" x14ac:dyDescent="0.25">
      <c r="A1284" s="81" t="s">
        <v>269</v>
      </c>
      <c r="B1284" s="80" t="s">
        <v>1917</v>
      </c>
      <c r="C1284" s="87" t="s">
        <v>791</v>
      </c>
    </row>
    <row r="1285" spans="1:3" x14ac:dyDescent="0.25">
      <c r="A1285" s="81" t="s">
        <v>269</v>
      </c>
      <c r="B1285" s="80" t="s">
        <v>1790</v>
      </c>
      <c r="C1285" s="87" t="s">
        <v>791</v>
      </c>
    </row>
    <row r="1286" spans="1:3" x14ac:dyDescent="0.25">
      <c r="A1286" s="81" t="s">
        <v>269</v>
      </c>
      <c r="B1286" s="87" t="s">
        <v>1644</v>
      </c>
      <c r="C1286" s="87" t="s">
        <v>791</v>
      </c>
    </row>
    <row r="1287" spans="1:3" x14ac:dyDescent="0.25">
      <c r="A1287" s="81" t="s">
        <v>269</v>
      </c>
      <c r="B1287" s="80" t="s">
        <v>1780</v>
      </c>
      <c r="C1287" s="87" t="s">
        <v>791</v>
      </c>
    </row>
    <row r="1288" spans="1:3" x14ac:dyDescent="0.25">
      <c r="A1288" s="81" t="s">
        <v>269</v>
      </c>
      <c r="B1288" s="80" t="s">
        <v>1773</v>
      </c>
      <c r="C1288" s="87" t="s">
        <v>791</v>
      </c>
    </row>
    <row r="1289" spans="1:3" x14ac:dyDescent="0.25">
      <c r="A1289" s="81" t="s">
        <v>269</v>
      </c>
      <c r="B1289" s="80" t="s">
        <v>2185</v>
      </c>
      <c r="C1289" s="87" t="s">
        <v>791</v>
      </c>
    </row>
    <row r="1290" spans="1:3" x14ac:dyDescent="0.25">
      <c r="A1290" s="81" t="s">
        <v>269</v>
      </c>
      <c r="B1290" s="80" t="s">
        <v>1785</v>
      </c>
      <c r="C1290" s="87" t="s">
        <v>791</v>
      </c>
    </row>
    <row r="1291" spans="1:3" x14ac:dyDescent="0.25">
      <c r="A1291" s="81" t="s">
        <v>269</v>
      </c>
      <c r="B1291" s="80" t="s">
        <v>1686</v>
      </c>
      <c r="C1291" s="87" t="s">
        <v>791</v>
      </c>
    </row>
    <row r="1292" spans="1:3" x14ac:dyDescent="0.25">
      <c r="A1292" s="81" t="s">
        <v>269</v>
      </c>
      <c r="B1292" s="80" t="s">
        <v>1749</v>
      </c>
      <c r="C1292" s="87" t="s">
        <v>791</v>
      </c>
    </row>
    <row r="1293" spans="1:3" x14ac:dyDescent="0.25">
      <c r="A1293" s="81" t="s">
        <v>269</v>
      </c>
      <c r="B1293" s="80" t="s">
        <v>1644</v>
      </c>
      <c r="C1293" s="87" t="s">
        <v>791</v>
      </c>
    </row>
    <row r="1294" spans="1:3" x14ac:dyDescent="0.25">
      <c r="A1294" s="81" t="s">
        <v>269</v>
      </c>
      <c r="B1294" s="80" t="s">
        <v>1807</v>
      </c>
      <c r="C1294" s="87" t="s">
        <v>791</v>
      </c>
    </row>
    <row r="1295" spans="1:3" x14ac:dyDescent="0.25">
      <c r="A1295" s="81" t="s">
        <v>269</v>
      </c>
      <c r="B1295" s="80" t="s">
        <v>1672</v>
      </c>
      <c r="C1295" s="87" t="s">
        <v>791</v>
      </c>
    </row>
    <row r="1296" spans="1:3" x14ac:dyDescent="0.25">
      <c r="A1296" s="81" t="s">
        <v>269</v>
      </c>
      <c r="B1296" s="80" t="s">
        <v>2186</v>
      </c>
      <c r="C1296" s="87" t="s">
        <v>791</v>
      </c>
    </row>
    <row r="1297" spans="1:3" x14ac:dyDescent="0.25">
      <c r="A1297" s="81" t="s">
        <v>269</v>
      </c>
      <c r="B1297" s="80" t="s">
        <v>2187</v>
      </c>
      <c r="C1297" s="87" t="s">
        <v>791</v>
      </c>
    </row>
    <row r="1298" spans="1:3" x14ac:dyDescent="0.25">
      <c r="A1298" s="81" t="s">
        <v>249</v>
      </c>
      <c r="B1298" s="80" t="s">
        <v>2188</v>
      </c>
      <c r="C1298" s="87" t="s">
        <v>786</v>
      </c>
    </row>
    <row r="1299" spans="1:3" x14ac:dyDescent="0.25">
      <c r="A1299" s="81" t="s">
        <v>249</v>
      </c>
      <c r="B1299" s="80" t="s">
        <v>2189</v>
      </c>
      <c r="C1299" s="87" t="s">
        <v>786</v>
      </c>
    </row>
    <row r="1300" spans="1:3" x14ac:dyDescent="0.25">
      <c r="A1300" s="81" t="s">
        <v>249</v>
      </c>
      <c r="B1300" s="80" t="s">
        <v>281</v>
      </c>
      <c r="C1300" s="87" t="s">
        <v>786</v>
      </c>
    </row>
    <row r="1301" spans="1:3" x14ac:dyDescent="0.25">
      <c r="A1301" s="81" t="s">
        <v>249</v>
      </c>
      <c r="B1301" s="80" t="s">
        <v>248</v>
      </c>
      <c r="C1301" s="87" t="s">
        <v>786</v>
      </c>
    </row>
    <row r="1302" spans="1:3" x14ac:dyDescent="0.25">
      <c r="A1302" s="81" t="s">
        <v>249</v>
      </c>
      <c r="B1302" s="80" t="s">
        <v>2190</v>
      </c>
      <c r="C1302" s="87" t="s">
        <v>786</v>
      </c>
    </row>
    <row r="1303" spans="1:3" x14ac:dyDescent="0.25">
      <c r="A1303" s="81" t="s">
        <v>249</v>
      </c>
      <c r="B1303" s="80" t="s">
        <v>2191</v>
      </c>
      <c r="C1303" s="87" t="s">
        <v>786</v>
      </c>
    </row>
    <row r="1304" spans="1:3" x14ac:dyDescent="0.25">
      <c r="A1304" s="81" t="s">
        <v>249</v>
      </c>
      <c r="B1304" s="80" t="s">
        <v>2192</v>
      </c>
      <c r="C1304" s="87" t="s">
        <v>786</v>
      </c>
    </row>
    <row r="1305" spans="1:3" x14ac:dyDescent="0.25">
      <c r="A1305" s="81" t="s">
        <v>249</v>
      </c>
      <c r="B1305" s="80" t="s">
        <v>2193</v>
      </c>
      <c r="C1305" s="87" t="s">
        <v>786</v>
      </c>
    </row>
    <row r="1306" spans="1:3" x14ac:dyDescent="0.25">
      <c r="A1306" s="81" t="s">
        <v>249</v>
      </c>
      <c r="B1306" s="80" t="s">
        <v>2194</v>
      </c>
      <c r="C1306" s="87" t="s">
        <v>786</v>
      </c>
    </row>
    <row r="1307" spans="1:3" x14ac:dyDescent="0.25">
      <c r="A1307" s="81" t="s">
        <v>249</v>
      </c>
      <c r="B1307" s="80" t="s">
        <v>2195</v>
      </c>
      <c r="C1307" s="87" t="s">
        <v>786</v>
      </c>
    </row>
    <row r="1308" spans="1:3" x14ac:dyDescent="0.25">
      <c r="A1308" s="81" t="s">
        <v>249</v>
      </c>
      <c r="B1308" s="80" t="s">
        <v>2196</v>
      </c>
      <c r="C1308" s="87" t="s">
        <v>786</v>
      </c>
    </row>
    <row r="1309" spans="1:3" x14ac:dyDescent="0.25">
      <c r="A1309" s="81" t="s">
        <v>249</v>
      </c>
      <c r="B1309" s="80" t="s">
        <v>2197</v>
      </c>
      <c r="C1309" s="87" t="s">
        <v>786</v>
      </c>
    </row>
    <row r="1310" spans="1:3" x14ac:dyDescent="0.25">
      <c r="A1310" s="81" t="s">
        <v>249</v>
      </c>
      <c r="B1310" s="80" t="s">
        <v>323</v>
      </c>
      <c r="C1310" s="87" t="s">
        <v>786</v>
      </c>
    </row>
    <row r="1311" spans="1:3" x14ac:dyDescent="0.25">
      <c r="A1311" s="81" t="s">
        <v>249</v>
      </c>
      <c r="B1311" s="80" t="s">
        <v>2198</v>
      </c>
      <c r="C1311" s="87" t="s">
        <v>786</v>
      </c>
    </row>
    <row r="1312" spans="1:3" x14ac:dyDescent="0.25">
      <c r="A1312" s="81" t="s">
        <v>249</v>
      </c>
      <c r="B1312" s="80" t="s">
        <v>2199</v>
      </c>
      <c r="C1312" s="87" t="s">
        <v>786</v>
      </c>
    </row>
    <row r="1313" spans="1:3" x14ac:dyDescent="0.25">
      <c r="A1313" s="81" t="s">
        <v>249</v>
      </c>
      <c r="B1313" s="80" t="s">
        <v>1871</v>
      </c>
      <c r="C1313" s="87" t="s">
        <v>786</v>
      </c>
    </row>
    <row r="1314" spans="1:3" x14ac:dyDescent="0.25">
      <c r="A1314" s="81" t="s">
        <v>249</v>
      </c>
      <c r="B1314" s="80" t="s">
        <v>1883</v>
      </c>
      <c r="C1314" s="87" t="s">
        <v>786</v>
      </c>
    </row>
    <row r="1315" spans="1:3" x14ac:dyDescent="0.25">
      <c r="A1315" s="81" t="s">
        <v>249</v>
      </c>
      <c r="B1315" s="80" t="s">
        <v>275</v>
      </c>
      <c r="C1315" s="87" t="s">
        <v>786</v>
      </c>
    </row>
    <row r="1316" spans="1:3" x14ac:dyDescent="0.25">
      <c r="A1316" s="81" t="s">
        <v>249</v>
      </c>
      <c r="B1316" s="80" t="s">
        <v>1817</v>
      </c>
      <c r="C1316" s="87" t="s">
        <v>786</v>
      </c>
    </row>
    <row r="1317" spans="1:3" x14ac:dyDescent="0.25">
      <c r="A1317" s="81" t="s">
        <v>249</v>
      </c>
      <c r="B1317" s="80" t="s">
        <v>1877</v>
      </c>
      <c r="C1317" s="87" t="s">
        <v>786</v>
      </c>
    </row>
    <row r="1318" spans="1:3" x14ac:dyDescent="0.25">
      <c r="A1318" s="81" t="s">
        <v>249</v>
      </c>
      <c r="B1318" s="80" t="s">
        <v>249</v>
      </c>
      <c r="C1318" s="87" t="s">
        <v>786</v>
      </c>
    </row>
    <row r="1319" spans="1:3" x14ac:dyDescent="0.25">
      <c r="A1319" s="81" t="s">
        <v>249</v>
      </c>
      <c r="B1319" s="80" t="s">
        <v>1657</v>
      </c>
      <c r="C1319" s="87" t="s">
        <v>786</v>
      </c>
    </row>
    <row r="1320" spans="1:3" x14ac:dyDescent="0.25">
      <c r="A1320" s="81" t="s">
        <v>249</v>
      </c>
      <c r="B1320" s="80" t="s">
        <v>1759</v>
      </c>
      <c r="C1320" s="87" t="s">
        <v>786</v>
      </c>
    </row>
    <row r="1321" spans="1:3" x14ac:dyDescent="0.25">
      <c r="A1321" s="81" t="s">
        <v>249</v>
      </c>
      <c r="B1321" s="80" t="s">
        <v>1821</v>
      </c>
      <c r="C1321" s="87" t="s">
        <v>786</v>
      </c>
    </row>
    <row r="1322" spans="1:3" x14ac:dyDescent="0.25">
      <c r="A1322" s="81" t="s">
        <v>249</v>
      </c>
      <c r="B1322" s="80" t="s">
        <v>1825</v>
      </c>
      <c r="C1322" s="87" t="s">
        <v>786</v>
      </c>
    </row>
    <row r="1323" spans="1:3" x14ac:dyDescent="0.25">
      <c r="A1323" s="81" t="s">
        <v>249</v>
      </c>
      <c r="B1323" s="80" t="s">
        <v>1793</v>
      </c>
      <c r="C1323" s="87" t="s">
        <v>786</v>
      </c>
    </row>
    <row r="1324" spans="1:3" x14ac:dyDescent="0.25">
      <c r="A1324" s="81" t="s">
        <v>274</v>
      </c>
      <c r="B1324" s="80" t="s">
        <v>2200</v>
      </c>
      <c r="C1324" s="87" t="s">
        <v>799</v>
      </c>
    </row>
    <row r="1325" spans="1:3" x14ac:dyDescent="0.25">
      <c r="A1325" s="81" t="s">
        <v>274</v>
      </c>
      <c r="B1325" s="80">
        <v>15</v>
      </c>
      <c r="C1325" s="87" t="s">
        <v>799</v>
      </c>
    </row>
    <row r="1326" spans="1:3" x14ac:dyDescent="0.25">
      <c r="A1326" s="81" t="s">
        <v>274</v>
      </c>
      <c r="B1326" s="80" t="s">
        <v>1671</v>
      </c>
      <c r="C1326" s="87" t="s">
        <v>799</v>
      </c>
    </row>
    <row r="1327" spans="1:3" x14ac:dyDescent="0.25">
      <c r="A1327" s="81" t="s">
        <v>274</v>
      </c>
      <c r="B1327" s="80" t="s">
        <v>2201</v>
      </c>
      <c r="C1327" s="87" t="s">
        <v>799</v>
      </c>
    </row>
    <row r="1328" spans="1:3" x14ac:dyDescent="0.25">
      <c r="A1328" s="81" t="s">
        <v>274</v>
      </c>
      <c r="B1328" s="80" t="s">
        <v>1653</v>
      </c>
      <c r="C1328" s="87" t="s">
        <v>799</v>
      </c>
    </row>
    <row r="1329" spans="1:3" x14ac:dyDescent="0.25">
      <c r="A1329" s="81" t="s">
        <v>274</v>
      </c>
      <c r="B1329" s="80" t="s">
        <v>2202</v>
      </c>
      <c r="C1329" s="87" t="s">
        <v>799</v>
      </c>
    </row>
    <row r="1330" spans="1:3" x14ac:dyDescent="0.25">
      <c r="A1330" s="81" t="s">
        <v>274</v>
      </c>
      <c r="B1330" s="80" t="s">
        <v>1900</v>
      </c>
      <c r="C1330" s="87" t="s">
        <v>799</v>
      </c>
    </row>
    <row r="1331" spans="1:3" x14ac:dyDescent="0.25">
      <c r="A1331" s="81" t="s">
        <v>274</v>
      </c>
      <c r="B1331" s="80" t="s">
        <v>2203</v>
      </c>
      <c r="C1331" s="87" t="s">
        <v>799</v>
      </c>
    </row>
    <row r="1332" spans="1:3" x14ac:dyDescent="0.25">
      <c r="A1332" s="81" t="s">
        <v>274</v>
      </c>
      <c r="B1332" s="80" t="s">
        <v>2204</v>
      </c>
      <c r="C1332" s="87" t="s">
        <v>799</v>
      </c>
    </row>
    <row r="1333" spans="1:3" x14ac:dyDescent="0.25">
      <c r="A1333" s="81" t="s">
        <v>274</v>
      </c>
      <c r="B1333" s="80" t="s">
        <v>1761</v>
      </c>
      <c r="C1333" s="87" t="s">
        <v>799</v>
      </c>
    </row>
    <row r="1334" spans="1:3" x14ac:dyDescent="0.25">
      <c r="A1334" s="81" t="s">
        <v>274</v>
      </c>
      <c r="B1334" s="80" t="s">
        <v>2205</v>
      </c>
      <c r="C1334" s="87" t="s">
        <v>799</v>
      </c>
    </row>
    <row r="1335" spans="1:3" x14ac:dyDescent="0.25">
      <c r="A1335" s="81" t="s">
        <v>274</v>
      </c>
      <c r="B1335" s="80" t="s">
        <v>1835</v>
      </c>
      <c r="C1335" s="87" t="s">
        <v>799</v>
      </c>
    </row>
    <row r="1336" spans="1:3" x14ac:dyDescent="0.25">
      <c r="A1336" s="81" t="s">
        <v>274</v>
      </c>
      <c r="B1336" s="80" t="s">
        <v>2206</v>
      </c>
      <c r="C1336" s="87" t="s">
        <v>799</v>
      </c>
    </row>
    <row r="1337" spans="1:3" x14ac:dyDescent="0.25">
      <c r="A1337" s="81" t="s">
        <v>274</v>
      </c>
      <c r="B1337" s="80" t="s">
        <v>1665</v>
      </c>
      <c r="C1337" s="87" t="s">
        <v>799</v>
      </c>
    </row>
    <row r="1338" spans="1:3" x14ac:dyDescent="0.25">
      <c r="A1338" s="81" t="s">
        <v>274</v>
      </c>
      <c r="B1338" s="80" t="s">
        <v>1826</v>
      </c>
      <c r="C1338" s="87" t="s">
        <v>799</v>
      </c>
    </row>
    <row r="1339" spans="1:3" x14ac:dyDescent="0.25">
      <c r="A1339" s="81" t="s">
        <v>274</v>
      </c>
      <c r="B1339" s="80" t="s">
        <v>1662</v>
      </c>
      <c r="C1339" s="87" t="s">
        <v>799</v>
      </c>
    </row>
    <row r="1340" spans="1:3" x14ac:dyDescent="0.25">
      <c r="A1340" s="81" t="s">
        <v>274</v>
      </c>
      <c r="B1340" s="80" t="s">
        <v>1823</v>
      </c>
      <c r="C1340" s="87" t="s">
        <v>799</v>
      </c>
    </row>
    <row r="1341" spans="1:3" x14ac:dyDescent="0.25">
      <c r="A1341" s="81" t="s">
        <v>274</v>
      </c>
      <c r="B1341" s="80" t="s">
        <v>1912</v>
      </c>
      <c r="C1341" s="87" t="s">
        <v>799</v>
      </c>
    </row>
    <row r="1342" spans="1:3" x14ac:dyDescent="0.25">
      <c r="A1342" s="81" t="s">
        <v>274</v>
      </c>
      <c r="B1342" s="80" t="s">
        <v>1792</v>
      </c>
      <c r="C1342" s="87" t="s">
        <v>799</v>
      </c>
    </row>
    <row r="1343" spans="1:3" x14ac:dyDescent="0.25">
      <c r="A1343" s="81" t="s">
        <v>274</v>
      </c>
      <c r="B1343" s="80">
        <v>2024</v>
      </c>
      <c r="C1343" s="87" t="s">
        <v>799</v>
      </c>
    </row>
    <row r="1344" spans="1:3" x14ac:dyDescent="0.25">
      <c r="A1344" s="81" t="s">
        <v>274</v>
      </c>
      <c r="B1344" s="80" t="s">
        <v>1853</v>
      </c>
      <c r="C1344" s="87" t="s">
        <v>799</v>
      </c>
    </row>
    <row r="1345" spans="1:3" x14ac:dyDescent="0.25">
      <c r="A1345" s="81" t="s">
        <v>274</v>
      </c>
      <c r="B1345" s="80" t="s">
        <v>1700</v>
      </c>
      <c r="C1345" s="87" t="s">
        <v>799</v>
      </c>
    </row>
    <row r="1346" spans="1:3" x14ac:dyDescent="0.25">
      <c r="A1346" s="81" t="s">
        <v>274</v>
      </c>
      <c r="B1346" s="80" t="s">
        <v>1890</v>
      </c>
      <c r="C1346" s="87" t="s">
        <v>799</v>
      </c>
    </row>
    <row r="1347" spans="1:3" x14ac:dyDescent="0.25">
      <c r="A1347" s="81" t="s">
        <v>274</v>
      </c>
      <c r="B1347" s="80" t="s">
        <v>1688</v>
      </c>
      <c r="C1347" s="87" t="s">
        <v>799</v>
      </c>
    </row>
    <row r="1348" spans="1:3" x14ac:dyDescent="0.25">
      <c r="A1348" s="81" t="s">
        <v>307</v>
      </c>
      <c r="B1348" s="80" t="s">
        <v>1699</v>
      </c>
      <c r="C1348" s="87" t="s">
        <v>871</v>
      </c>
    </row>
    <row r="1349" spans="1:3" x14ac:dyDescent="0.25">
      <c r="A1349" s="81" t="s">
        <v>307</v>
      </c>
      <c r="B1349" s="80" t="s">
        <v>2207</v>
      </c>
      <c r="C1349" s="87" t="s">
        <v>871</v>
      </c>
    </row>
    <row r="1350" spans="1:3" x14ac:dyDescent="0.25">
      <c r="A1350" s="81" t="s">
        <v>307</v>
      </c>
      <c r="B1350" s="80" t="s">
        <v>2208</v>
      </c>
      <c r="C1350" s="87" t="s">
        <v>871</v>
      </c>
    </row>
    <row r="1351" spans="1:3" x14ac:dyDescent="0.25">
      <c r="A1351" s="81" t="s">
        <v>307</v>
      </c>
      <c r="B1351" s="80" t="s">
        <v>2209</v>
      </c>
      <c r="C1351" s="87" t="s">
        <v>871</v>
      </c>
    </row>
    <row r="1352" spans="1:3" x14ac:dyDescent="0.25">
      <c r="A1352" s="81" t="s">
        <v>307</v>
      </c>
      <c r="B1352" s="80" t="s">
        <v>1670</v>
      </c>
      <c r="C1352" s="87" t="s">
        <v>871</v>
      </c>
    </row>
    <row r="1353" spans="1:3" x14ac:dyDescent="0.25">
      <c r="A1353" s="81" t="s">
        <v>307</v>
      </c>
      <c r="B1353" s="80" t="s">
        <v>2210</v>
      </c>
      <c r="C1353" s="87" t="s">
        <v>871</v>
      </c>
    </row>
    <row r="1354" spans="1:3" x14ac:dyDescent="0.25">
      <c r="A1354" s="81" t="s">
        <v>307</v>
      </c>
      <c r="B1354" s="80" t="s">
        <v>2211</v>
      </c>
      <c r="C1354" s="87" t="s">
        <v>871</v>
      </c>
    </row>
    <row r="1355" spans="1:3" x14ac:dyDescent="0.25">
      <c r="A1355" s="81" t="s">
        <v>307</v>
      </c>
      <c r="B1355" s="80" t="s">
        <v>1866</v>
      </c>
      <c r="C1355" s="87" t="s">
        <v>871</v>
      </c>
    </row>
    <row r="1356" spans="1:3" x14ac:dyDescent="0.25">
      <c r="A1356" s="81" t="s">
        <v>307</v>
      </c>
      <c r="B1356" s="80" t="s">
        <v>1881</v>
      </c>
      <c r="C1356" s="87" t="s">
        <v>871</v>
      </c>
    </row>
    <row r="1357" spans="1:3" x14ac:dyDescent="0.25">
      <c r="A1357" s="81" t="s">
        <v>307</v>
      </c>
      <c r="B1357" s="80" t="s">
        <v>1813</v>
      </c>
      <c r="C1357" s="87" t="s">
        <v>871</v>
      </c>
    </row>
    <row r="1358" spans="1:3" x14ac:dyDescent="0.25">
      <c r="A1358" s="81" t="s">
        <v>307</v>
      </c>
      <c r="B1358" s="80" t="s">
        <v>1927</v>
      </c>
      <c r="C1358" s="87" t="s">
        <v>871</v>
      </c>
    </row>
    <row r="1359" spans="1:3" x14ac:dyDescent="0.25">
      <c r="A1359" s="81" t="s">
        <v>307</v>
      </c>
      <c r="B1359" s="80" t="s">
        <v>1818</v>
      </c>
      <c r="C1359" s="87" t="s">
        <v>871</v>
      </c>
    </row>
    <row r="1360" spans="1:3" x14ac:dyDescent="0.25">
      <c r="A1360" s="81" t="s">
        <v>307</v>
      </c>
      <c r="B1360" s="80" t="s">
        <v>1901</v>
      </c>
      <c r="C1360" s="87" t="s">
        <v>871</v>
      </c>
    </row>
    <row r="1361" spans="1:3" x14ac:dyDescent="0.25">
      <c r="A1361" s="81" t="s">
        <v>307</v>
      </c>
      <c r="B1361" s="80" t="s">
        <v>1843</v>
      </c>
      <c r="C1361" s="87" t="s">
        <v>871</v>
      </c>
    </row>
    <row r="1362" spans="1:3" x14ac:dyDescent="0.25">
      <c r="A1362" s="81" t="s">
        <v>307</v>
      </c>
      <c r="B1362" s="80" t="s">
        <v>1939</v>
      </c>
      <c r="C1362" s="87" t="s">
        <v>871</v>
      </c>
    </row>
    <row r="1363" spans="1:3" x14ac:dyDescent="0.25">
      <c r="A1363" s="81" t="s">
        <v>307</v>
      </c>
      <c r="B1363" s="80" t="s">
        <v>1834</v>
      </c>
      <c r="C1363" s="87" t="s">
        <v>871</v>
      </c>
    </row>
    <row r="1364" spans="1:3" x14ac:dyDescent="0.25">
      <c r="A1364" s="81" t="s">
        <v>307</v>
      </c>
      <c r="B1364" s="80" t="s">
        <v>1942</v>
      </c>
      <c r="C1364" s="87" t="s">
        <v>871</v>
      </c>
    </row>
    <row r="1365" spans="1:3" x14ac:dyDescent="0.25">
      <c r="A1365" s="81" t="s">
        <v>281</v>
      </c>
      <c r="B1365" s="80" t="s">
        <v>1944</v>
      </c>
      <c r="C1365" s="87" t="s">
        <v>829</v>
      </c>
    </row>
    <row r="1366" spans="1:3" x14ac:dyDescent="0.25">
      <c r="A1366" s="81" t="s">
        <v>281</v>
      </c>
      <c r="B1366" s="80" t="s">
        <v>1641</v>
      </c>
      <c r="C1366" s="87" t="s">
        <v>829</v>
      </c>
    </row>
    <row r="1367" spans="1:3" x14ac:dyDescent="0.25">
      <c r="A1367" s="81" t="s">
        <v>281</v>
      </c>
      <c r="B1367" s="80" t="s">
        <v>1779</v>
      </c>
      <c r="C1367" s="87" t="s">
        <v>829</v>
      </c>
    </row>
    <row r="1368" spans="1:3" x14ac:dyDescent="0.25">
      <c r="A1368" s="81" t="s">
        <v>281</v>
      </c>
      <c r="B1368" s="80" t="s">
        <v>1786</v>
      </c>
      <c r="C1368" s="87" t="s">
        <v>829</v>
      </c>
    </row>
    <row r="1369" spans="1:3" x14ac:dyDescent="0.25">
      <c r="A1369" s="81" t="s">
        <v>281</v>
      </c>
      <c r="B1369" s="80" t="s">
        <v>1671</v>
      </c>
      <c r="C1369" s="87" t="s">
        <v>829</v>
      </c>
    </row>
    <row r="1370" spans="1:3" x14ac:dyDescent="0.25">
      <c r="A1370" s="81" t="s">
        <v>281</v>
      </c>
      <c r="B1370" s="80" t="s">
        <v>1700</v>
      </c>
      <c r="C1370" s="87" t="s">
        <v>829</v>
      </c>
    </row>
    <row r="1371" spans="1:3" x14ac:dyDescent="0.25">
      <c r="A1371" s="81" t="s">
        <v>281</v>
      </c>
      <c r="B1371" s="80" t="s">
        <v>1750</v>
      </c>
      <c r="C1371" s="87" t="s">
        <v>829</v>
      </c>
    </row>
    <row r="1372" spans="1:3" x14ac:dyDescent="0.25">
      <c r="A1372" s="81" t="s">
        <v>281</v>
      </c>
      <c r="B1372" s="80" t="s">
        <v>1646</v>
      </c>
      <c r="C1372" s="87" t="s">
        <v>829</v>
      </c>
    </row>
    <row r="1373" spans="1:3" x14ac:dyDescent="0.25">
      <c r="A1373" s="81" t="s">
        <v>281</v>
      </c>
      <c r="B1373" s="80" t="s">
        <v>1649</v>
      </c>
      <c r="C1373" s="87" t="s">
        <v>829</v>
      </c>
    </row>
    <row r="1374" spans="1:3" x14ac:dyDescent="0.25">
      <c r="A1374" s="81" t="s">
        <v>281</v>
      </c>
      <c r="B1374" s="80" t="s">
        <v>1663</v>
      </c>
      <c r="C1374" s="87" t="s">
        <v>829</v>
      </c>
    </row>
    <row r="1375" spans="1:3" x14ac:dyDescent="0.25">
      <c r="A1375" s="81" t="s">
        <v>281</v>
      </c>
      <c r="B1375" s="80" t="s">
        <v>268</v>
      </c>
      <c r="C1375" s="87" t="s">
        <v>829</v>
      </c>
    </row>
    <row r="1376" spans="1:3" x14ac:dyDescent="0.25">
      <c r="A1376" s="81" t="s">
        <v>268</v>
      </c>
      <c r="B1376" s="80" t="s">
        <v>2212</v>
      </c>
      <c r="C1376" s="87" t="s">
        <v>828</v>
      </c>
    </row>
    <row r="1377" spans="1:3" x14ac:dyDescent="0.25">
      <c r="A1377" s="81" t="s">
        <v>268</v>
      </c>
      <c r="B1377" s="80" t="s">
        <v>1756</v>
      </c>
      <c r="C1377" s="87" t="s">
        <v>828</v>
      </c>
    </row>
    <row r="1378" spans="1:3" x14ac:dyDescent="0.25">
      <c r="A1378" s="81" t="s">
        <v>268</v>
      </c>
      <c r="B1378" s="80" t="s">
        <v>1925</v>
      </c>
      <c r="C1378" s="87" t="s">
        <v>828</v>
      </c>
    </row>
    <row r="1379" spans="1:3" x14ac:dyDescent="0.25">
      <c r="A1379" s="81" t="s">
        <v>268</v>
      </c>
      <c r="B1379" s="80" t="s">
        <v>1770</v>
      </c>
      <c r="C1379" s="87" t="s">
        <v>828</v>
      </c>
    </row>
    <row r="1380" spans="1:3" x14ac:dyDescent="0.25">
      <c r="A1380" s="81" t="s">
        <v>268</v>
      </c>
      <c r="B1380" s="80" t="s">
        <v>1842</v>
      </c>
      <c r="C1380" s="87" t="s">
        <v>828</v>
      </c>
    </row>
    <row r="1381" spans="1:3" x14ac:dyDescent="0.25">
      <c r="A1381" s="81" t="s">
        <v>268</v>
      </c>
      <c r="B1381" s="80" t="s">
        <v>1897</v>
      </c>
      <c r="C1381" s="87" t="s">
        <v>828</v>
      </c>
    </row>
    <row r="1382" spans="1:3" x14ac:dyDescent="0.25">
      <c r="A1382" s="81" t="s">
        <v>268</v>
      </c>
      <c r="B1382" s="80" t="s">
        <v>1876</v>
      </c>
      <c r="C1382" s="87" t="s">
        <v>828</v>
      </c>
    </row>
    <row r="1383" spans="1:3" x14ac:dyDescent="0.25">
      <c r="A1383" s="81" t="s">
        <v>268</v>
      </c>
      <c r="B1383" s="80" t="s">
        <v>1904</v>
      </c>
      <c r="C1383" s="87" t="s">
        <v>828</v>
      </c>
    </row>
    <row r="1384" spans="1:3" x14ac:dyDescent="0.25">
      <c r="A1384" s="81" t="s">
        <v>268</v>
      </c>
      <c r="B1384" s="80" t="s">
        <v>1782</v>
      </c>
      <c r="C1384" s="87" t="s">
        <v>828</v>
      </c>
    </row>
    <row r="1385" spans="1:3" x14ac:dyDescent="0.25">
      <c r="A1385" s="81" t="s">
        <v>268</v>
      </c>
      <c r="B1385" s="80" t="s">
        <v>491</v>
      </c>
      <c r="C1385" s="87" t="s">
        <v>828</v>
      </c>
    </row>
    <row r="1386" spans="1:3" x14ac:dyDescent="0.25">
      <c r="A1386" s="81" t="s">
        <v>268</v>
      </c>
      <c r="B1386" s="80" t="s">
        <v>281</v>
      </c>
      <c r="C1386" s="87" t="s">
        <v>828</v>
      </c>
    </row>
    <row r="1387" spans="1:3" x14ac:dyDescent="0.25">
      <c r="A1387" s="81" t="s">
        <v>242</v>
      </c>
      <c r="B1387" s="80" t="s">
        <v>1990</v>
      </c>
      <c r="C1387" s="87" t="s">
        <v>746</v>
      </c>
    </row>
    <row r="1388" spans="1:3" x14ac:dyDescent="0.25">
      <c r="A1388" s="81" t="s">
        <v>242</v>
      </c>
      <c r="B1388" s="80" t="s">
        <v>1685</v>
      </c>
      <c r="C1388" s="87" t="s">
        <v>746</v>
      </c>
    </row>
    <row r="1389" spans="1:3" x14ac:dyDescent="0.25">
      <c r="A1389" s="81" t="s">
        <v>242</v>
      </c>
      <c r="B1389" s="80" t="s">
        <v>1667</v>
      </c>
      <c r="C1389" s="87" t="s">
        <v>746</v>
      </c>
    </row>
    <row r="1390" spans="1:3" x14ac:dyDescent="0.25">
      <c r="A1390" s="81" t="s">
        <v>242</v>
      </c>
      <c r="B1390" s="80" t="s">
        <v>1654</v>
      </c>
      <c r="C1390" s="87" t="s">
        <v>746</v>
      </c>
    </row>
    <row r="1391" spans="1:3" x14ac:dyDescent="0.25">
      <c r="A1391" s="81" t="s">
        <v>242</v>
      </c>
      <c r="B1391" s="80" t="s">
        <v>1645</v>
      </c>
      <c r="C1391" s="87" t="s">
        <v>746</v>
      </c>
    </row>
    <row r="1392" spans="1:3" x14ac:dyDescent="0.25">
      <c r="A1392" s="81" t="s">
        <v>242</v>
      </c>
      <c r="B1392" s="80" t="s">
        <v>1703</v>
      </c>
      <c r="C1392" s="87" t="s">
        <v>746</v>
      </c>
    </row>
    <row r="1393" spans="1:3" x14ac:dyDescent="0.25">
      <c r="A1393" s="81" t="s">
        <v>242</v>
      </c>
      <c r="B1393" s="80" t="s">
        <v>1724</v>
      </c>
      <c r="C1393" s="87" t="s">
        <v>746</v>
      </c>
    </row>
    <row r="1394" spans="1:3" x14ac:dyDescent="0.25">
      <c r="A1394" s="81" t="s">
        <v>242</v>
      </c>
      <c r="B1394" s="80" t="s">
        <v>470</v>
      </c>
      <c r="C1394" s="87" t="s">
        <v>746</v>
      </c>
    </row>
    <row r="1395" spans="1:3" x14ac:dyDescent="0.25">
      <c r="A1395" s="81" t="s">
        <v>242</v>
      </c>
      <c r="B1395" s="80" t="s">
        <v>1690</v>
      </c>
      <c r="C1395" s="87" t="s">
        <v>746</v>
      </c>
    </row>
    <row r="1396" spans="1:3" x14ac:dyDescent="0.25">
      <c r="A1396" s="81" t="s">
        <v>242</v>
      </c>
      <c r="B1396" s="80" t="s">
        <v>1704</v>
      </c>
      <c r="C1396" s="87" t="s">
        <v>746</v>
      </c>
    </row>
    <row r="1397" spans="1:3" x14ac:dyDescent="0.25">
      <c r="A1397" s="81" t="s">
        <v>242</v>
      </c>
      <c r="B1397" s="80" t="s">
        <v>1682</v>
      </c>
      <c r="C1397" s="87" t="s">
        <v>746</v>
      </c>
    </row>
    <row r="1398" spans="1:3" x14ac:dyDescent="0.25">
      <c r="A1398" s="81" t="s">
        <v>242</v>
      </c>
      <c r="B1398" s="80" t="s">
        <v>249</v>
      </c>
      <c r="C1398" s="87" t="s">
        <v>746</v>
      </c>
    </row>
    <row r="1399" spans="1:3" x14ac:dyDescent="0.25">
      <c r="A1399" s="81" t="s">
        <v>244</v>
      </c>
      <c r="B1399" s="80" t="s">
        <v>1756</v>
      </c>
      <c r="C1399" s="87" t="s">
        <v>748</v>
      </c>
    </row>
    <row r="1400" spans="1:3" x14ac:dyDescent="0.25">
      <c r="A1400" s="81" t="s">
        <v>244</v>
      </c>
      <c r="B1400" s="80" t="s">
        <v>268</v>
      </c>
      <c r="C1400" s="87" t="s">
        <v>748</v>
      </c>
    </row>
    <row r="1401" spans="1:3" x14ac:dyDescent="0.25">
      <c r="A1401" s="81" t="s">
        <v>244</v>
      </c>
      <c r="B1401" s="80" t="s">
        <v>309</v>
      </c>
      <c r="C1401" s="87" t="s">
        <v>748</v>
      </c>
    </row>
    <row r="1402" spans="1:3" x14ac:dyDescent="0.25">
      <c r="A1402" s="81" t="s">
        <v>244</v>
      </c>
      <c r="B1402" s="80" t="s">
        <v>1829</v>
      </c>
      <c r="C1402" s="87" t="s">
        <v>748</v>
      </c>
    </row>
    <row r="1403" spans="1:3" x14ac:dyDescent="0.25">
      <c r="A1403" s="81" t="s">
        <v>244</v>
      </c>
      <c r="B1403" s="80" t="s">
        <v>1902</v>
      </c>
      <c r="C1403" s="87" t="s">
        <v>748</v>
      </c>
    </row>
    <row r="1404" spans="1:3" x14ac:dyDescent="0.25">
      <c r="A1404" s="81" t="s">
        <v>244</v>
      </c>
      <c r="B1404" s="80" t="s">
        <v>1747</v>
      </c>
      <c r="C1404" s="87" t="s">
        <v>748</v>
      </c>
    </row>
    <row r="1405" spans="1:3" x14ac:dyDescent="0.25">
      <c r="A1405" s="81" t="s">
        <v>244</v>
      </c>
      <c r="B1405" s="80" t="s">
        <v>1665</v>
      </c>
      <c r="C1405" s="87" t="s">
        <v>748</v>
      </c>
    </row>
    <row r="1406" spans="1:3" x14ac:dyDescent="0.25">
      <c r="A1406" s="81" t="s">
        <v>244</v>
      </c>
      <c r="B1406" s="80" t="s">
        <v>1673</v>
      </c>
      <c r="C1406" s="87" t="s">
        <v>748</v>
      </c>
    </row>
    <row r="1407" spans="1:3" x14ac:dyDescent="0.25">
      <c r="A1407" s="81" t="s">
        <v>244</v>
      </c>
      <c r="B1407" s="80" t="s">
        <v>243</v>
      </c>
      <c r="C1407" s="87" t="s">
        <v>748</v>
      </c>
    </row>
    <row r="1408" spans="1:3" x14ac:dyDescent="0.25">
      <c r="A1408" s="81" t="s">
        <v>268</v>
      </c>
      <c r="B1408" s="80" t="s">
        <v>1849</v>
      </c>
      <c r="C1408" s="87" t="s">
        <v>783</v>
      </c>
    </row>
    <row r="1409" spans="1:3" x14ac:dyDescent="0.25">
      <c r="A1409" s="81" t="s">
        <v>268</v>
      </c>
      <c r="B1409" s="80" t="s">
        <v>1933</v>
      </c>
      <c r="C1409" s="87" t="s">
        <v>783</v>
      </c>
    </row>
    <row r="1410" spans="1:3" x14ac:dyDescent="0.25">
      <c r="A1410" s="81" t="s">
        <v>268</v>
      </c>
      <c r="B1410" s="80" t="s">
        <v>1767</v>
      </c>
      <c r="C1410" s="87" t="s">
        <v>783</v>
      </c>
    </row>
    <row r="1411" spans="1:3" x14ac:dyDescent="0.25">
      <c r="A1411" s="81" t="s">
        <v>268</v>
      </c>
      <c r="B1411" s="80" t="s">
        <v>1831</v>
      </c>
      <c r="C1411" s="87" t="s">
        <v>783</v>
      </c>
    </row>
    <row r="1412" spans="1:3" x14ac:dyDescent="0.25">
      <c r="A1412" s="81" t="s">
        <v>268</v>
      </c>
      <c r="B1412" s="80" t="s">
        <v>1850</v>
      </c>
      <c r="C1412" s="87" t="s">
        <v>783</v>
      </c>
    </row>
    <row r="1413" spans="1:3" x14ac:dyDescent="0.25">
      <c r="A1413" s="81" t="s">
        <v>268</v>
      </c>
      <c r="B1413" s="80" t="s">
        <v>1907</v>
      </c>
      <c r="C1413" s="87" t="s">
        <v>783</v>
      </c>
    </row>
    <row r="1414" spans="1:3" x14ac:dyDescent="0.25">
      <c r="A1414" s="81" t="s">
        <v>268</v>
      </c>
      <c r="B1414" s="80" t="s">
        <v>1674</v>
      </c>
      <c r="C1414" s="87" t="s">
        <v>783</v>
      </c>
    </row>
    <row r="1415" spans="1:3" x14ac:dyDescent="0.25">
      <c r="A1415" s="81" t="s">
        <v>268</v>
      </c>
      <c r="B1415" s="80" t="s">
        <v>1888</v>
      </c>
      <c r="C1415" s="87" t="s">
        <v>783</v>
      </c>
    </row>
    <row r="1416" spans="1:3" x14ac:dyDescent="0.25">
      <c r="A1416" s="81" t="s">
        <v>268</v>
      </c>
      <c r="B1416" s="80" t="s">
        <v>1666</v>
      </c>
      <c r="C1416" s="87" t="s">
        <v>783</v>
      </c>
    </row>
    <row r="1417" spans="1:3" x14ac:dyDescent="0.25">
      <c r="A1417" s="81" t="s">
        <v>268</v>
      </c>
      <c r="B1417" s="80" t="s">
        <v>1895</v>
      </c>
      <c r="C1417" s="87" t="s">
        <v>783</v>
      </c>
    </row>
    <row r="1418" spans="1:3" x14ac:dyDescent="0.25">
      <c r="A1418" s="81" t="s">
        <v>268</v>
      </c>
      <c r="B1418" s="80" t="s">
        <v>1712</v>
      </c>
      <c r="C1418" s="87" t="s">
        <v>783</v>
      </c>
    </row>
    <row r="1419" spans="1:3" x14ac:dyDescent="0.25">
      <c r="A1419" s="81" t="s">
        <v>268</v>
      </c>
      <c r="B1419" s="80" t="s">
        <v>267</v>
      </c>
      <c r="C1419" s="87" t="s">
        <v>783</v>
      </c>
    </row>
    <row r="1420" spans="1:3" x14ac:dyDescent="0.25">
      <c r="A1420" s="81" t="s">
        <v>268</v>
      </c>
      <c r="B1420" s="80" t="s">
        <v>1665</v>
      </c>
      <c r="C1420" s="87" t="s">
        <v>798</v>
      </c>
    </row>
    <row r="1421" spans="1:3" x14ac:dyDescent="0.25">
      <c r="A1421" s="81" t="s">
        <v>268</v>
      </c>
      <c r="B1421" s="80" t="s">
        <v>1826</v>
      </c>
      <c r="C1421" s="87" t="s">
        <v>798</v>
      </c>
    </row>
    <row r="1422" spans="1:3" x14ac:dyDescent="0.25">
      <c r="A1422" s="81" t="s">
        <v>268</v>
      </c>
      <c r="B1422" s="80" t="s">
        <v>1662</v>
      </c>
      <c r="C1422" s="87" t="s">
        <v>798</v>
      </c>
    </row>
    <row r="1423" spans="1:3" x14ac:dyDescent="0.25">
      <c r="A1423" s="81" t="s">
        <v>268</v>
      </c>
      <c r="B1423" s="80" t="s">
        <v>1823</v>
      </c>
      <c r="C1423" s="87" t="s">
        <v>798</v>
      </c>
    </row>
    <row r="1424" spans="1:3" x14ac:dyDescent="0.25">
      <c r="A1424" s="81" t="s">
        <v>268</v>
      </c>
      <c r="B1424" s="80" t="s">
        <v>1912</v>
      </c>
      <c r="C1424" s="87" t="s">
        <v>798</v>
      </c>
    </row>
    <row r="1425" spans="1:3" x14ac:dyDescent="0.25">
      <c r="A1425" s="81" t="s">
        <v>268</v>
      </c>
      <c r="B1425" s="80" t="s">
        <v>1792</v>
      </c>
      <c r="C1425" s="87" t="s">
        <v>798</v>
      </c>
    </row>
    <row r="1426" spans="1:3" x14ac:dyDescent="0.25">
      <c r="A1426" s="81" t="s">
        <v>268</v>
      </c>
      <c r="B1426" s="80">
        <v>2024</v>
      </c>
      <c r="C1426" s="87" t="s">
        <v>798</v>
      </c>
    </row>
    <row r="1427" spans="1:3" x14ac:dyDescent="0.25">
      <c r="A1427" s="81" t="s">
        <v>268</v>
      </c>
      <c r="B1427" s="80" t="s">
        <v>1853</v>
      </c>
      <c r="C1427" s="87" t="s">
        <v>798</v>
      </c>
    </row>
    <row r="1428" spans="1:3" x14ac:dyDescent="0.25">
      <c r="A1428" s="81" t="s">
        <v>268</v>
      </c>
      <c r="B1428" s="80" t="s">
        <v>1700</v>
      </c>
      <c r="C1428" s="87" t="s">
        <v>798</v>
      </c>
    </row>
    <row r="1429" spans="1:3" x14ac:dyDescent="0.25">
      <c r="A1429" s="81" t="s">
        <v>268</v>
      </c>
      <c r="B1429" s="80" t="s">
        <v>1890</v>
      </c>
      <c r="C1429" s="87" t="s">
        <v>798</v>
      </c>
    </row>
    <row r="1430" spans="1:3" x14ac:dyDescent="0.25">
      <c r="A1430" s="81" t="s">
        <v>268</v>
      </c>
      <c r="B1430" s="80" t="s">
        <v>1688</v>
      </c>
      <c r="C1430" s="87" t="s">
        <v>798</v>
      </c>
    </row>
    <row r="1431" spans="1:3" x14ac:dyDescent="0.25">
      <c r="A1431" s="81" t="s">
        <v>268</v>
      </c>
      <c r="B1431" s="80" t="s">
        <v>274</v>
      </c>
      <c r="C1431" s="87" t="s">
        <v>798</v>
      </c>
    </row>
    <row r="1432" spans="1:3" x14ac:dyDescent="0.25">
      <c r="A1432" s="81" t="s">
        <v>268</v>
      </c>
      <c r="B1432" s="80" t="s">
        <v>1991</v>
      </c>
      <c r="C1432" s="87" t="s">
        <v>824</v>
      </c>
    </row>
    <row r="1433" spans="1:3" x14ac:dyDescent="0.25">
      <c r="A1433" s="81" t="s">
        <v>268</v>
      </c>
      <c r="B1433" s="80" t="s">
        <v>1992</v>
      </c>
      <c r="C1433" s="87" t="s">
        <v>824</v>
      </c>
    </row>
    <row r="1434" spans="1:3" x14ac:dyDescent="0.25">
      <c r="A1434" s="81" t="s">
        <v>268</v>
      </c>
      <c r="B1434" s="80" t="s">
        <v>1993</v>
      </c>
      <c r="C1434" s="87" t="s">
        <v>824</v>
      </c>
    </row>
    <row r="1435" spans="1:3" x14ac:dyDescent="0.25">
      <c r="A1435" s="81" t="s">
        <v>268</v>
      </c>
      <c r="B1435" s="80" t="s">
        <v>1640</v>
      </c>
      <c r="C1435" s="87" t="s">
        <v>824</v>
      </c>
    </row>
    <row r="1436" spans="1:3" x14ac:dyDescent="0.25">
      <c r="A1436" s="81" t="s">
        <v>268</v>
      </c>
      <c r="B1436" s="80" t="s">
        <v>2213</v>
      </c>
      <c r="C1436" s="87" t="s">
        <v>824</v>
      </c>
    </row>
    <row r="1437" spans="1:3" x14ac:dyDescent="0.25">
      <c r="A1437" s="81" t="s">
        <v>268</v>
      </c>
      <c r="B1437" s="80" t="s">
        <v>2214</v>
      </c>
      <c r="C1437" s="87" t="s">
        <v>824</v>
      </c>
    </row>
    <row r="1438" spans="1:3" x14ac:dyDescent="0.25">
      <c r="A1438" s="81" t="s">
        <v>268</v>
      </c>
      <c r="B1438" s="80" t="s">
        <v>1913</v>
      </c>
      <c r="C1438" s="87" t="s">
        <v>824</v>
      </c>
    </row>
    <row r="1439" spans="1:3" x14ac:dyDescent="0.25">
      <c r="A1439" s="81" t="s">
        <v>268</v>
      </c>
      <c r="B1439" s="80" t="s">
        <v>2215</v>
      </c>
      <c r="C1439" s="87" t="s">
        <v>824</v>
      </c>
    </row>
    <row r="1440" spans="1:3" x14ac:dyDescent="0.25">
      <c r="A1440" s="81" t="s">
        <v>268</v>
      </c>
      <c r="B1440" s="80" t="s">
        <v>1680</v>
      </c>
      <c r="C1440" s="87" t="s">
        <v>824</v>
      </c>
    </row>
    <row r="1441" spans="1:3" x14ac:dyDescent="0.25">
      <c r="A1441" s="81" t="s">
        <v>268</v>
      </c>
      <c r="B1441" s="80" t="s">
        <v>336</v>
      </c>
      <c r="C1441" s="87" t="s">
        <v>824</v>
      </c>
    </row>
    <row r="1442" spans="1:3" x14ac:dyDescent="0.25">
      <c r="A1442" s="81" t="s">
        <v>268</v>
      </c>
      <c r="B1442" s="80" t="s">
        <v>2216</v>
      </c>
      <c r="C1442" s="87" t="s">
        <v>824</v>
      </c>
    </row>
    <row r="1443" spans="1:3" x14ac:dyDescent="0.25">
      <c r="A1443" s="81" t="s">
        <v>268</v>
      </c>
      <c r="B1443" s="80" t="s">
        <v>1659</v>
      </c>
      <c r="C1443" s="87" t="s">
        <v>824</v>
      </c>
    </row>
    <row r="1444" spans="1:3" x14ac:dyDescent="0.25">
      <c r="A1444" s="81" t="s">
        <v>268</v>
      </c>
      <c r="B1444" s="80" t="s">
        <v>1661</v>
      </c>
      <c r="C1444" s="87" t="s">
        <v>824</v>
      </c>
    </row>
    <row r="1445" spans="1:3" x14ac:dyDescent="0.25">
      <c r="A1445" s="81" t="s">
        <v>268</v>
      </c>
      <c r="B1445" s="80" t="s">
        <v>1676</v>
      </c>
      <c r="C1445" s="87" t="s">
        <v>824</v>
      </c>
    </row>
    <row r="1446" spans="1:3" x14ac:dyDescent="0.25">
      <c r="A1446" s="81" t="s">
        <v>268</v>
      </c>
      <c r="B1446" s="80" t="s">
        <v>1718</v>
      </c>
      <c r="C1446" s="87" t="s">
        <v>824</v>
      </c>
    </row>
    <row r="1447" spans="1:3" x14ac:dyDescent="0.25">
      <c r="A1447" s="81" t="s">
        <v>261</v>
      </c>
      <c r="B1447" s="80" t="s">
        <v>1812</v>
      </c>
      <c r="C1447" s="87" t="s">
        <v>772</v>
      </c>
    </row>
    <row r="1448" spans="1:3" x14ac:dyDescent="0.25">
      <c r="A1448" s="81" t="s">
        <v>261</v>
      </c>
      <c r="B1448" s="80" t="s">
        <v>2217</v>
      </c>
      <c r="C1448" s="87" t="s">
        <v>772</v>
      </c>
    </row>
    <row r="1449" spans="1:3" x14ac:dyDescent="0.25">
      <c r="A1449" s="81" t="s">
        <v>261</v>
      </c>
      <c r="B1449" s="80" t="s">
        <v>1895</v>
      </c>
      <c r="C1449" s="87" t="s">
        <v>772</v>
      </c>
    </row>
    <row r="1450" spans="1:3" x14ac:dyDescent="0.25">
      <c r="A1450" s="81" t="s">
        <v>261</v>
      </c>
      <c r="B1450" s="80" t="s">
        <v>1665</v>
      </c>
      <c r="C1450" s="87" t="s">
        <v>772</v>
      </c>
    </row>
    <row r="1451" spans="1:3" x14ac:dyDescent="0.25">
      <c r="A1451" s="81" t="s">
        <v>261</v>
      </c>
      <c r="B1451" s="80" t="s">
        <v>2218</v>
      </c>
      <c r="C1451" s="87" t="s">
        <v>772</v>
      </c>
    </row>
    <row r="1452" spans="1:3" x14ac:dyDescent="0.25">
      <c r="A1452" s="81" t="s">
        <v>261</v>
      </c>
      <c r="B1452" s="80" t="s">
        <v>1660</v>
      </c>
      <c r="C1452" s="87" t="s">
        <v>772</v>
      </c>
    </row>
    <row r="1453" spans="1:3" x14ac:dyDescent="0.25">
      <c r="A1453" s="81" t="s">
        <v>261</v>
      </c>
      <c r="B1453" s="80">
        <v>2023</v>
      </c>
      <c r="C1453" s="87" t="s">
        <v>772</v>
      </c>
    </row>
    <row r="1454" spans="1:3" x14ac:dyDescent="0.25">
      <c r="A1454" s="81" t="s">
        <v>261</v>
      </c>
      <c r="B1454" s="80" t="s">
        <v>1794</v>
      </c>
      <c r="C1454" s="87" t="s">
        <v>772</v>
      </c>
    </row>
    <row r="1455" spans="1:3" x14ac:dyDescent="0.25">
      <c r="A1455" s="81" t="s">
        <v>261</v>
      </c>
      <c r="B1455" s="80" t="s">
        <v>1649</v>
      </c>
      <c r="C1455" s="87" t="s">
        <v>772</v>
      </c>
    </row>
    <row r="1456" spans="1:3" x14ac:dyDescent="0.25">
      <c r="A1456" s="81" t="s">
        <v>261</v>
      </c>
      <c r="B1456" s="80" t="s">
        <v>2219</v>
      </c>
      <c r="C1456" s="87" t="s">
        <v>772</v>
      </c>
    </row>
    <row r="1457" spans="1:3" x14ac:dyDescent="0.25">
      <c r="A1457" s="81" t="s">
        <v>261</v>
      </c>
      <c r="B1457" s="80" t="s">
        <v>2220</v>
      </c>
      <c r="C1457" s="87" t="s">
        <v>772</v>
      </c>
    </row>
    <row r="1458" spans="1:3" x14ac:dyDescent="0.25">
      <c r="A1458" s="81" t="s">
        <v>261</v>
      </c>
      <c r="B1458" s="80" t="s">
        <v>2221</v>
      </c>
      <c r="C1458" s="87" t="s">
        <v>772</v>
      </c>
    </row>
    <row r="1459" spans="1:3" x14ac:dyDescent="0.25">
      <c r="A1459" s="81" t="s">
        <v>261</v>
      </c>
      <c r="B1459" s="80" t="s">
        <v>2222</v>
      </c>
      <c r="C1459" s="87" t="s">
        <v>772</v>
      </c>
    </row>
    <row r="1460" spans="1:3" x14ac:dyDescent="0.25">
      <c r="A1460" s="81" t="s">
        <v>261</v>
      </c>
      <c r="B1460" s="80" t="s">
        <v>1822</v>
      </c>
      <c r="C1460" s="87" t="s">
        <v>772</v>
      </c>
    </row>
    <row r="1461" spans="1:3" x14ac:dyDescent="0.25">
      <c r="A1461" s="81" t="s">
        <v>261</v>
      </c>
      <c r="B1461" s="80" t="s">
        <v>2223</v>
      </c>
      <c r="C1461" s="87" t="s">
        <v>772</v>
      </c>
    </row>
    <row r="1462" spans="1:3" x14ac:dyDescent="0.25">
      <c r="A1462" s="81" t="s">
        <v>261</v>
      </c>
      <c r="B1462" s="80" t="s">
        <v>2224</v>
      </c>
      <c r="C1462" s="87" t="s">
        <v>772</v>
      </c>
    </row>
    <row r="1463" spans="1:3" x14ac:dyDescent="0.25">
      <c r="A1463" s="81" t="s">
        <v>261</v>
      </c>
      <c r="B1463" s="80" t="s">
        <v>1749</v>
      </c>
      <c r="C1463" s="87" t="s">
        <v>772</v>
      </c>
    </row>
    <row r="1464" spans="1:3" x14ac:dyDescent="0.25">
      <c r="A1464" s="81" t="s">
        <v>261</v>
      </c>
      <c r="B1464" s="80" t="s">
        <v>1685</v>
      </c>
      <c r="C1464" s="87" t="s">
        <v>772</v>
      </c>
    </row>
    <row r="1465" spans="1:3" x14ac:dyDescent="0.25">
      <c r="A1465" s="81" t="s">
        <v>261</v>
      </c>
      <c r="B1465" s="80" t="s">
        <v>1667</v>
      </c>
      <c r="C1465" s="87" t="s">
        <v>772</v>
      </c>
    </row>
    <row r="1466" spans="1:3" x14ac:dyDescent="0.25">
      <c r="A1466" s="81" t="s">
        <v>282</v>
      </c>
      <c r="B1466" s="80" t="s">
        <v>1944</v>
      </c>
      <c r="C1466" s="87" t="s">
        <v>827</v>
      </c>
    </row>
    <row r="1467" spans="1:3" x14ac:dyDescent="0.25">
      <c r="A1467" s="81" t="s">
        <v>282</v>
      </c>
      <c r="B1467" s="80" t="s">
        <v>1641</v>
      </c>
      <c r="C1467" s="87" t="s">
        <v>827</v>
      </c>
    </row>
    <row r="1468" spans="1:3" x14ac:dyDescent="0.25">
      <c r="A1468" s="81" t="s">
        <v>282</v>
      </c>
      <c r="B1468" s="80" t="s">
        <v>1779</v>
      </c>
      <c r="C1468" s="87" t="s">
        <v>827</v>
      </c>
    </row>
    <row r="1469" spans="1:3" x14ac:dyDescent="0.25">
      <c r="A1469" s="81" t="s">
        <v>282</v>
      </c>
      <c r="B1469" s="80" t="s">
        <v>1786</v>
      </c>
      <c r="C1469" s="87" t="s">
        <v>827</v>
      </c>
    </row>
    <row r="1470" spans="1:3" x14ac:dyDescent="0.25">
      <c r="A1470" s="81" t="s">
        <v>282</v>
      </c>
      <c r="B1470" s="80" t="s">
        <v>1671</v>
      </c>
      <c r="C1470" s="87" t="s">
        <v>827</v>
      </c>
    </row>
    <row r="1471" spans="1:3" x14ac:dyDescent="0.25">
      <c r="A1471" s="81" t="s">
        <v>282</v>
      </c>
      <c r="B1471" s="80" t="s">
        <v>1700</v>
      </c>
      <c r="C1471" s="87" t="s">
        <v>827</v>
      </c>
    </row>
    <row r="1472" spans="1:3" x14ac:dyDescent="0.25">
      <c r="A1472" s="81" t="s">
        <v>282</v>
      </c>
      <c r="B1472" s="80" t="s">
        <v>1750</v>
      </c>
      <c r="C1472" s="87" t="s">
        <v>827</v>
      </c>
    </row>
    <row r="1473" spans="1:3" x14ac:dyDescent="0.25">
      <c r="A1473" s="81" t="s">
        <v>282</v>
      </c>
      <c r="B1473" s="80" t="s">
        <v>1646</v>
      </c>
      <c r="C1473" s="87" t="s">
        <v>827</v>
      </c>
    </row>
    <row r="1474" spans="1:3" x14ac:dyDescent="0.25">
      <c r="A1474" s="81" t="s">
        <v>282</v>
      </c>
      <c r="B1474" s="80" t="s">
        <v>1649</v>
      </c>
      <c r="C1474" s="87" t="s">
        <v>827</v>
      </c>
    </row>
    <row r="1475" spans="1:3" x14ac:dyDescent="0.25">
      <c r="A1475" s="81" t="s">
        <v>282</v>
      </c>
      <c r="B1475" s="80" t="s">
        <v>1663</v>
      </c>
      <c r="C1475" s="87" t="s">
        <v>827</v>
      </c>
    </row>
    <row r="1476" spans="1:3" x14ac:dyDescent="0.25">
      <c r="A1476" s="81" t="s">
        <v>282</v>
      </c>
      <c r="B1476" s="80" t="s">
        <v>268</v>
      </c>
      <c r="C1476" s="87" t="s">
        <v>827</v>
      </c>
    </row>
    <row r="1477" spans="1:3" x14ac:dyDescent="0.25">
      <c r="A1477" s="81" t="s">
        <v>296</v>
      </c>
      <c r="B1477" s="80" t="s">
        <v>338</v>
      </c>
      <c r="C1477" s="87" t="s">
        <v>851</v>
      </c>
    </row>
    <row r="1478" spans="1:3" x14ac:dyDescent="0.25">
      <c r="A1478" s="81" t="s">
        <v>296</v>
      </c>
      <c r="B1478" s="80" t="s">
        <v>1892</v>
      </c>
      <c r="C1478" s="87" t="s">
        <v>851</v>
      </c>
    </row>
    <row r="1479" spans="1:3" x14ac:dyDescent="0.25">
      <c r="A1479" s="81" t="s">
        <v>296</v>
      </c>
      <c r="B1479" s="80" t="s">
        <v>1761</v>
      </c>
      <c r="C1479" s="87" t="s">
        <v>851</v>
      </c>
    </row>
    <row r="1480" spans="1:3" x14ac:dyDescent="0.25">
      <c r="A1480" s="81" t="s">
        <v>296</v>
      </c>
      <c r="B1480" s="80" t="s">
        <v>1784</v>
      </c>
      <c r="C1480" s="87" t="s">
        <v>851</v>
      </c>
    </row>
    <row r="1481" spans="1:3" x14ac:dyDescent="0.25">
      <c r="A1481" s="81" t="s">
        <v>296</v>
      </c>
      <c r="B1481" s="80" t="s">
        <v>1868</v>
      </c>
      <c r="C1481" s="87" t="s">
        <v>851</v>
      </c>
    </row>
    <row r="1482" spans="1:3" x14ac:dyDescent="0.25">
      <c r="A1482" s="81" t="s">
        <v>296</v>
      </c>
      <c r="B1482" s="80" t="s">
        <v>1824</v>
      </c>
      <c r="C1482" s="87" t="s">
        <v>851</v>
      </c>
    </row>
    <row r="1483" spans="1:3" x14ac:dyDescent="0.25">
      <c r="A1483" s="81" t="s">
        <v>296</v>
      </c>
      <c r="B1483" s="80" t="s">
        <v>1689</v>
      </c>
      <c r="C1483" s="87" t="s">
        <v>851</v>
      </c>
    </row>
    <row r="1484" spans="1:3" x14ac:dyDescent="0.25">
      <c r="A1484" s="81" t="s">
        <v>296</v>
      </c>
      <c r="B1484" s="80" t="s">
        <v>1906</v>
      </c>
      <c r="C1484" s="87" t="s">
        <v>851</v>
      </c>
    </row>
    <row r="1485" spans="1:3" x14ac:dyDescent="0.25">
      <c r="A1485" s="81" t="s">
        <v>296</v>
      </c>
      <c r="B1485" s="80" t="s">
        <v>284</v>
      </c>
      <c r="C1485" s="87" t="s">
        <v>851</v>
      </c>
    </row>
    <row r="1486" spans="1:3" x14ac:dyDescent="0.25">
      <c r="A1486" s="81" t="s">
        <v>291</v>
      </c>
      <c r="B1486" s="80" t="s">
        <v>1713</v>
      </c>
      <c r="C1486" s="87" t="s">
        <v>842</v>
      </c>
    </row>
    <row r="1487" spans="1:3" x14ac:dyDescent="0.25">
      <c r="A1487" s="81" t="s">
        <v>291</v>
      </c>
      <c r="B1487" s="80" t="s">
        <v>1670</v>
      </c>
      <c r="C1487" s="87" t="s">
        <v>842</v>
      </c>
    </row>
    <row r="1488" spans="1:3" x14ac:dyDescent="0.25">
      <c r="A1488" s="81" t="s">
        <v>291</v>
      </c>
      <c r="B1488" s="80" t="s">
        <v>312</v>
      </c>
      <c r="C1488" s="87" t="s">
        <v>842</v>
      </c>
    </row>
    <row r="1489" spans="1:3" x14ac:dyDescent="0.25">
      <c r="A1489" s="81" t="s">
        <v>291</v>
      </c>
      <c r="B1489" s="80" t="s">
        <v>1694</v>
      </c>
      <c r="C1489" s="87" t="s">
        <v>842</v>
      </c>
    </row>
    <row r="1490" spans="1:3" x14ac:dyDescent="0.25">
      <c r="A1490" s="81" t="s">
        <v>291</v>
      </c>
      <c r="B1490" s="80" t="s">
        <v>1652</v>
      </c>
      <c r="C1490" s="87" t="s">
        <v>842</v>
      </c>
    </row>
    <row r="1491" spans="1:3" x14ac:dyDescent="0.25">
      <c r="A1491" s="81" t="s">
        <v>291</v>
      </c>
      <c r="B1491" s="80" t="s">
        <v>1675</v>
      </c>
      <c r="C1491" s="87" t="s">
        <v>842</v>
      </c>
    </row>
    <row r="1492" spans="1:3" x14ac:dyDescent="0.25">
      <c r="A1492" s="81" t="s">
        <v>291</v>
      </c>
      <c r="B1492" s="80" t="s">
        <v>1687</v>
      </c>
      <c r="C1492" s="87" t="s">
        <v>842</v>
      </c>
    </row>
    <row r="1493" spans="1:3" x14ac:dyDescent="0.25">
      <c r="A1493" s="81" t="s">
        <v>291</v>
      </c>
      <c r="B1493" s="80" t="s">
        <v>1642</v>
      </c>
      <c r="C1493" s="87" t="s">
        <v>842</v>
      </c>
    </row>
    <row r="1494" spans="1:3" x14ac:dyDescent="0.25">
      <c r="A1494" s="81" t="s">
        <v>291</v>
      </c>
      <c r="B1494" s="80" t="s">
        <v>1643</v>
      </c>
      <c r="C1494" s="87" t="s">
        <v>842</v>
      </c>
    </row>
    <row r="1495" spans="1:3" x14ac:dyDescent="0.25">
      <c r="A1495" s="81" t="s">
        <v>291</v>
      </c>
      <c r="B1495" s="80" t="s">
        <v>252</v>
      </c>
      <c r="C1495" s="87" t="s">
        <v>842</v>
      </c>
    </row>
    <row r="1496" spans="1:3" x14ac:dyDescent="0.25">
      <c r="A1496" s="81" t="s">
        <v>250</v>
      </c>
      <c r="B1496" s="80" t="s">
        <v>1741</v>
      </c>
      <c r="C1496" s="87" t="s">
        <v>755</v>
      </c>
    </row>
    <row r="1497" spans="1:3" x14ac:dyDescent="0.25">
      <c r="A1497" s="81" t="s">
        <v>250</v>
      </c>
      <c r="B1497" s="80" t="s">
        <v>1701</v>
      </c>
      <c r="C1497" s="87" t="s">
        <v>755</v>
      </c>
    </row>
    <row r="1498" spans="1:3" x14ac:dyDescent="0.25">
      <c r="A1498" s="81" t="s">
        <v>250</v>
      </c>
      <c r="B1498" s="80">
        <v>2025</v>
      </c>
      <c r="C1498" s="87" t="s">
        <v>755</v>
      </c>
    </row>
    <row r="1499" spans="1:3" x14ac:dyDescent="0.25">
      <c r="A1499" s="81" t="s">
        <v>250</v>
      </c>
      <c r="B1499" s="80" t="s">
        <v>1711</v>
      </c>
      <c r="C1499" s="87" t="s">
        <v>755</v>
      </c>
    </row>
    <row r="1500" spans="1:3" x14ac:dyDescent="0.25">
      <c r="A1500" s="81" t="s">
        <v>250</v>
      </c>
      <c r="B1500" s="80" t="s">
        <v>1640</v>
      </c>
      <c r="C1500" s="87" t="s">
        <v>755</v>
      </c>
    </row>
    <row r="1501" spans="1:3" x14ac:dyDescent="0.25">
      <c r="A1501" s="81" t="s">
        <v>250</v>
      </c>
      <c r="B1501" s="80" t="s">
        <v>1710</v>
      </c>
      <c r="C1501" s="87" t="s">
        <v>755</v>
      </c>
    </row>
    <row r="1502" spans="1:3" x14ac:dyDescent="0.25">
      <c r="A1502" s="81" t="s">
        <v>250</v>
      </c>
      <c r="B1502" s="80" t="s">
        <v>1715</v>
      </c>
      <c r="C1502" s="87" t="s">
        <v>755</v>
      </c>
    </row>
    <row r="1503" spans="1:3" x14ac:dyDescent="0.25">
      <c r="A1503" s="81" t="s">
        <v>250</v>
      </c>
      <c r="B1503" s="80" t="s">
        <v>1655</v>
      </c>
      <c r="C1503" s="87" t="s">
        <v>755</v>
      </c>
    </row>
    <row r="1504" spans="1:3" x14ac:dyDescent="0.25">
      <c r="A1504" s="81" t="s">
        <v>250</v>
      </c>
      <c r="B1504" s="80" t="s">
        <v>1714</v>
      </c>
      <c r="C1504" s="87" t="s">
        <v>755</v>
      </c>
    </row>
    <row r="1505" spans="1:3" x14ac:dyDescent="0.25">
      <c r="A1505" s="81" t="s">
        <v>250</v>
      </c>
      <c r="B1505" s="80" t="s">
        <v>1721</v>
      </c>
      <c r="C1505" s="87" t="s">
        <v>755</v>
      </c>
    </row>
    <row r="1506" spans="1:3" x14ac:dyDescent="0.25">
      <c r="A1506" s="81" t="s">
        <v>250</v>
      </c>
      <c r="B1506" s="80">
        <v>2024</v>
      </c>
      <c r="C1506" s="87" t="s">
        <v>755</v>
      </c>
    </row>
    <row r="1507" spans="1:3" x14ac:dyDescent="0.25">
      <c r="A1507" s="81" t="s">
        <v>250</v>
      </c>
      <c r="B1507" s="80" t="s">
        <v>1698</v>
      </c>
      <c r="C1507" s="87" t="s">
        <v>755</v>
      </c>
    </row>
    <row r="1508" spans="1:3" x14ac:dyDescent="0.25">
      <c r="A1508" s="81" t="s">
        <v>250</v>
      </c>
      <c r="B1508" s="80" t="s">
        <v>1647</v>
      </c>
      <c r="C1508" s="87" t="s">
        <v>755</v>
      </c>
    </row>
    <row r="1509" spans="1:3" x14ac:dyDescent="0.25">
      <c r="A1509" s="81" t="s">
        <v>250</v>
      </c>
      <c r="B1509" s="80" t="s">
        <v>306</v>
      </c>
      <c r="C1509" s="87" t="s">
        <v>755</v>
      </c>
    </row>
    <row r="1510" spans="1:3" x14ac:dyDescent="0.25">
      <c r="A1510" s="81" t="s">
        <v>268</v>
      </c>
      <c r="B1510" s="80" t="s">
        <v>1723</v>
      </c>
      <c r="C1510" s="87" t="s">
        <v>863</v>
      </c>
    </row>
    <row r="1511" spans="1:3" x14ac:dyDescent="0.25">
      <c r="A1511" s="81" t="s">
        <v>268</v>
      </c>
      <c r="B1511" s="80" t="s">
        <v>1692</v>
      </c>
      <c r="C1511" s="87" t="s">
        <v>863</v>
      </c>
    </row>
    <row r="1512" spans="1:3" x14ac:dyDescent="0.25">
      <c r="A1512" s="81" t="s">
        <v>268</v>
      </c>
      <c r="B1512" s="80" t="s">
        <v>1930</v>
      </c>
      <c r="C1512" s="87" t="s">
        <v>863</v>
      </c>
    </row>
    <row r="1513" spans="1:3" x14ac:dyDescent="0.25">
      <c r="A1513" s="81" t="s">
        <v>268</v>
      </c>
      <c r="B1513" s="80" t="s">
        <v>1769</v>
      </c>
      <c r="C1513" s="87" t="s">
        <v>863</v>
      </c>
    </row>
    <row r="1514" spans="1:3" x14ac:dyDescent="0.25">
      <c r="A1514" s="81" t="s">
        <v>268</v>
      </c>
      <c r="B1514" s="80" t="s">
        <v>1916</v>
      </c>
      <c r="C1514" s="87" t="s">
        <v>863</v>
      </c>
    </row>
    <row r="1515" spans="1:3" x14ac:dyDescent="0.25">
      <c r="A1515" s="81" t="s">
        <v>268</v>
      </c>
      <c r="B1515" s="80" t="s">
        <v>1659</v>
      </c>
      <c r="C1515" s="87" t="s">
        <v>863</v>
      </c>
    </row>
    <row r="1516" spans="1:3" x14ac:dyDescent="0.25">
      <c r="A1516" s="81" t="s">
        <v>268</v>
      </c>
      <c r="B1516" s="80" t="s">
        <v>1936</v>
      </c>
      <c r="C1516" s="87" t="s">
        <v>863</v>
      </c>
    </row>
    <row r="1517" spans="1:3" x14ac:dyDescent="0.25">
      <c r="A1517" s="81" t="s">
        <v>268</v>
      </c>
      <c r="B1517" s="80" t="s">
        <v>1896</v>
      </c>
      <c r="C1517" s="87" t="s">
        <v>863</v>
      </c>
    </row>
    <row r="1518" spans="1:3" x14ac:dyDescent="0.25">
      <c r="A1518" s="81" t="s">
        <v>268</v>
      </c>
      <c r="B1518" s="80" t="s">
        <v>1795</v>
      </c>
      <c r="C1518" s="87" t="s">
        <v>863</v>
      </c>
    </row>
    <row r="1519" spans="1:3" x14ac:dyDescent="0.25">
      <c r="A1519" s="81" t="s">
        <v>268</v>
      </c>
      <c r="B1519" s="80" t="s">
        <v>1814</v>
      </c>
      <c r="C1519" s="87" t="s">
        <v>863</v>
      </c>
    </row>
    <row r="1520" spans="1:3" x14ac:dyDescent="0.25">
      <c r="A1520" s="81" t="s">
        <v>268</v>
      </c>
      <c r="B1520" s="80" t="s">
        <v>1811</v>
      </c>
      <c r="C1520" s="87" t="s">
        <v>863</v>
      </c>
    </row>
    <row r="1521" spans="1:3" x14ac:dyDescent="0.25">
      <c r="A1521" s="81" t="s">
        <v>268</v>
      </c>
      <c r="B1521" s="80" t="s">
        <v>1657</v>
      </c>
      <c r="C1521" s="87" t="s">
        <v>863</v>
      </c>
    </row>
    <row r="1522" spans="1:3" x14ac:dyDescent="0.25">
      <c r="A1522" s="81" t="s">
        <v>268</v>
      </c>
      <c r="B1522" s="80" t="s">
        <v>268</v>
      </c>
      <c r="C1522" s="87" t="s">
        <v>863</v>
      </c>
    </row>
    <row r="1523" spans="1:3" x14ac:dyDescent="0.25">
      <c r="A1523" s="81" t="s">
        <v>276</v>
      </c>
      <c r="B1523" s="80" t="s">
        <v>2225</v>
      </c>
      <c r="C1523" s="87" t="s">
        <v>813</v>
      </c>
    </row>
    <row r="1524" spans="1:3" x14ac:dyDescent="0.25">
      <c r="A1524" s="81" t="s">
        <v>276</v>
      </c>
      <c r="B1524" s="80" t="s">
        <v>1898</v>
      </c>
      <c r="C1524" s="87" t="s">
        <v>813</v>
      </c>
    </row>
    <row r="1525" spans="1:3" x14ac:dyDescent="0.25">
      <c r="A1525" s="81" t="s">
        <v>276</v>
      </c>
      <c r="B1525" s="80" t="s">
        <v>1845</v>
      </c>
      <c r="C1525" s="87" t="s">
        <v>813</v>
      </c>
    </row>
    <row r="1526" spans="1:3" x14ac:dyDescent="0.25">
      <c r="A1526" s="81" t="s">
        <v>276</v>
      </c>
      <c r="B1526" s="80" t="s">
        <v>1941</v>
      </c>
      <c r="C1526" s="87" t="s">
        <v>813</v>
      </c>
    </row>
    <row r="1527" spans="1:3" x14ac:dyDescent="0.25">
      <c r="A1527" s="81" t="s">
        <v>276</v>
      </c>
      <c r="B1527" s="80" t="s">
        <v>1878</v>
      </c>
      <c r="C1527" s="87" t="s">
        <v>813</v>
      </c>
    </row>
    <row r="1528" spans="1:3" x14ac:dyDescent="0.25">
      <c r="A1528" s="81" t="s">
        <v>276</v>
      </c>
      <c r="B1528" s="80" t="s">
        <v>1857</v>
      </c>
      <c r="C1528" s="87" t="s">
        <v>813</v>
      </c>
    </row>
    <row r="1529" spans="1:3" x14ac:dyDescent="0.25">
      <c r="A1529" s="81" t="s">
        <v>276</v>
      </c>
      <c r="B1529" s="80" t="s">
        <v>1885</v>
      </c>
      <c r="C1529" s="87" t="s">
        <v>813</v>
      </c>
    </row>
    <row r="1530" spans="1:3" x14ac:dyDescent="0.25">
      <c r="A1530" s="81" t="s">
        <v>276</v>
      </c>
      <c r="B1530" s="80" t="s">
        <v>1833</v>
      </c>
      <c r="C1530" s="87" t="s">
        <v>813</v>
      </c>
    </row>
    <row r="1531" spans="1:3" x14ac:dyDescent="0.25">
      <c r="A1531" s="81" t="s">
        <v>276</v>
      </c>
      <c r="B1531" s="80" t="s">
        <v>1922</v>
      </c>
      <c r="C1531" s="87" t="s">
        <v>813</v>
      </c>
    </row>
    <row r="1532" spans="1:3" x14ac:dyDescent="0.25">
      <c r="A1532" s="81" t="s">
        <v>276</v>
      </c>
      <c r="B1532" s="80" t="s">
        <v>1644</v>
      </c>
      <c r="C1532" s="87" t="s">
        <v>813</v>
      </c>
    </row>
    <row r="1533" spans="1:3" x14ac:dyDescent="0.25">
      <c r="A1533" s="81" t="s">
        <v>276</v>
      </c>
      <c r="B1533" s="80" t="s">
        <v>1946</v>
      </c>
      <c r="C1533" s="87" t="s">
        <v>813</v>
      </c>
    </row>
    <row r="1534" spans="1:3" x14ac:dyDescent="0.25">
      <c r="A1534" s="81" t="s">
        <v>276</v>
      </c>
      <c r="B1534" s="80" t="s">
        <v>1820</v>
      </c>
      <c r="C1534" s="87" t="s">
        <v>813</v>
      </c>
    </row>
    <row r="1535" spans="1:3" x14ac:dyDescent="0.25">
      <c r="A1535" s="81" t="s">
        <v>276</v>
      </c>
      <c r="B1535" s="80" t="s">
        <v>288</v>
      </c>
      <c r="C1535" s="87" t="s">
        <v>813</v>
      </c>
    </row>
    <row r="1536" spans="1:3" x14ac:dyDescent="0.25">
      <c r="A1536" s="81" t="s">
        <v>264</v>
      </c>
      <c r="B1536" s="80" t="s">
        <v>1741</v>
      </c>
      <c r="C1536" s="87" t="s">
        <v>777</v>
      </c>
    </row>
    <row r="1537" spans="1:3" x14ac:dyDescent="0.25">
      <c r="A1537" s="81" t="s">
        <v>264</v>
      </c>
      <c r="B1537" s="80" t="s">
        <v>1701</v>
      </c>
      <c r="C1537" s="87" t="s">
        <v>777</v>
      </c>
    </row>
    <row r="1538" spans="1:3" x14ac:dyDescent="0.25">
      <c r="A1538" s="81" t="s">
        <v>264</v>
      </c>
      <c r="B1538" s="80">
        <v>2025</v>
      </c>
      <c r="C1538" s="87" t="s">
        <v>777</v>
      </c>
    </row>
    <row r="1539" spans="1:3" x14ac:dyDescent="0.25">
      <c r="A1539" s="81" t="s">
        <v>264</v>
      </c>
      <c r="B1539" s="80" t="s">
        <v>1711</v>
      </c>
      <c r="C1539" s="87" t="s">
        <v>777</v>
      </c>
    </row>
    <row r="1540" spans="1:3" x14ac:dyDescent="0.25">
      <c r="A1540" s="81" t="s">
        <v>264</v>
      </c>
      <c r="B1540" s="80" t="s">
        <v>1640</v>
      </c>
      <c r="C1540" s="87" t="s">
        <v>777</v>
      </c>
    </row>
    <row r="1541" spans="1:3" x14ac:dyDescent="0.25">
      <c r="A1541" s="81" t="s">
        <v>264</v>
      </c>
      <c r="B1541" s="80" t="s">
        <v>1710</v>
      </c>
      <c r="C1541" s="87" t="s">
        <v>777</v>
      </c>
    </row>
    <row r="1542" spans="1:3" x14ac:dyDescent="0.25">
      <c r="A1542" s="81" t="s">
        <v>264</v>
      </c>
      <c r="B1542" s="80" t="s">
        <v>1715</v>
      </c>
      <c r="C1542" s="87" t="s">
        <v>777</v>
      </c>
    </row>
    <row r="1543" spans="1:3" x14ac:dyDescent="0.25">
      <c r="A1543" s="81" t="s">
        <v>264</v>
      </c>
      <c r="B1543" s="80" t="s">
        <v>1655</v>
      </c>
      <c r="C1543" s="87" t="s">
        <v>777</v>
      </c>
    </row>
    <row r="1544" spans="1:3" x14ac:dyDescent="0.25">
      <c r="A1544" s="81" t="s">
        <v>264</v>
      </c>
      <c r="B1544" s="80" t="s">
        <v>1714</v>
      </c>
      <c r="C1544" s="87" t="s">
        <v>777</v>
      </c>
    </row>
    <row r="1545" spans="1:3" x14ac:dyDescent="0.25">
      <c r="A1545" s="81" t="s">
        <v>264</v>
      </c>
      <c r="B1545" s="80" t="s">
        <v>1721</v>
      </c>
      <c r="C1545" s="87" t="s">
        <v>777</v>
      </c>
    </row>
    <row r="1546" spans="1:3" x14ac:dyDescent="0.25">
      <c r="A1546" s="81" t="s">
        <v>264</v>
      </c>
      <c r="B1546" s="80">
        <v>2024</v>
      </c>
      <c r="C1546" s="87" t="s">
        <v>777</v>
      </c>
    </row>
    <row r="1547" spans="1:3" x14ac:dyDescent="0.25">
      <c r="A1547" s="81" t="s">
        <v>264</v>
      </c>
      <c r="B1547" s="80" t="s">
        <v>1698</v>
      </c>
      <c r="C1547" s="87" t="s">
        <v>777</v>
      </c>
    </row>
    <row r="1548" spans="1:3" x14ac:dyDescent="0.25">
      <c r="A1548" s="81" t="s">
        <v>264</v>
      </c>
      <c r="B1548" s="80" t="s">
        <v>1647</v>
      </c>
      <c r="C1548" s="87" t="s">
        <v>777</v>
      </c>
    </row>
    <row r="1549" spans="1:3" x14ac:dyDescent="0.25">
      <c r="A1549" s="81" t="s">
        <v>264</v>
      </c>
      <c r="B1549" s="80" t="s">
        <v>306</v>
      </c>
      <c r="C1549" s="87" t="s">
        <v>777</v>
      </c>
    </row>
    <row r="1550" spans="1:3" x14ac:dyDescent="0.25">
      <c r="A1550" s="81" t="s">
        <v>269</v>
      </c>
      <c r="B1550" s="80" t="s">
        <v>268</v>
      </c>
      <c r="C1550" s="87" t="s">
        <v>789</v>
      </c>
    </row>
    <row r="1551" spans="1:3" x14ac:dyDescent="0.25">
      <c r="A1551" s="81" t="s">
        <v>269</v>
      </c>
      <c r="B1551" s="80" t="s">
        <v>1673</v>
      </c>
      <c r="C1551" s="87" t="s">
        <v>789</v>
      </c>
    </row>
    <row r="1552" spans="1:3" x14ac:dyDescent="0.25">
      <c r="A1552" s="81" t="s">
        <v>269</v>
      </c>
      <c r="B1552" s="80" t="s">
        <v>1909</v>
      </c>
      <c r="C1552" s="87" t="s">
        <v>789</v>
      </c>
    </row>
    <row r="1553" spans="1:3" x14ac:dyDescent="0.25">
      <c r="A1553" s="81" t="s">
        <v>269</v>
      </c>
      <c r="B1553" s="80" t="s">
        <v>1851</v>
      </c>
      <c r="C1553" s="87" t="s">
        <v>789</v>
      </c>
    </row>
    <row r="1554" spans="1:3" x14ac:dyDescent="0.25">
      <c r="A1554" s="81" t="s">
        <v>269</v>
      </c>
      <c r="B1554" s="80" t="s">
        <v>1847</v>
      </c>
      <c r="C1554" s="87" t="s">
        <v>789</v>
      </c>
    </row>
    <row r="1555" spans="1:3" x14ac:dyDescent="0.25">
      <c r="A1555" s="81" t="s">
        <v>269</v>
      </c>
      <c r="B1555" s="80" t="s">
        <v>1640</v>
      </c>
      <c r="C1555" s="87" t="s">
        <v>789</v>
      </c>
    </row>
    <row r="1556" spans="1:3" x14ac:dyDescent="0.25">
      <c r="A1556" s="81" t="s">
        <v>269</v>
      </c>
      <c r="B1556" s="80" t="s">
        <v>1862</v>
      </c>
      <c r="C1556" s="87" t="s">
        <v>789</v>
      </c>
    </row>
    <row r="1557" spans="1:3" x14ac:dyDescent="0.25">
      <c r="A1557" s="81" t="s">
        <v>269</v>
      </c>
      <c r="B1557" s="80" t="s">
        <v>1755</v>
      </c>
      <c r="C1557" s="87" t="s">
        <v>789</v>
      </c>
    </row>
    <row r="1558" spans="1:3" x14ac:dyDescent="0.25">
      <c r="A1558" s="81" t="s">
        <v>269</v>
      </c>
      <c r="B1558" s="80" t="s">
        <v>1917</v>
      </c>
      <c r="C1558" s="87" t="s">
        <v>789</v>
      </c>
    </row>
    <row r="1559" spans="1:3" x14ac:dyDescent="0.25">
      <c r="A1559" s="81" t="s">
        <v>269</v>
      </c>
      <c r="B1559" s="80" t="s">
        <v>1790</v>
      </c>
      <c r="C1559" s="87" t="s">
        <v>789</v>
      </c>
    </row>
    <row r="1560" spans="1:3" x14ac:dyDescent="0.25">
      <c r="A1560" s="81" t="s">
        <v>269</v>
      </c>
      <c r="B1560" s="87" t="s">
        <v>1644</v>
      </c>
      <c r="C1560" s="87" t="s">
        <v>789</v>
      </c>
    </row>
    <row r="1561" spans="1:3" x14ac:dyDescent="0.25">
      <c r="A1561" s="81" t="s">
        <v>269</v>
      </c>
      <c r="B1561" s="80" t="s">
        <v>1780</v>
      </c>
      <c r="C1561" s="87" t="s">
        <v>789</v>
      </c>
    </row>
    <row r="1562" spans="1:3" x14ac:dyDescent="0.25">
      <c r="A1562" s="81" t="s">
        <v>269</v>
      </c>
      <c r="B1562" s="80" t="s">
        <v>1773</v>
      </c>
      <c r="C1562" s="87" t="s">
        <v>789</v>
      </c>
    </row>
    <row r="1563" spans="1:3" x14ac:dyDescent="0.25">
      <c r="A1563" s="81" t="s">
        <v>269</v>
      </c>
      <c r="B1563" s="80" t="s">
        <v>1739</v>
      </c>
      <c r="C1563" s="87" t="s">
        <v>789</v>
      </c>
    </row>
    <row r="1564" spans="1:3" x14ac:dyDescent="0.25">
      <c r="A1564" s="81" t="s">
        <v>269</v>
      </c>
      <c r="B1564" s="80" t="s">
        <v>1785</v>
      </c>
      <c r="C1564" s="87" t="s">
        <v>789</v>
      </c>
    </row>
    <row r="1565" spans="1:3" x14ac:dyDescent="0.25">
      <c r="A1565" s="81" t="s">
        <v>269</v>
      </c>
      <c r="B1565" s="80" t="s">
        <v>1686</v>
      </c>
      <c r="C1565" s="87" t="s">
        <v>789</v>
      </c>
    </row>
    <row r="1566" spans="1:3" x14ac:dyDescent="0.25">
      <c r="A1566" s="81" t="s">
        <v>269</v>
      </c>
      <c r="B1566" s="80" t="s">
        <v>1749</v>
      </c>
      <c r="C1566" s="87" t="s">
        <v>789</v>
      </c>
    </row>
    <row r="1567" spans="1:3" x14ac:dyDescent="0.25">
      <c r="A1567" s="81" t="s">
        <v>269</v>
      </c>
      <c r="B1567" s="80" t="s">
        <v>1644</v>
      </c>
      <c r="C1567" s="87" t="s">
        <v>789</v>
      </c>
    </row>
    <row r="1568" spans="1:3" x14ac:dyDescent="0.25">
      <c r="A1568" s="81" t="s">
        <v>269</v>
      </c>
      <c r="B1568" s="80" t="s">
        <v>1807</v>
      </c>
      <c r="C1568" s="87" t="s">
        <v>789</v>
      </c>
    </row>
    <row r="1569" spans="1:3" x14ac:dyDescent="0.25">
      <c r="A1569" s="81" t="s">
        <v>269</v>
      </c>
      <c r="B1569" s="80" t="s">
        <v>1924</v>
      </c>
      <c r="C1569" s="87" t="s">
        <v>789</v>
      </c>
    </row>
    <row r="1570" spans="1:3" x14ac:dyDescent="0.25">
      <c r="A1570" s="81" t="s">
        <v>269</v>
      </c>
      <c r="B1570" s="80" t="s">
        <v>1891</v>
      </c>
      <c r="C1570" s="87" t="s">
        <v>789</v>
      </c>
    </row>
    <row r="1571" spans="1:3" x14ac:dyDescent="0.25">
      <c r="A1571" s="81" t="s">
        <v>275</v>
      </c>
      <c r="B1571" s="80" t="s">
        <v>1733</v>
      </c>
      <c r="C1571" s="87" t="s">
        <v>803</v>
      </c>
    </row>
    <row r="1572" spans="1:3" x14ac:dyDescent="0.25">
      <c r="A1572" s="81" t="s">
        <v>275</v>
      </c>
      <c r="B1572" s="80" t="s">
        <v>1988</v>
      </c>
      <c r="C1572" s="87" t="s">
        <v>803</v>
      </c>
    </row>
    <row r="1573" spans="1:3" x14ac:dyDescent="0.25">
      <c r="A1573" s="81" t="s">
        <v>275</v>
      </c>
      <c r="B1573" s="80" t="s">
        <v>1989</v>
      </c>
      <c r="C1573" s="87" t="s">
        <v>803</v>
      </c>
    </row>
    <row r="1574" spans="1:3" x14ac:dyDescent="0.25">
      <c r="A1574" s="81" t="s">
        <v>275</v>
      </c>
      <c r="B1574" s="80" t="s">
        <v>1702</v>
      </c>
      <c r="C1574" s="87" t="s">
        <v>803</v>
      </c>
    </row>
    <row r="1575" spans="1:3" x14ac:dyDescent="0.25">
      <c r="A1575" s="81" t="s">
        <v>275</v>
      </c>
      <c r="B1575" s="80" t="s">
        <v>275</v>
      </c>
      <c r="C1575" s="87" t="s">
        <v>803</v>
      </c>
    </row>
    <row r="1576" spans="1:3" x14ac:dyDescent="0.25">
      <c r="A1576" s="81" t="s">
        <v>275</v>
      </c>
      <c r="B1576" s="80" t="s">
        <v>1650</v>
      </c>
      <c r="C1576" s="87" t="s">
        <v>803</v>
      </c>
    </row>
    <row r="1577" spans="1:3" x14ac:dyDescent="0.25">
      <c r="A1577" s="81" t="s">
        <v>275</v>
      </c>
      <c r="B1577" s="80" t="s">
        <v>485</v>
      </c>
      <c r="C1577" s="87" t="s">
        <v>803</v>
      </c>
    </row>
    <row r="1578" spans="1:3" x14ac:dyDescent="0.25">
      <c r="A1578" s="81" t="s">
        <v>275</v>
      </c>
      <c r="B1578" s="80" t="s">
        <v>1656</v>
      </c>
      <c r="C1578" s="87" t="s">
        <v>803</v>
      </c>
    </row>
    <row r="1579" spans="1:3" x14ac:dyDescent="0.25">
      <c r="A1579" s="81" t="s">
        <v>275</v>
      </c>
      <c r="B1579" s="80" t="s">
        <v>249</v>
      </c>
      <c r="C1579" s="87" t="s">
        <v>803</v>
      </c>
    </row>
    <row r="1580" spans="1:3" x14ac:dyDescent="0.25">
      <c r="A1580" s="81" t="s">
        <v>249</v>
      </c>
      <c r="B1580" s="80" t="s">
        <v>268</v>
      </c>
      <c r="C1580" s="87" t="s">
        <v>802</v>
      </c>
    </row>
    <row r="1581" spans="1:3" x14ac:dyDescent="0.25">
      <c r="A1581" s="81" t="s">
        <v>249</v>
      </c>
      <c r="B1581" s="80" t="s">
        <v>2226</v>
      </c>
      <c r="C1581" s="87" t="s">
        <v>802</v>
      </c>
    </row>
    <row r="1582" spans="1:3" x14ac:dyDescent="0.25">
      <c r="A1582" s="81" t="s">
        <v>249</v>
      </c>
      <c r="B1582" s="80">
        <v>816</v>
      </c>
      <c r="C1582" s="87" t="s">
        <v>802</v>
      </c>
    </row>
    <row r="1583" spans="1:3" x14ac:dyDescent="0.25">
      <c r="A1583" s="81" t="s">
        <v>249</v>
      </c>
      <c r="B1583" s="80" t="s">
        <v>2227</v>
      </c>
      <c r="C1583" s="87" t="s">
        <v>802</v>
      </c>
    </row>
    <row r="1584" spans="1:3" x14ac:dyDescent="0.25">
      <c r="A1584" s="81" t="s">
        <v>249</v>
      </c>
      <c r="B1584" s="80" t="s">
        <v>2228</v>
      </c>
      <c r="C1584" s="87" t="s">
        <v>802</v>
      </c>
    </row>
    <row r="1585" spans="1:3" x14ac:dyDescent="0.25">
      <c r="A1585" s="81" t="s">
        <v>249</v>
      </c>
      <c r="B1585" s="80" t="s">
        <v>2229</v>
      </c>
      <c r="C1585" s="87" t="s">
        <v>802</v>
      </c>
    </row>
    <row r="1586" spans="1:3" x14ac:dyDescent="0.25">
      <c r="A1586" s="81" t="s">
        <v>249</v>
      </c>
      <c r="B1586" s="80" t="s">
        <v>2230</v>
      </c>
      <c r="C1586" s="87" t="s">
        <v>802</v>
      </c>
    </row>
    <row r="1587" spans="1:3" x14ac:dyDescent="0.25">
      <c r="A1587" s="81" t="s">
        <v>249</v>
      </c>
      <c r="B1587" s="80" t="s">
        <v>2231</v>
      </c>
      <c r="C1587" s="87" t="s">
        <v>802</v>
      </c>
    </row>
    <row r="1588" spans="1:3" x14ac:dyDescent="0.25">
      <c r="A1588" s="81" t="s">
        <v>249</v>
      </c>
      <c r="B1588" s="80" t="s">
        <v>2232</v>
      </c>
      <c r="C1588" s="87" t="s">
        <v>802</v>
      </c>
    </row>
    <row r="1589" spans="1:3" x14ac:dyDescent="0.25">
      <c r="A1589" s="81" t="s">
        <v>249</v>
      </c>
      <c r="B1589" s="80" t="s">
        <v>2233</v>
      </c>
      <c r="C1589" s="87" t="s">
        <v>802</v>
      </c>
    </row>
    <row r="1590" spans="1:3" x14ac:dyDescent="0.25">
      <c r="A1590" s="81" t="s">
        <v>249</v>
      </c>
      <c r="B1590" s="80" t="s">
        <v>2234</v>
      </c>
      <c r="C1590" s="87" t="s">
        <v>802</v>
      </c>
    </row>
    <row r="1591" spans="1:3" x14ac:dyDescent="0.25">
      <c r="A1591" s="81" t="s">
        <v>249</v>
      </c>
      <c r="B1591" s="80" t="s">
        <v>1869</v>
      </c>
      <c r="C1591" s="87" t="s">
        <v>802</v>
      </c>
    </row>
    <row r="1592" spans="1:3" x14ac:dyDescent="0.25">
      <c r="A1592" s="81" t="s">
        <v>249</v>
      </c>
      <c r="B1592" s="80" t="s">
        <v>2235</v>
      </c>
      <c r="C1592" s="87" t="s">
        <v>802</v>
      </c>
    </row>
    <row r="1593" spans="1:3" x14ac:dyDescent="0.25">
      <c r="A1593" s="81" t="s">
        <v>249</v>
      </c>
      <c r="B1593" s="80" t="s">
        <v>2236</v>
      </c>
      <c r="C1593" s="87" t="s">
        <v>802</v>
      </c>
    </row>
    <row r="1594" spans="1:3" x14ac:dyDescent="0.25">
      <c r="A1594" s="81" t="s">
        <v>249</v>
      </c>
      <c r="B1594" s="80" t="s">
        <v>2237</v>
      </c>
      <c r="C1594" s="87" t="s">
        <v>802</v>
      </c>
    </row>
    <row r="1595" spans="1:3" x14ac:dyDescent="0.25">
      <c r="A1595" s="81" t="s">
        <v>249</v>
      </c>
      <c r="B1595" s="80" t="s">
        <v>2238</v>
      </c>
      <c r="C1595" s="87" t="s">
        <v>802</v>
      </c>
    </row>
    <row r="1596" spans="1:3" x14ac:dyDescent="0.25">
      <c r="A1596" s="81" t="s">
        <v>249</v>
      </c>
      <c r="B1596" s="80" t="s">
        <v>1988</v>
      </c>
      <c r="C1596" s="87" t="s">
        <v>802</v>
      </c>
    </row>
    <row r="1597" spans="1:3" x14ac:dyDescent="0.25">
      <c r="A1597" s="81" t="s">
        <v>249</v>
      </c>
      <c r="B1597" s="80" t="s">
        <v>1989</v>
      </c>
      <c r="C1597" s="87" t="s">
        <v>802</v>
      </c>
    </row>
    <row r="1598" spans="1:3" x14ac:dyDescent="0.25">
      <c r="A1598" s="81" t="s">
        <v>249</v>
      </c>
      <c r="B1598" s="80" t="s">
        <v>1702</v>
      </c>
      <c r="C1598" s="87" t="s">
        <v>802</v>
      </c>
    </row>
    <row r="1599" spans="1:3" x14ac:dyDescent="0.25">
      <c r="A1599" s="81" t="s">
        <v>249</v>
      </c>
      <c r="B1599" s="80" t="s">
        <v>275</v>
      </c>
      <c r="C1599" s="87" t="s">
        <v>802</v>
      </c>
    </row>
    <row r="1600" spans="1:3" x14ac:dyDescent="0.25">
      <c r="A1600" s="81" t="s">
        <v>249</v>
      </c>
      <c r="B1600" s="80" t="s">
        <v>1650</v>
      </c>
      <c r="C1600" s="87" t="s">
        <v>802</v>
      </c>
    </row>
    <row r="1601" spans="1:3" x14ac:dyDescent="0.25">
      <c r="A1601" s="81" t="s">
        <v>249</v>
      </c>
      <c r="B1601" s="80" t="s">
        <v>249</v>
      </c>
      <c r="C1601" s="87" t="s">
        <v>802</v>
      </c>
    </row>
    <row r="1602" spans="1:3" x14ac:dyDescent="0.25">
      <c r="A1602" s="81" t="s">
        <v>249</v>
      </c>
      <c r="B1602" s="80" t="s">
        <v>485</v>
      </c>
      <c r="C1602" s="87" t="s">
        <v>802</v>
      </c>
    </row>
    <row r="1603" spans="1:3" x14ac:dyDescent="0.25">
      <c r="A1603" s="81" t="s">
        <v>249</v>
      </c>
      <c r="B1603" s="80" t="s">
        <v>1656</v>
      </c>
      <c r="C1603" s="87" t="s">
        <v>802</v>
      </c>
    </row>
    <row r="1604" spans="1:3" x14ac:dyDescent="0.25">
      <c r="A1604" s="81" t="s">
        <v>253</v>
      </c>
      <c r="B1604" s="80" t="s">
        <v>2239</v>
      </c>
      <c r="C1604" s="87" t="s">
        <v>759</v>
      </c>
    </row>
    <row r="1605" spans="1:3" x14ac:dyDescent="0.25">
      <c r="A1605" s="81" t="s">
        <v>253</v>
      </c>
      <c r="B1605" s="80" t="s">
        <v>1919</v>
      </c>
      <c r="C1605" s="87" t="s">
        <v>759</v>
      </c>
    </row>
    <row r="1606" spans="1:3" x14ac:dyDescent="0.25">
      <c r="A1606" s="81" t="s">
        <v>253</v>
      </c>
      <c r="B1606" s="80" t="s">
        <v>1911</v>
      </c>
      <c r="C1606" s="87" t="s">
        <v>759</v>
      </c>
    </row>
    <row r="1607" spans="1:3" x14ac:dyDescent="0.25">
      <c r="A1607" s="81" t="s">
        <v>253</v>
      </c>
      <c r="B1607" s="80" t="s">
        <v>475</v>
      </c>
      <c r="C1607" s="87" t="s">
        <v>759</v>
      </c>
    </row>
    <row r="1608" spans="1:3" x14ac:dyDescent="0.25">
      <c r="A1608" s="81" t="s">
        <v>253</v>
      </c>
      <c r="B1608" s="80" t="s">
        <v>1689</v>
      </c>
      <c r="C1608" s="87" t="s">
        <v>759</v>
      </c>
    </row>
    <row r="1609" spans="1:3" x14ac:dyDescent="0.25">
      <c r="A1609" s="81" t="s">
        <v>253</v>
      </c>
      <c r="B1609" s="80" t="s">
        <v>1923</v>
      </c>
      <c r="C1609" s="87" t="s">
        <v>759</v>
      </c>
    </row>
    <row r="1610" spans="1:3" x14ac:dyDescent="0.25">
      <c r="A1610" s="81" t="s">
        <v>253</v>
      </c>
      <c r="B1610" s="80" t="s">
        <v>1649</v>
      </c>
      <c r="C1610" s="87" t="s">
        <v>759</v>
      </c>
    </row>
    <row r="1611" spans="1:3" x14ac:dyDescent="0.25">
      <c r="A1611" s="81" t="s">
        <v>253</v>
      </c>
      <c r="B1611" s="80" t="s">
        <v>1651</v>
      </c>
      <c r="C1611" s="87" t="s">
        <v>759</v>
      </c>
    </row>
    <row r="1612" spans="1:3" x14ac:dyDescent="0.25">
      <c r="A1612" s="81" t="s">
        <v>253</v>
      </c>
      <c r="B1612" s="80" t="s">
        <v>1647</v>
      </c>
      <c r="C1612" s="87" t="s">
        <v>759</v>
      </c>
    </row>
    <row r="1613" spans="1:3" x14ac:dyDescent="0.25">
      <c r="A1613" s="81" t="s">
        <v>253</v>
      </c>
      <c r="B1613" s="80" t="s">
        <v>261</v>
      </c>
      <c r="C1613" s="87" t="s">
        <v>759</v>
      </c>
    </row>
    <row r="1614" spans="1:3" x14ac:dyDescent="0.25">
      <c r="A1614" s="81" t="s">
        <v>249</v>
      </c>
      <c r="B1614" s="80" t="s">
        <v>268</v>
      </c>
      <c r="C1614" s="87" t="s">
        <v>801</v>
      </c>
    </row>
    <row r="1615" spans="1:3" x14ac:dyDescent="0.25">
      <c r="A1615" s="81" t="s">
        <v>249</v>
      </c>
      <c r="B1615" s="80" t="s">
        <v>2240</v>
      </c>
      <c r="C1615" s="87" t="s">
        <v>801</v>
      </c>
    </row>
    <row r="1616" spans="1:3" x14ac:dyDescent="0.25">
      <c r="A1616" s="81" t="s">
        <v>249</v>
      </c>
      <c r="B1616" s="80" t="s">
        <v>2241</v>
      </c>
      <c r="C1616" s="87" t="s">
        <v>801</v>
      </c>
    </row>
    <row r="1617" spans="1:3" x14ac:dyDescent="0.25">
      <c r="A1617" s="81" t="s">
        <v>249</v>
      </c>
      <c r="B1617" s="80" t="s">
        <v>2242</v>
      </c>
      <c r="C1617" s="87" t="s">
        <v>801</v>
      </c>
    </row>
    <row r="1618" spans="1:3" x14ac:dyDescent="0.25">
      <c r="A1618" s="81" t="s">
        <v>249</v>
      </c>
      <c r="B1618" s="80" t="s">
        <v>1676</v>
      </c>
      <c r="C1618" s="87" t="s">
        <v>801</v>
      </c>
    </row>
    <row r="1619" spans="1:3" x14ac:dyDescent="0.25">
      <c r="A1619" s="81" t="s">
        <v>249</v>
      </c>
      <c r="B1619" s="80" t="s">
        <v>2243</v>
      </c>
      <c r="C1619" s="87" t="s">
        <v>801</v>
      </c>
    </row>
    <row r="1620" spans="1:3" x14ac:dyDescent="0.25">
      <c r="A1620" s="81" t="s">
        <v>249</v>
      </c>
      <c r="B1620" s="80" t="s">
        <v>1644</v>
      </c>
      <c r="C1620" s="87" t="s">
        <v>801</v>
      </c>
    </row>
    <row r="1621" spans="1:3" x14ac:dyDescent="0.25">
      <c r="A1621" s="81" t="s">
        <v>249</v>
      </c>
      <c r="B1621" s="80" t="s">
        <v>2109</v>
      </c>
      <c r="C1621" s="87" t="s">
        <v>801</v>
      </c>
    </row>
    <row r="1622" spans="1:3" x14ac:dyDescent="0.25">
      <c r="A1622" s="81" t="s">
        <v>249</v>
      </c>
      <c r="B1622" s="80" t="s">
        <v>2244</v>
      </c>
      <c r="C1622" s="87" t="s">
        <v>801</v>
      </c>
    </row>
    <row r="1623" spans="1:3" x14ac:dyDescent="0.25">
      <c r="A1623" s="81" t="s">
        <v>249</v>
      </c>
      <c r="B1623" s="80" t="s">
        <v>2245</v>
      </c>
      <c r="C1623" s="87" t="s">
        <v>801</v>
      </c>
    </row>
    <row r="1624" spans="1:3" x14ac:dyDescent="0.25">
      <c r="A1624" s="81" t="s">
        <v>249</v>
      </c>
      <c r="B1624" s="80" t="s">
        <v>2246</v>
      </c>
      <c r="C1624" s="87" t="s">
        <v>801</v>
      </c>
    </row>
    <row r="1625" spans="1:3" x14ac:dyDescent="0.25">
      <c r="A1625" s="81" t="s">
        <v>249</v>
      </c>
      <c r="B1625" s="80" t="s">
        <v>2247</v>
      </c>
      <c r="C1625" s="87" t="s">
        <v>801</v>
      </c>
    </row>
    <row r="1626" spans="1:3" x14ac:dyDescent="0.25">
      <c r="A1626" s="81" t="s">
        <v>249</v>
      </c>
      <c r="B1626" s="80" t="s">
        <v>1693</v>
      </c>
      <c r="C1626" s="87" t="s">
        <v>801</v>
      </c>
    </row>
    <row r="1627" spans="1:3" x14ac:dyDescent="0.25">
      <c r="A1627" s="81" t="s">
        <v>249</v>
      </c>
      <c r="B1627" s="80" t="s">
        <v>1716</v>
      </c>
      <c r="C1627" s="87" t="s">
        <v>801</v>
      </c>
    </row>
    <row r="1628" spans="1:3" x14ac:dyDescent="0.25">
      <c r="A1628" s="81" t="s">
        <v>249</v>
      </c>
      <c r="B1628" s="80" t="s">
        <v>1668</v>
      </c>
      <c r="C1628" s="87" t="s">
        <v>801</v>
      </c>
    </row>
    <row r="1629" spans="1:3" x14ac:dyDescent="0.25">
      <c r="A1629" s="81" t="s">
        <v>249</v>
      </c>
      <c r="B1629" s="80" t="s">
        <v>1672</v>
      </c>
      <c r="C1629" s="87" t="s">
        <v>801</v>
      </c>
    </row>
    <row r="1630" spans="1:3" x14ac:dyDescent="0.25">
      <c r="A1630" s="81" t="s">
        <v>249</v>
      </c>
      <c r="B1630" s="80" t="s">
        <v>275</v>
      </c>
      <c r="C1630" s="87" t="s">
        <v>801</v>
      </c>
    </row>
    <row r="1631" spans="1:3" x14ac:dyDescent="0.25">
      <c r="A1631" s="81" t="s">
        <v>249</v>
      </c>
      <c r="B1631" s="80" t="s">
        <v>1650</v>
      </c>
      <c r="C1631" s="87" t="s">
        <v>801</v>
      </c>
    </row>
    <row r="1632" spans="1:3" x14ac:dyDescent="0.25">
      <c r="A1632" s="81" t="s">
        <v>249</v>
      </c>
      <c r="B1632" s="80" t="s">
        <v>249</v>
      </c>
      <c r="C1632" s="87" t="s">
        <v>801</v>
      </c>
    </row>
    <row r="1633" spans="1:3" x14ac:dyDescent="0.25">
      <c r="A1633" s="81" t="s">
        <v>249</v>
      </c>
      <c r="B1633" s="80" t="s">
        <v>1645</v>
      </c>
      <c r="C1633" s="87" t="s">
        <v>801</v>
      </c>
    </row>
    <row r="1634" spans="1:3" x14ac:dyDescent="0.25">
      <c r="A1634" s="81" t="s">
        <v>249</v>
      </c>
      <c r="B1634" s="80" t="s">
        <v>1684</v>
      </c>
      <c r="C1634" s="87" t="s">
        <v>801</v>
      </c>
    </row>
    <row r="1635" spans="1:3" x14ac:dyDescent="0.25">
      <c r="A1635" s="81" t="s">
        <v>249</v>
      </c>
      <c r="B1635" s="80" t="s">
        <v>1656</v>
      </c>
      <c r="C1635" s="87" t="s">
        <v>801</v>
      </c>
    </row>
    <row r="1636" spans="1:3" x14ac:dyDescent="0.25">
      <c r="A1636" s="81" t="s">
        <v>249</v>
      </c>
      <c r="B1636" s="80" t="s">
        <v>1720</v>
      </c>
      <c r="C1636" s="87" t="s">
        <v>801</v>
      </c>
    </row>
    <row r="1637" spans="1:3" x14ac:dyDescent="0.25">
      <c r="A1637" s="81" t="s">
        <v>249</v>
      </c>
      <c r="B1637" s="80" t="s">
        <v>1666</v>
      </c>
      <c r="C1637" s="87" t="s">
        <v>801</v>
      </c>
    </row>
    <row r="1638" spans="1:3" x14ac:dyDescent="0.25">
      <c r="A1638" s="81" t="s">
        <v>271</v>
      </c>
      <c r="B1638" s="80" t="s">
        <v>2248</v>
      </c>
      <c r="C1638" s="87" t="s">
        <v>794</v>
      </c>
    </row>
    <row r="1639" spans="1:3" x14ac:dyDescent="0.25">
      <c r="A1639" s="81" t="s">
        <v>271</v>
      </c>
      <c r="B1639" s="80" t="s">
        <v>1723</v>
      </c>
      <c r="C1639" s="87" t="s">
        <v>794</v>
      </c>
    </row>
    <row r="1640" spans="1:3" x14ac:dyDescent="0.25">
      <c r="A1640" s="81" t="s">
        <v>271</v>
      </c>
      <c r="B1640" s="80" t="s">
        <v>1692</v>
      </c>
      <c r="C1640" s="87" t="s">
        <v>794</v>
      </c>
    </row>
    <row r="1641" spans="1:3" x14ac:dyDescent="0.25">
      <c r="A1641" s="81" t="s">
        <v>271</v>
      </c>
      <c r="B1641" s="80" t="s">
        <v>1930</v>
      </c>
      <c r="C1641" s="87" t="s">
        <v>794</v>
      </c>
    </row>
    <row r="1642" spans="1:3" x14ac:dyDescent="0.25">
      <c r="A1642" s="81" t="s">
        <v>271</v>
      </c>
      <c r="B1642" s="80" t="s">
        <v>1769</v>
      </c>
      <c r="C1642" s="87" t="s">
        <v>794</v>
      </c>
    </row>
    <row r="1643" spans="1:3" x14ac:dyDescent="0.25">
      <c r="A1643" s="81" t="s">
        <v>271</v>
      </c>
      <c r="B1643" s="80" t="s">
        <v>1916</v>
      </c>
      <c r="C1643" s="87" t="s">
        <v>794</v>
      </c>
    </row>
    <row r="1644" spans="1:3" x14ac:dyDescent="0.25">
      <c r="A1644" s="81" t="s">
        <v>271</v>
      </c>
      <c r="B1644" s="80" t="s">
        <v>1659</v>
      </c>
      <c r="C1644" s="87" t="s">
        <v>794</v>
      </c>
    </row>
    <row r="1645" spans="1:3" x14ac:dyDescent="0.25">
      <c r="A1645" s="81" t="s">
        <v>271</v>
      </c>
      <c r="B1645" s="80" t="s">
        <v>1936</v>
      </c>
      <c r="C1645" s="87" t="s">
        <v>794</v>
      </c>
    </row>
    <row r="1646" spans="1:3" x14ac:dyDescent="0.25">
      <c r="A1646" s="81" t="s">
        <v>271</v>
      </c>
      <c r="B1646" s="80" t="s">
        <v>1896</v>
      </c>
      <c r="C1646" s="87" t="s">
        <v>794</v>
      </c>
    </row>
    <row r="1647" spans="1:3" x14ac:dyDescent="0.25">
      <c r="A1647" s="81" t="s">
        <v>271</v>
      </c>
      <c r="B1647" s="80" t="s">
        <v>1795</v>
      </c>
      <c r="C1647" s="87" t="s">
        <v>794</v>
      </c>
    </row>
    <row r="1648" spans="1:3" x14ac:dyDescent="0.25">
      <c r="A1648" s="81" t="s">
        <v>271</v>
      </c>
      <c r="B1648" s="80" t="s">
        <v>1814</v>
      </c>
      <c r="C1648" s="87" t="s">
        <v>794</v>
      </c>
    </row>
    <row r="1649" spans="1:3" x14ac:dyDescent="0.25">
      <c r="A1649" s="81" t="s">
        <v>271</v>
      </c>
      <c r="B1649" s="80" t="s">
        <v>1811</v>
      </c>
      <c r="C1649" s="87" t="s">
        <v>794</v>
      </c>
    </row>
    <row r="1650" spans="1:3" x14ac:dyDescent="0.25">
      <c r="A1650" s="81" t="s">
        <v>271</v>
      </c>
      <c r="B1650" s="80" t="s">
        <v>1657</v>
      </c>
      <c r="C1650" s="87" t="s">
        <v>794</v>
      </c>
    </row>
    <row r="1651" spans="1:3" x14ac:dyDescent="0.25">
      <c r="A1651" s="81" t="s">
        <v>271</v>
      </c>
      <c r="B1651" s="80" t="s">
        <v>268</v>
      </c>
      <c r="C1651" s="87" t="s">
        <v>794</v>
      </c>
    </row>
    <row r="1652" spans="1:3" x14ac:dyDescent="0.25">
      <c r="A1652" s="81" t="s">
        <v>241</v>
      </c>
      <c r="B1652" s="80">
        <v>800</v>
      </c>
      <c r="C1652" s="87" t="s">
        <v>744</v>
      </c>
    </row>
    <row r="1653" spans="1:3" x14ac:dyDescent="0.25">
      <c r="A1653" s="81" t="s">
        <v>241</v>
      </c>
      <c r="B1653" s="80">
        <v>600</v>
      </c>
      <c r="C1653" s="87" t="s">
        <v>744</v>
      </c>
    </row>
    <row r="1654" spans="1:3" x14ac:dyDescent="0.25">
      <c r="A1654" s="81" t="s">
        <v>241</v>
      </c>
      <c r="B1654" s="80" t="s">
        <v>1678</v>
      </c>
      <c r="C1654" s="87" t="s">
        <v>744</v>
      </c>
    </row>
    <row r="1655" spans="1:3" x14ac:dyDescent="0.25">
      <c r="A1655" s="81" t="s">
        <v>241</v>
      </c>
      <c r="B1655" s="80" t="s">
        <v>1691</v>
      </c>
      <c r="C1655" s="87" t="s">
        <v>744</v>
      </c>
    </row>
    <row r="1656" spans="1:3" x14ac:dyDescent="0.25">
      <c r="A1656" s="81" t="s">
        <v>241</v>
      </c>
      <c r="B1656" s="80" t="s">
        <v>1653</v>
      </c>
      <c r="C1656" s="87" t="s">
        <v>744</v>
      </c>
    </row>
    <row r="1657" spans="1:3" x14ac:dyDescent="0.25">
      <c r="A1657" s="81" t="s">
        <v>241</v>
      </c>
      <c r="B1657" s="80" t="s">
        <v>1662</v>
      </c>
      <c r="C1657" s="87" t="s">
        <v>744</v>
      </c>
    </row>
    <row r="1658" spans="1:3" x14ac:dyDescent="0.25">
      <c r="A1658" s="81" t="s">
        <v>241</v>
      </c>
      <c r="B1658" s="80" t="s">
        <v>1660</v>
      </c>
      <c r="C1658" s="87" t="s">
        <v>744</v>
      </c>
    </row>
    <row r="1659" spans="1:3" x14ac:dyDescent="0.25">
      <c r="A1659" s="81" t="s">
        <v>241</v>
      </c>
      <c r="B1659" s="80" t="s">
        <v>1679</v>
      </c>
      <c r="C1659" s="87" t="s">
        <v>744</v>
      </c>
    </row>
    <row r="1660" spans="1:3" x14ac:dyDescent="0.25">
      <c r="A1660" s="81" t="s">
        <v>241</v>
      </c>
      <c r="B1660" s="80" t="s">
        <v>268</v>
      </c>
      <c r="C1660" s="87" t="s">
        <v>744</v>
      </c>
    </row>
    <row r="1661" spans="1:3" x14ac:dyDescent="0.25">
      <c r="A1661" s="81" t="s">
        <v>241</v>
      </c>
      <c r="B1661" s="80">
        <v>2024</v>
      </c>
      <c r="C1661" s="87" t="s">
        <v>744</v>
      </c>
    </row>
    <row r="1662" spans="1:3" x14ac:dyDescent="0.25">
      <c r="A1662" s="81" t="s">
        <v>241</v>
      </c>
      <c r="B1662" s="80" t="s">
        <v>1658</v>
      </c>
      <c r="C1662" s="87" t="s">
        <v>744</v>
      </c>
    </row>
    <row r="1663" spans="1:3" x14ac:dyDescent="0.25">
      <c r="A1663" s="81" t="s">
        <v>241</v>
      </c>
      <c r="B1663" s="80" t="s">
        <v>1645</v>
      </c>
      <c r="C1663" s="87" t="s">
        <v>744</v>
      </c>
    </row>
    <row r="1664" spans="1:3" x14ac:dyDescent="0.25">
      <c r="A1664" s="81" t="s">
        <v>241</v>
      </c>
      <c r="B1664" s="80" t="s">
        <v>289</v>
      </c>
      <c r="C1664" s="87" t="s">
        <v>744</v>
      </c>
    </row>
    <row r="1665" spans="1:3" x14ac:dyDescent="0.25">
      <c r="A1665" s="81" t="s">
        <v>259</v>
      </c>
      <c r="B1665" s="80" t="s">
        <v>476</v>
      </c>
      <c r="C1665" s="87" t="s">
        <v>768</v>
      </c>
    </row>
    <row r="1666" spans="1:3" x14ac:dyDescent="0.25">
      <c r="A1666" s="81" t="s">
        <v>259</v>
      </c>
      <c r="B1666" s="80" t="s">
        <v>268</v>
      </c>
      <c r="C1666" s="87" t="s">
        <v>768</v>
      </c>
    </row>
    <row r="1667" spans="1:3" x14ac:dyDescent="0.25">
      <c r="A1667" s="81" t="s">
        <v>259</v>
      </c>
      <c r="B1667" s="80" t="s">
        <v>1640</v>
      </c>
      <c r="C1667" s="87" t="s">
        <v>768</v>
      </c>
    </row>
    <row r="1668" spans="1:3" x14ac:dyDescent="0.25">
      <c r="A1668" s="81" t="s">
        <v>259</v>
      </c>
      <c r="B1668" s="80" t="s">
        <v>1800</v>
      </c>
      <c r="C1668" s="87" t="s">
        <v>768</v>
      </c>
    </row>
    <row r="1669" spans="1:3" x14ac:dyDescent="0.25">
      <c r="A1669" s="81" t="s">
        <v>259</v>
      </c>
      <c r="B1669" s="80" t="s">
        <v>1642</v>
      </c>
      <c r="C1669" s="87" t="s">
        <v>768</v>
      </c>
    </row>
    <row r="1670" spans="1:3" x14ac:dyDescent="0.25">
      <c r="A1670" s="81" t="s">
        <v>259</v>
      </c>
      <c r="B1670" s="80" t="s">
        <v>1771</v>
      </c>
      <c r="C1670" s="87" t="s">
        <v>768</v>
      </c>
    </row>
    <row r="1671" spans="1:3" x14ac:dyDescent="0.25">
      <c r="A1671" s="81" t="s">
        <v>259</v>
      </c>
      <c r="B1671" s="80" t="s">
        <v>1643</v>
      </c>
      <c r="C1671" s="87" t="s">
        <v>768</v>
      </c>
    </row>
    <row r="1672" spans="1:3" x14ac:dyDescent="0.25">
      <c r="A1672" s="81" t="s">
        <v>259</v>
      </c>
      <c r="B1672" s="80" t="s">
        <v>1659</v>
      </c>
      <c r="C1672" s="87" t="s">
        <v>768</v>
      </c>
    </row>
    <row r="1673" spans="1:3" x14ac:dyDescent="0.25">
      <c r="A1673" s="81" t="s">
        <v>259</v>
      </c>
      <c r="B1673" s="80" t="s">
        <v>1798</v>
      </c>
      <c r="C1673" s="87" t="s">
        <v>768</v>
      </c>
    </row>
    <row r="1674" spans="1:3" x14ac:dyDescent="0.25">
      <c r="A1674" s="81" t="s">
        <v>259</v>
      </c>
      <c r="B1674" s="80" t="s">
        <v>252</v>
      </c>
      <c r="C1674" s="87" t="s">
        <v>768</v>
      </c>
    </row>
    <row r="1675" spans="1:3" x14ac:dyDescent="0.25">
      <c r="A1675" s="81" t="s">
        <v>288</v>
      </c>
      <c r="B1675" s="80" t="s">
        <v>345</v>
      </c>
      <c r="C1675" s="87" t="s">
        <v>838</v>
      </c>
    </row>
    <row r="1676" spans="1:3" x14ac:dyDescent="0.25">
      <c r="A1676" s="81" t="s">
        <v>288</v>
      </c>
      <c r="B1676" s="80" t="s">
        <v>346</v>
      </c>
      <c r="C1676" s="87" t="s">
        <v>838</v>
      </c>
    </row>
    <row r="1677" spans="1:3" x14ac:dyDescent="0.25">
      <c r="A1677" s="81" t="s">
        <v>288</v>
      </c>
      <c r="B1677" s="80" t="s">
        <v>2249</v>
      </c>
      <c r="C1677" s="87" t="s">
        <v>838</v>
      </c>
    </row>
    <row r="1678" spans="1:3" x14ac:dyDescent="0.25">
      <c r="A1678" s="81" t="s">
        <v>288</v>
      </c>
      <c r="B1678" s="80" t="s">
        <v>1646</v>
      </c>
      <c r="C1678" s="87" t="s">
        <v>838</v>
      </c>
    </row>
    <row r="1679" spans="1:3" x14ac:dyDescent="0.25">
      <c r="A1679" s="81" t="s">
        <v>288</v>
      </c>
      <c r="B1679" s="80" t="s">
        <v>1870</v>
      </c>
      <c r="C1679" s="87" t="s">
        <v>838</v>
      </c>
    </row>
    <row r="1680" spans="1:3" x14ac:dyDescent="0.25">
      <c r="A1680" s="81" t="s">
        <v>288</v>
      </c>
      <c r="B1680" s="80" t="s">
        <v>1898</v>
      </c>
      <c r="C1680" s="87" t="s">
        <v>838</v>
      </c>
    </row>
    <row r="1681" spans="1:3" x14ac:dyDescent="0.25">
      <c r="A1681" s="81" t="s">
        <v>288</v>
      </c>
      <c r="B1681" s="80" t="s">
        <v>1845</v>
      </c>
      <c r="C1681" s="87" t="s">
        <v>838</v>
      </c>
    </row>
    <row r="1682" spans="1:3" x14ac:dyDescent="0.25">
      <c r="A1682" s="81" t="s">
        <v>288</v>
      </c>
      <c r="B1682" s="80" t="s">
        <v>1941</v>
      </c>
      <c r="C1682" s="87" t="s">
        <v>838</v>
      </c>
    </row>
    <row r="1683" spans="1:3" x14ac:dyDescent="0.25">
      <c r="A1683" s="81" t="s">
        <v>288</v>
      </c>
      <c r="B1683" s="80" t="s">
        <v>1878</v>
      </c>
      <c r="C1683" s="87" t="s">
        <v>838</v>
      </c>
    </row>
    <row r="1684" spans="1:3" x14ac:dyDescent="0.25">
      <c r="A1684" s="81" t="s">
        <v>288</v>
      </c>
      <c r="B1684" s="80" t="s">
        <v>1857</v>
      </c>
      <c r="C1684" s="87" t="s">
        <v>838</v>
      </c>
    </row>
    <row r="1685" spans="1:3" x14ac:dyDescent="0.25">
      <c r="A1685" s="81" t="s">
        <v>288</v>
      </c>
      <c r="B1685" s="80" t="s">
        <v>1885</v>
      </c>
      <c r="C1685" s="87" t="s">
        <v>838</v>
      </c>
    </row>
    <row r="1686" spans="1:3" x14ac:dyDescent="0.25">
      <c r="A1686" s="81" t="s">
        <v>288</v>
      </c>
      <c r="B1686" s="80" t="s">
        <v>1833</v>
      </c>
      <c r="C1686" s="87" t="s">
        <v>838</v>
      </c>
    </row>
    <row r="1687" spans="1:3" x14ac:dyDescent="0.25">
      <c r="A1687" s="81" t="s">
        <v>288</v>
      </c>
      <c r="B1687" s="80" t="s">
        <v>1922</v>
      </c>
      <c r="C1687" s="87" t="s">
        <v>838</v>
      </c>
    </row>
    <row r="1688" spans="1:3" x14ac:dyDescent="0.25">
      <c r="A1688" s="81" t="s">
        <v>288</v>
      </c>
      <c r="B1688" s="80" t="s">
        <v>1644</v>
      </c>
      <c r="C1688" s="87" t="s">
        <v>838</v>
      </c>
    </row>
    <row r="1689" spans="1:3" x14ac:dyDescent="0.25">
      <c r="A1689" s="81" t="s">
        <v>288</v>
      </c>
      <c r="B1689" s="80" t="s">
        <v>1946</v>
      </c>
      <c r="C1689" s="87" t="s">
        <v>838</v>
      </c>
    </row>
    <row r="1690" spans="1:3" x14ac:dyDescent="0.25">
      <c r="A1690" s="81" t="s">
        <v>288</v>
      </c>
      <c r="B1690" s="80" t="s">
        <v>1820</v>
      </c>
      <c r="C1690" s="87" t="s">
        <v>838</v>
      </c>
    </row>
    <row r="1691" spans="1:3" x14ac:dyDescent="0.25">
      <c r="A1691" s="81" t="s">
        <v>299</v>
      </c>
      <c r="B1691" s="80" t="s">
        <v>1713</v>
      </c>
      <c r="C1691" s="87" t="s">
        <v>854</v>
      </c>
    </row>
    <row r="1692" spans="1:3" x14ac:dyDescent="0.25">
      <c r="A1692" s="81" t="s">
        <v>299</v>
      </c>
      <c r="B1692" s="80" t="s">
        <v>1670</v>
      </c>
      <c r="C1692" s="87" t="s">
        <v>854</v>
      </c>
    </row>
    <row r="1693" spans="1:3" x14ac:dyDescent="0.25">
      <c r="A1693" s="81" t="s">
        <v>299</v>
      </c>
      <c r="B1693" s="80" t="s">
        <v>312</v>
      </c>
      <c r="C1693" s="87" t="s">
        <v>854</v>
      </c>
    </row>
    <row r="1694" spans="1:3" x14ac:dyDescent="0.25">
      <c r="A1694" s="81" t="s">
        <v>299</v>
      </c>
      <c r="B1694" s="80" t="s">
        <v>1694</v>
      </c>
      <c r="C1694" s="87" t="s">
        <v>854</v>
      </c>
    </row>
    <row r="1695" spans="1:3" x14ac:dyDescent="0.25">
      <c r="A1695" s="81" t="s">
        <v>299</v>
      </c>
      <c r="B1695" s="80" t="s">
        <v>1652</v>
      </c>
      <c r="C1695" s="87" t="s">
        <v>854</v>
      </c>
    </row>
    <row r="1696" spans="1:3" x14ac:dyDescent="0.25">
      <c r="A1696" s="81" t="s">
        <v>299</v>
      </c>
      <c r="B1696" s="80" t="s">
        <v>1675</v>
      </c>
      <c r="C1696" s="87" t="s">
        <v>854</v>
      </c>
    </row>
    <row r="1697" spans="1:3" x14ac:dyDescent="0.25">
      <c r="A1697" s="81" t="s">
        <v>299</v>
      </c>
      <c r="B1697" s="80" t="s">
        <v>1687</v>
      </c>
      <c r="C1697" s="87" t="s">
        <v>854</v>
      </c>
    </row>
    <row r="1698" spans="1:3" x14ac:dyDescent="0.25">
      <c r="A1698" s="81" t="s">
        <v>299</v>
      </c>
      <c r="B1698" s="80" t="s">
        <v>1642</v>
      </c>
      <c r="C1698" s="87" t="s">
        <v>854</v>
      </c>
    </row>
    <row r="1699" spans="1:3" x14ac:dyDescent="0.25">
      <c r="A1699" s="81" t="s">
        <v>299</v>
      </c>
      <c r="B1699" s="80" t="s">
        <v>1643</v>
      </c>
      <c r="C1699" s="87" t="s">
        <v>854</v>
      </c>
    </row>
    <row r="1700" spans="1:3" x14ac:dyDescent="0.25">
      <c r="A1700" s="81" t="s">
        <v>299</v>
      </c>
      <c r="B1700" s="80" t="s">
        <v>252</v>
      </c>
      <c r="C1700" s="87" t="s">
        <v>854</v>
      </c>
    </row>
    <row r="1701" spans="1:3" x14ac:dyDescent="0.25">
      <c r="A1701" s="81" t="s">
        <v>252</v>
      </c>
      <c r="B1701" s="80" t="s">
        <v>474</v>
      </c>
      <c r="C1701" s="87" t="s">
        <v>780</v>
      </c>
    </row>
    <row r="1702" spans="1:3" x14ac:dyDescent="0.25">
      <c r="A1702" s="81" t="s">
        <v>252</v>
      </c>
      <c r="B1702" s="80" t="s">
        <v>267</v>
      </c>
      <c r="C1702" s="87" t="s">
        <v>780</v>
      </c>
    </row>
    <row r="1703" spans="1:3" x14ac:dyDescent="0.25">
      <c r="A1703" s="81" t="s">
        <v>252</v>
      </c>
      <c r="B1703" s="80" t="s">
        <v>268</v>
      </c>
      <c r="C1703" s="87" t="s">
        <v>780</v>
      </c>
    </row>
    <row r="1704" spans="1:3" x14ac:dyDescent="0.25">
      <c r="A1704" s="81" t="s">
        <v>252</v>
      </c>
      <c r="B1704" s="80" t="s">
        <v>1860</v>
      </c>
      <c r="C1704" s="87" t="s">
        <v>780</v>
      </c>
    </row>
    <row r="1705" spans="1:3" x14ac:dyDescent="0.25">
      <c r="A1705" s="81" t="s">
        <v>252</v>
      </c>
      <c r="B1705" s="80" t="s">
        <v>2250</v>
      </c>
      <c r="C1705" s="87" t="s">
        <v>780</v>
      </c>
    </row>
    <row r="1706" spans="1:3" x14ac:dyDescent="0.25">
      <c r="A1706" s="81" t="s">
        <v>252</v>
      </c>
      <c r="B1706" s="80" t="s">
        <v>2251</v>
      </c>
      <c r="C1706" s="87" t="s">
        <v>780</v>
      </c>
    </row>
    <row r="1707" spans="1:3" x14ac:dyDescent="0.25">
      <c r="A1707" s="81" t="s">
        <v>252</v>
      </c>
      <c r="B1707" s="80" t="s">
        <v>2252</v>
      </c>
      <c r="C1707" s="87" t="s">
        <v>780</v>
      </c>
    </row>
    <row r="1708" spans="1:3" x14ac:dyDescent="0.25">
      <c r="A1708" s="81" t="s">
        <v>252</v>
      </c>
      <c r="B1708" s="80" t="s">
        <v>2253</v>
      </c>
      <c r="C1708" s="87" t="s">
        <v>780</v>
      </c>
    </row>
    <row r="1709" spans="1:3" x14ac:dyDescent="0.25">
      <c r="A1709" s="81" t="s">
        <v>252</v>
      </c>
      <c r="B1709" s="80" t="s">
        <v>2254</v>
      </c>
      <c r="C1709" s="87" t="s">
        <v>780</v>
      </c>
    </row>
    <row r="1710" spans="1:3" x14ac:dyDescent="0.25">
      <c r="A1710" s="81" t="s">
        <v>252</v>
      </c>
      <c r="B1710" s="80" t="s">
        <v>494</v>
      </c>
      <c r="C1710" s="87" t="s">
        <v>780</v>
      </c>
    </row>
    <row r="1711" spans="1:3" x14ac:dyDescent="0.25">
      <c r="A1711" s="81" t="s">
        <v>252</v>
      </c>
      <c r="B1711" s="80" t="s">
        <v>1640</v>
      </c>
      <c r="C1711" s="87" t="s">
        <v>780</v>
      </c>
    </row>
    <row r="1712" spans="1:3" x14ac:dyDescent="0.25">
      <c r="A1712" s="81" t="s">
        <v>252</v>
      </c>
      <c r="B1712" s="80" t="s">
        <v>1642</v>
      </c>
      <c r="C1712" s="87" t="s">
        <v>780</v>
      </c>
    </row>
    <row r="1713" spans="1:3" x14ac:dyDescent="0.25">
      <c r="A1713" s="81" t="s">
        <v>252</v>
      </c>
      <c r="B1713" s="80" t="s">
        <v>1643</v>
      </c>
      <c r="C1713" s="87" t="s">
        <v>780</v>
      </c>
    </row>
    <row r="1714" spans="1:3" x14ac:dyDescent="0.25">
      <c r="A1714" s="81" t="s">
        <v>301</v>
      </c>
      <c r="B1714" s="80" t="s">
        <v>2255</v>
      </c>
      <c r="C1714" s="87" t="s">
        <v>860</v>
      </c>
    </row>
    <row r="1715" spans="1:3" x14ac:dyDescent="0.25">
      <c r="A1715" s="81" t="s">
        <v>301</v>
      </c>
      <c r="B1715" s="80" t="s">
        <v>2256</v>
      </c>
      <c r="C1715" s="87" t="s">
        <v>860</v>
      </c>
    </row>
    <row r="1716" spans="1:3" x14ac:dyDescent="0.25">
      <c r="A1716" s="81" t="s">
        <v>301</v>
      </c>
      <c r="B1716" s="80" t="s">
        <v>2257</v>
      </c>
      <c r="C1716" s="87" t="s">
        <v>860</v>
      </c>
    </row>
    <row r="1717" spans="1:3" x14ac:dyDescent="0.25">
      <c r="A1717" s="81" t="s">
        <v>301</v>
      </c>
      <c r="B1717" s="80" t="s">
        <v>2258</v>
      </c>
      <c r="C1717" s="87" t="s">
        <v>860</v>
      </c>
    </row>
    <row r="1718" spans="1:3" x14ac:dyDescent="0.25">
      <c r="A1718" s="81" t="s">
        <v>301</v>
      </c>
      <c r="B1718" s="80" t="s">
        <v>2259</v>
      </c>
      <c r="C1718" s="87" t="s">
        <v>860</v>
      </c>
    </row>
    <row r="1719" spans="1:3" x14ac:dyDescent="0.25">
      <c r="A1719" s="81" t="s">
        <v>301</v>
      </c>
      <c r="B1719" s="80" t="s">
        <v>2086</v>
      </c>
      <c r="C1719" s="87" t="s">
        <v>860</v>
      </c>
    </row>
    <row r="1720" spans="1:3" x14ac:dyDescent="0.25">
      <c r="A1720" s="81" t="s">
        <v>301</v>
      </c>
      <c r="B1720" s="80" t="s">
        <v>2260</v>
      </c>
      <c r="C1720" s="87" t="s">
        <v>860</v>
      </c>
    </row>
    <row r="1721" spans="1:3" x14ac:dyDescent="0.25">
      <c r="A1721" s="81" t="s">
        <v>301</v>
      </c>
      <c r="B1721" s="80" t="s">
        <v>2087</v>
      </c>
      <c r="C1721" s="87" t="s">
        <v>860</v>
      </c>
    </row>
    <row r="1722" spans="1:3" x14ac:dyDescent="0.25">
      <c r="A1722" s="81" t="s">
        <v>301</v>
      </c>
      <c r="B1722" s="80" t="s">
        <v>2261</v>
      </c>
      <c r="C1722" s="87" t="s">
        <v>860</v>
      </c>
    </row>
    <row r="1723" spans="1:3" x14ac:dyDescent="0.25">
      <c r="A1723" s="81" t="s">
        <v>301</v>
      </c>
      <c r="B1723" s="80" t="s">
        <v>2262</v>
      </c>
      <c r="C1723" s="87" t="s">
        <v>860</v>
      </c>
    </row>
    <row r="1724" spans="1:3" x14ac:dyDescent="0.25">
      <c r="A1724" s="81" t="s">
        <v>301</v>
      </c>
      <c r="B1724" s="80" t="s">
        <v>352</v>
      </c>
      <c r="C1724" s="87" t="s">
        <v>860</v>
      </c>
    </row>
    <row r="1725" spans="1:3" x14ac:dyDescent="0.25">
      <c r="A1725" s="81" t="s">
        <v>301</v>
      </c>
      <c r="B1725" s="80" t="s">
        <v>353</v>
      </c>
      <c r="C1725" s="87" t="s">
        <v>860</v>
      </c>
    </row>
    <row r="1726" spans="1:3" x14ac:dyDescent="0.25">
      <c r="A1726" s="81" t="s">
        <v>301</v>
      </c>
      <c r="B1726" s="80" t="s">
        <v>268</v>
      </c>
      <c r="C1726" s="87" t="s">
        <v>860</v>
      </c>
    </row>
    <row r="1727" spans="1:3" x14ac:dyDescent="0.25">
      <c r="A1727" s="81" t="s">
        <v>301</v>
      </c>
      <c r="B1727" s="80" t="s">
        <v>303</v>
      </c>
      <c r="C1727" s="87" t="s">
        <v>860</v>
      </c>
    </row>
    <row r="1728" spans="1:3" x14ac:dyDescent="0.25">
      <c r="A1728" s="81" t="s">
        <v>301</v>
      </c>
      <c r="B1728" s="80" t="s">
        <v>2263</v>
      </c>
      <c r="C1728" s="87" t="s">
        <v>860</v>
      </c>
    </row>
    <row r="1729" spans="1:3" x14ac:dyDescent="0.25">
      <c r="A1729" s="81" t="s">
        <v>301</v>
      </c>
      <c r="B1729" s="80" t="s">
        <v>358</v>
      </c>
      <c r="C1729" s="87" t="s">
        <v>860</v>
      </c>
    </row>
    <row r="1730" spans="1:3" x14ac:dyDescent="0.25">
      <c r="A1730" s="81" t="s">
        <v>301</v>
      </c>
      <c r="B1730" s="80" t="s">
        <v>354</v>
      </c>
      <c r="C1730" s="87" t="s">
        <v>860</v>
      </c>
    </row>
    <row r="1731" spans="1:3" x14ac:dyDescent="0.25">
      <c r="A1731" s="81" t="s">
        <v>301</v>
      </c>
      <c r="B1731" s="80" t="s">
        <v>355</v>
      </c>
      <c r="C1731" s="87" t="s">
        <v>860</v>
      </c>
    </row>
    <row r="1732" spans="1:3" x14ac:dyDescent="0.25">
      <c r="A1732" s="81" t="s">
        <v>301</v>
      </c>
      <c r="B1732" s="80" t="s">
        <v>356</v>
      </c>
      <c r="C1732" s="87" t="s">
        <v>860</v>
      </c>
    </row>
    <row r="1733" spans="1:3" x14ac:dyDescent="0.25">
      <c r="A1733" s="81" t="s">
        <v>301</v>
      </c>
      <c r="B1733" s="80" t="s">
        <v>301</v>
      </c>
      <c r="C1733" s="87" t="s">
        <v>860</v>
      </c>
    </row>
    <row r="1734" spans="1:3" x14ac:dyDescent="0.25">
      <c r="A1734" s="81" t="s">
        <v>301</v>
      </c>
      <c r="B1734" s="80" t="s">
        <v>357</v>
      </c>
      <c r="C1734" s="87" t="s">
        <v>860</v>
      </c>
    </row>
    <row r="1735" spans="1:3" x14ac:dyDescent="0.25">
      <c r="A1735" s="81" t="s">
        <v>301</v>
      </c>
      <c r="B1735" s="80" t="s">
        <v>298</v>
      </c>
      <c r="C1735" s="87" t="s">
        <v>860</v>
      </c>
    </row>
    <row r="1736" spans="1:3" x14ac:dyDescent="0.25">
      <c r="A1736" s="81" t="s">
        <v>301</v>
      </c>
      <c r="B1736" s="80" t="s">
        <v>1867</v>
      </c>
      <c r="C1736" s="87" t="s">
        <v>860</v>
      </c>
    </row>
    <row r="1737" spans="1:3" x14ac:dyDescent="0.25">
      <c r="A1737" s="81" t="s">
        <v>301</v>
      </c>
      <c r="B1737" s="80" t="s">
        <v>1945</v>
      </c>
      <c r="C1737" s="87" t="s">
        <v>860</v>
      </c>
    </row>
    <row r="1738" spans="1:3" x14ac:dyDescent="0.25">
      <c r="A1738" s="81" t="s">
        <v>301</v>
      </c>
      <c r="B1738" s="80" t="s">
        <v>1858</v>
      </c>
      <c r="C1738" s="87" t="s">
        <v>860</v>
      </c>
    </row>
    <row r="1739" spans="1:3" x14ac:dyDescent="0.25">
      <c r="A1739" s="81" t="s">
        <v>248</v>
      </c>
      <c r="B1739" s="80" t="s">
        <v>1763</v>
      </c>
      <c r="C1739" s="87" t="s">
        <v>785</v>
      </c>
    </row>
    <row r="1740" spans="1:3" x14ac:dyDescent="0.25">
      <c r="A1740" s="81" t="s">
        <v>248</v>
      </c>
      <c r="B1740" s="80" t="s">
        <v>1757</v>
      </c>
      <c r="C1740" s="87" t="s">
        <v>785</v>
      </c>
    </row>
    <row r="1741" spans="1:3" x14ac:dyDescent="0.25">
      <c r="A1741" s="81" t="s">
        <v>248</v>
      </c>
      <c r="B1741" s="80" t="s">
        <v>1732</v>
      </c>
      <c r="C1741" s="87" t="s">
        <v>785</v>
      </c>
    </row>
    <row r="1742" spans="1:3" x14ac:dyDescent="0.25">
      <c r="A1742" s="81" t="s">
        <v>248</v>
      </c>
      <c r="B1742" s="80" t="s">
        <v>1753</v>
      </c>
      <c r="C1742" s="87" t="s">
        <v>785</v>
      </c>
    </row>
    <row r="1743" spans="1:3" x14ac:dyDescent="0.25">
      <c r="A1743" s="81" t="s">
        <v>248</v>
      </c>
      <c r="B1743" s="80" t="s">
        <v>1743</v>
      </c>
      <c r="C1743" s="87" t="s">
        <v>785</v>
      </c>
    </row>
    <row r="1744" spans="1:3" x14ac:dyDescent="0.25">
      <c r="A1744" s="81" t="s">
        <v>248</v>
      </c>
      <c r="B1744" s="80" t="s">
        <v>1728</v>
      </c>
      <c r="C1744" s="87" t="s">
        <v>785</v>
      </c>
    </row>
    <row r="1745" spans="1:3" x14ac:dyDescent="0.25">
      <c r="A1745" s="81" t="s">
        <v>248</v>
      </c>
      <c r="B1745" s="80" t="s">
        <v>1641</v>
      </c>
      <c r="C1745" s="87" t="s">
        <v>785</v>
      </c>
    </row>
    <row r="1746" spans="1:3" x14ac:dyDescent="0.25">
      <c r="A1746" s="81" t="s">
        <v>248</v>
      </c>
      <c r="B1746" s="80" t="s">
        <v>1646</v>
      </c>
      <c r="C1746" s="87" t="s">
        <v>785</v>
      </c>
    </row>
    <row r="1747" spans="1:3" x14ac:dyDescent="0.25">
      <c r="A1747" s="81" t="s">
        <v>248</v>
      </c>
      <c r="B1747" s="80" t="s">
        <v>1649</v>
      </c>
      <c r="C1747" s="87" t="s">
        <v>785</v>
      </c>
    </row>
    <row r="1748" spans="1:3" x14ac:dyDescent="0.25">
      <c r="A1748" s="81" t="s">
        <v>248</v>
      </c>
      <c r="B1748" s="80" t="s">
        <v>1663</v>
      </c>
      <c r="C1748" s="87" t="s">
        <v>785</v>
      </c>
    </row>
    <row r="1749" spans="1:3" x14ac:dyDescent="0.25">
      <c r="A1749" s="81" t="s">
        <v>248</v>
      </c>
      <c r="B1749" s="80" t="s">
        <v>268</v>
      </c>
      <c r="C1749" s="87" t="s">
        <v>785</v>
      </c>
    </row>
    <row r="1750" spans="1:3" x14ac:dyDescent="0.25">
      <c r="A1750" s="81" t="s">
        <v>290</v>
      </c>
      <c r="B1750" s="80">
        <v>800</v>
      </c>
      <c r="C1750" s="87" t="s">
        <v>841</v>
      </c>
    </row>
    <row r="1751" spans="1:3" x14ac:dyDescent="0.25">
      <c r="A1751" s="81" t="s">
        <v>290</v>
      </c>
      <c r="B1751" s="80">
        <v>600</v>
      </c>
      <c r="C1751" s="87" t="s">
        <v>841</v>
      </c>
    </row>
    <row r="1752" spans="1:3" x14ac:dyDescent="0.25">
      <c r="A1752" s="81" t="s">
        <v>290</v>
      </c>
      <c r="B1752" s="80" t="s">
        <v>1678</v>
      </c>
      <c r="C1752" s="87" t="s">
        <v>841</v>
      </c>
    </row>
    <row r="1753" spans="1:3" x14ac:dyDescent="0.25">
      <c r="A1753" s="81" t="s">
        <v>290</v>
      </c>
      <c r="B1753" s="80" t="s">
        <v>1691</v>
      </c>
      <c r="C1753" s="87" t="s">
        <v>841</v>
      </c>
    </row>
    <row r="1754" spans="1:3" x14ac:dyDescent="0.25">
      <c r="A1754" s="81" t="s">
        <v>290</v>
      </c>
      <c r="B1754" s="80" t="s">
        <v>1653</v>
      </c>
      <c r="C1754" s="87" t="s">
        <v>841</v>
      </c>
    </row>
    <row r="1755" spans="1:3" x14ac:dyDescent="0.25">
      <c r="A1755" s="81" t="s">
        <v>290</v>
      </c>
      <c r="B1755" s="80" t="s">
        <v>1662</v>
      </c>
      <c r="C1755" s="87" t="s">
        <v>841</v>
      </c>
    </row>
    <row r="1756" spans="1:3" x14ac:dyDescent="0.25">
      <c r="A1756" s="81" t="s">
        <v>290</v>
      </c>
      <c r="B1756" s="80" t="s">
        <v>1660</v>
      </c>
      <c r="C1756" s="87" t="s">
        <v>841</v>
      </c>
    </row>
    <row r="1757" spans="1:3" x14ac:dyDescent="0.25">
      <c r="A1757" s="81" t="s">
        <v>290</v>
      </c>
      <c r="B1757" s="80" t="s">
        <v>1679</v>
      </c>
      <c r="C1757" s="87" t="s">
        <v>841</v>
      </c>
    </row>
    <row r="1758" spans="1:3" x14ac:dyDescent="0.25">
      <c r="A1758" s="81" t="s">
        <v>290</v>
      </c>
      <c r="B1758" s="80" t="s">
        <v>268</v>
      </c>
      <c r="C1758" s="87" t="s">
        <v>841</v>
      </c>
    </row>
    <row r="1759" spans="1:3" x14ac:dyDescent="0.25">
      <c r="A1759" s="81" t="s">
        <v>290</v>
      </c>
      <c r="B1759" s="80">
        <v>2024</v>
      </c>
      <c r="C1759" s="87" t="s">
        <v>841</v>
      </c>
    </row>
    <row r="1760" spans="1:3" x14ac:dyDescent="0.25">
      <c r="A1760" s="81" t="s">
        <v>290</v>
      </c>
      <c r="B1760" s="80" t="s">
        <v>1658</v>
      </c>
      <c r="C1760" s="87" t="s">
        <v>841</v>
      </c>
    </row>
    <row r="1761" spans="1:3" x14ac:dyDescent="0.25">
      <c r="A1761" s="81" t="s">
        <v>290</v>
      </c>
      <c r="B1761" s="80" t="s">
        <v>1645</v>
      </c>
      <c r="C1761" s="87" t="s">
        <v>841</v>
      </c>
    </row>
    <row r="1762" spans="1:3" x14ac:dyDescent="0.25">
      <c r="A1762" s="81" t="s">
        <v>290</v>
      </c>
      <c r="B1762" s="80" t="s">
        <v>289</v>
      </c>
      <c r="C1762" s="87" t="s">
        <v>841</v>
      </c>
    </row>
    <row r="1763" spans="1:3" x14ac:dyDescent="0.25">
      <c r="A1763" s="81" t="s">
        <v>260</v>
      </c>
      <c r="B1763" s="80" t="s">
        <v>2264</v>
      </c>
      <c r="C1763" s="87" t="s">
        <v>769</v>
      </c>
    </row>
    <row r="1764" spans="1:3" x14ac:dyDescent="0.25">
      <c r="A1764" s="81" t="s">
        <v>260</v>
      </c>
      <c r="B1764" s="80" t="s">
        <v>1910</v>
      </c>
      <c r="C1764" s="87" t="s">
        <v>769</v>
      </c>
    </row>
    <row r="1765" spans="1:3" x14ac:dyDescent="0.25">
      <c r="A1765" s="81" t="s">
        <v>260</v>
      </c>
      <c r="B1765" s="80" t="s">
        <v>1762</v>
      </c>
      <c r="C1765" s="87" t="s">
        <v>769</v>
      </c>
    </row>
    <row r="1766" spans="1:3" x14ac:dyDescent="0.25">
      <c r="A1766" s="81" t="s">
        <v>260</v>
      </c>
      <c r="B1766" s="80" t="s">
        <v>1931</v>
      </c>
      <c r="C1766" s="87" t="s">
        <v>769</v>
      </c>
    </row>
    <row r="1767" spans="1:3" x14ac:dyDescent="0.25">
      <c r="A1767" s="81" t="s">
        <v>260</v>
      </c>
      <c r="B1767" s="80" t="s">
        <v>1778</v>
      </c>
      <c r="C1767" s="87" t="s">
        <v>769</v>
      </c>
    </row>
    <row r="1768" spans="1:3" x14ac:dyDescent="0.25">
      <c r="A1768" s="81" t="s">
        <v>260</v>
      </c>
      <c r="B1768" s="80" t="s">
        <v>1705</v>
      </c>
      <c r="C1768" s="87" t="s">
        <v>769</v>
      </c>
    </row>
    <row r="1769" spans="1:3" x14ac:dyDescent="0.25">
      <c r="A1769" s="81" t="s">
        <v>260</v>
      </c>
      <c r="B1769" s="80" t="s">
        <v>1880</v>
      </c>
      <c r="C1769" s="87" t="s">
        <v>769</v>
      </c>
    </row>
    <row r="1770" spans="1:3" x14ac:dyDescent="0.25">
      <c r="A1770" s="81" t="s">
        <v>260</v>
      </c>
      <c r="B1770" s="80" t="s">
        <v>1742</v>
      </c>
      <c r="C1770" s="87" t="s">
        <v>769</v>
      </c>
    </row>
    <row r="1771" spans="1:3" x14ac:dyDescent="0.25">
      <c r="A1771" s="81" t="s">
        <v>260</v>
      </c>
      <c r="B1771" s="80" t="s">
        <v>1776</v>
      </c>
      <c r="C1771" s="87" t="s">
        <v>769</v>
      </c>
    </row>
    <row r="1772" spans="1:3" x14ac:dyDescent="0.25">
      <c r="A1772" s="81" t="s">
        <v>260</v>
      </c>
      <c r="B1772" s="80" t="s">
        <v>1856</v>
      </c>
      <c r="C1772" s="87" t="s">
        <v>769</v>
      </c>
    </row>
    <row r="1773" spans="1:3" x14ac:dyDescent="0.25">
      <c r="A1773" s="81" t="s">
        <v>260</v>
      </c>
      <c r="B1773" s="80" t="s">
        <v>1803</v>
      </c>
      <c r="C1773" s="87" t="s">
        <v>769</v>
      </c>
    </row>
    <row r="1774" spans="1:3" x14ac:dyDescent="0.25">
      <c r="A1774" s="81" t="s">
        <v>260</v>
      </c>
      <c r="B1774" s="80" t="s">
        <v>292</v>
      </c>
      <c r="C1774" s="87" t="s">
        <v>769</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4F1F6-F069-4A33-92E3-41C61EE7F28A}">
  <dimension ref="A1:B7315"/>
  <sheetViews>
    <sheetView workbookViewId="0"/>
  </sheetViews>
  <sheetFormatPr defaultRowHeight="15" x14ac:dyDescent="0.25"/>
  <cols>
    <col min="1" max="1" width="8.140625" bestFit="1" customWidth="1"/>
    <col min="2" max="2" width="6.28515625" bestFit="1" customWidth="1"/>
  </cols>
  <sheetData>
    <row r="1" spans="1:2" ht="15" customHeight="1" x14ac:dyDescent="0.25">
      <c r="A1" s="13" t="s">
        <v>1631</v>
      </c>
      <c r="B1" s="13" t="s">
        <v>9512</v>
      </c>
    </row>
    <row r="2" spans="1:2" x14ac:dyDescent="0.25">
      <c r="A2" s="80">
        <v>0</v>
      </c>
      <c r="B2" s="80" t="s">
        <v>9513</v>
      </c>
    </row>
    <row r="3" spans="1:2" x14ac:dyDescent="0.25">
      <c r="A3" s="81">
        <v>1</v>
      </c>
      <c r="B3" s="80" t="s">
        <v>9513</v>
      </c>
    </row>
    <row r="4" spans="1:2" x14ac:dyDescent="0.25">
      <c r="A4" s="81">
        <v>2</v>
      </c>
      <c r="B4" s="80" t="s">
        <v>9513</v>
      </c>
    </row>
    <row r="5" spans="1:2" x14ac:dyDescent="0.25">
      <c r="A5" s="81">
        <v>3</v>
      </c>
      <c r="B5" s="80" t="s">
        <v>9513</v>
      </c>
    </row>
    <row r="6" spans="1:2" x14ac:dyDescent="0.25">
      <c r="A6" s="81">
        <v>4</v>
      </c>
      <c r="B6" s="80" t="s">
        <v>9513</v>
      </c>
    </row>
    <row r="7" spans="1:2" x14ac:dyDescent="0.25">
      <c r="A7" s="81">
        <v>5</v>
      </c>
      <c r="B7" s="80" t="s">
        <v>9513</v>
      </c>
    </row>
    <row r="8" spans="1:2" x14ac:dyDescent="0.25">
      <c r="A8" s="81">
        <v>6</v>
      </c>
      <c r="B8" s="80" t="s">
        <v>9513</v>
      </c>
    </row>
    <row r="9" spans="1:2" x14ac:dyDescent="0.25">
      <c r="A9" s="81">
        <v>7</v>
      </c>
      <c r="B9" s="80" t="s">
        <v>9513</v>
      </c>
    </row>
    <row r="10" spans="1:2" x14ac:dyDescent="0.25">
      <c r="A10" s="81">
        <v>8</v>
      </c>
      <c r="B10" s="80" t="s">
        <v>9513</v>
      </c>
    </row>
    <row r="11" spans="1:2" x14ac:dyDescent="0.25">
      <c r="A11" s="81">
        <v>9</v>
      </c>
      <c r="B11" s="80" t="s">
        <v>9513</v>
      </c>
    </row>
    <row r="12" spans="1:2" x14ac:dyDescent="0.25">
      <c r="A12" s="81" t="s">
        <v>2265</v>
      </c>
      <c r="B12" s="80" t="s">
        <v>9513</v>
      </c>
    </row>
    <row r="13" spans="1:2" x14ac:dyDescent="0.25">
      <c r="A13" s="81" t="s">
        <v>2266</v>
      </c>
      <c r="B13" s="80" t="s">
        <v>9513</v>
      </c>
    </row>
    <row r="14" spans="1:2" x14ac:dyDescent="0.25">
      <c r="A14" s="81" t="s">
        <v>2267</v>
      </c>
      <c r="B14" s="80" t="s">
        <v>9513</v>
      </c>
    </row>
    <row r="15" spans="1:2" x14ac:dyDescent="0.25">
      <c r="A15" s="81" t="s">
        <v>2268</v>
      </c>
      <c r="B15" s="80" t="s">
        <v>9513</v>
      </c>
    </row>
    <row r="16" spans="1:2" x14ac:dyDescent="0.25">
      <c r="A16" s="81" t="s">
        <v>2269</v>
      </c>
      <c r="B16" s="80" t="s">
        <v>9513</v>
      </c>
    </row>
    <row r="17" spans="1:2" x14ac:dyDescent="0.25">
      <c r="A17" s="81" t="s">
        <v>2270</v>
      </c>
      <c r="B17" s="80" t="s">
        <v>9513</v>
      </c>
    </row>
    <row r="18" spans="1:2" x14ac:dyDescent="0.25">
      <c r="A18" s="81" t="s">
        <v>2271</v>
      </c>
      <c r="B18" s="80" t="s">
        <v>9513</v>
      </c>
    </row>
    <row r="19" spans="1:2" x14ac:dyDescent="0.25">
      <c r="A19" s="81" t="s">
        <v>2272</v>
      </c>
      <c r="B19" s="80" t="s">
        <v>9513</v>
      </c>
    </row>
    <row r="20" spans="1:2" x14ac:dyDescent="0.25">
      <c r="A20" s="81" t="s">
        <v>2273</v>
      </c>
      <c r="B20" s="80" t="s">
        <v>9513</v>
      </c>
    </row>
    <row r="21" spans="1:2" x14ac:dyDescent="0.25">
      <c r="A21" s="81" t="s">
        <v>2274</v>
      </c>
      <c r="B21" s="80" t="s">
        <v>9513</v>
      </c>
    </row>
    <row r="22" spans="1:2" x14ac:dyDescent="0.25">
      <c r="A22" s="81" t="s">
        <v>2275</v>
      </c>
      <c r="B22" s="80" t="s">
        <v>9513</v>
      </c>
    </row>
    <row r="23" spans="1:2" x14ac:dyDescent="0.25">
      <c r="A23" s="81" t="s">
        <v>2276</v>
      </c>
      <c r="B23" s="80" t="s">
        <v>9513</v>
      </c>
    </row>
    <row r="24" spans="1:2" x14ac:dyDescent="0.25">
      <c r="A24" s="81" t="s">
        <v>2277</v>
      </c>
      <c r="B24" s="80" t="s">
        <v>9513</v>
      </c>
    </row>
    <row r="25" spans="1:2" x14ac:dyDescent="0.25">
      <c r="A25" s="81" t="s">
        <v>2278</v>
      </c>
      <c r="B25" s="80" t="s">
        <v>9513</v>
      </c>
    </row>
    <row r="26" spans="1:2" x14ac:dyDescent="0.25">
      <c r="A26" s="81" t="s">
        <v>2279</v>
      </c>
      <c r="B26" s="80" t="s">
        <v>9513</v>
      </c>
    </row>
    <row r="27" spans="1:2" x14ac:dyDescent="0.25">
      <c r="A27" s="81" t="s">
        <v>2280</v>
      </c>
      <c r="B27" s="80" t="s">
        <v>9513</v>
      </c>
    </row>
    <row r="28" spans="1:2" x14ac:dyDescent="0.25">
      <c r="A28" s="81" t="s">
        <v>2281</v>
      </c>
      <c r="B28" s="80" t="s">
        <v>9513</v>
      </c>
    </row>
    <row r="29" spans="1:2" x14ac:dyDescent="0.25">
      <c r="A29" s="81" t="s">
        <v>2282</v>
      </c>
      <c r="B29" s="80" t="s">
        <v>9513</v>
      </c>
    </row>
    <row r="30" spans="1:2" x14ac:dyDescent="0.25">
      <c r="A30" s="81" t="s">
        <v>2283</v>
      </c>
      <c r="B30" s="80" t="s">
        <v>9513</v>
      </c>
    </row>
    <row r="31" spans="1:2" x14ac:dyDescent="0.25">
      <c r="A31" s="81" t="s">
        <v>2284</v>
      </c>
      <c r="B31" s="80" t="s">
        <v>9513</v>
      </c>
    </row>
    <row r="32" spans="1:2" x14ac:dyDescent="0.25">
      <c r="A32" s="81" t="s">
        <v>2285</v>
      </c>
      <c r="B32" s="80" t="s">
        <v>9513</v>
      </c>
    </row>
    <row r="33" spans="1:2" x14ac:dyDescent="0.25">
      <c r="A33" s="81" t="s">
        <v>2286</v>
      </c>
      <c r="B33" s="80" t="s">
        <v>9513</v>
      </c>
    </row>
    <row r="34" spans="1:2" x14ac:dyDescent="0.25">
      <c r="A34" s="81" t="s">
        <v>2287</v>
      </c>
      <c r="B34" s="80" t="s">
        <v>9513</v>
      </c>
    </row>
    <row r="35" spans="1:2" x14ac:dyDescent="0.25">
      <c r="A35" s="81" t="s">
        <v>2288</v>
      </c>
      <c r="B35" s="80" t="s">
        <v>9513</v>
      </c>
    </row>
    <row r="36" spans="1:2" x14ac:dyDescent="0.25">
      <c r="A36" s="81" t="s">
        <v>2289</v>
      </c>
      <c r="B36" s="80" t="s">
        <v>9513</v>
      </c>
    </row>
    <row r="37" spans="1:2" x14ac:dyDescent="0.25">
      <c r="A37" s="81" t="s">
        <v>2290</v>
      </c>
      <c r="B37" s="80" t="s">
        <v>9513</v>
      </c>
    </row>
    <row r="38" spans="1:2" x14ac:dyDescent="0.25">
      <c r="A38" s="81" t="s">
        <v>2291</v>
      </c>
      <c r="B38" s="80" t="s">
        <v>9513</v>
      </c>
    </row>
    <row r="39" spans="1:2" x14ac:dyDescent="0.25">
      <c r="A39" s="81" t="s">
        <v>2292</v>
      </c>
      <c r="B39" s="80" t="s">
        <v>9513</v>
      </c>
    </row>
    <row r="40" spans="1:2" x14ac:dyDescent="0.25">
      <c r="A40" s="81" t="s">
        <v>2293</v>
      </c>
      <c r="B40" s="80" t="s">
        <v>9513</v>
      </c>
    </row>
    <row r="41" spans="1:2" x14ac:dyDescent="0.25">
      <c r="A41" s="81" t="s">
        <v>2294</v>
      </c>
      <c r="B41" s="80" t="s">
        <v>9513</v>
      </c>
    </row>
    <row r="42" spans="1:2" x14ac:dyDescent="0.25">
      <c r="A42" s="81" t="s">
        <v>2295</v>
      </c>
      <c r="B42" s="80" t="s">
        <v>9513</v>
      </c>
    </row>
    <row r="43" spans="1:2" x14ac:dyDescent="0.25">
      <c r="A43" s="81" t="s">
        <v>2296</v>
      </c>
      <c r="B43" s="80" t="s">
        <v>9513</v>
      </c>
    </row>
    <row r="44" spans="1:2" x14ac:dyDescent="0.25">
      <c r="A44" s="81" t="s">
        <v>2297</v>
      </c>
      <c r="B44" s="80" t="s">
        <v>9513</v>
      </c>
    </row>
    <row r="45" spans="1:2" x14ac:dyDescent="0.25">
      <c r="A45" s="81" t="s">
        <v>2298</v>
      </c>
      <c r="B45" s="80" t="s">
        <v>9513</v>
      </c>
    </row>
    <row r="46" spans="1:2" x14ac:dyDescent="0.25">
      <c r="A46" s="81" t="s">
        <v>2299</v>
      </c>
      <c r="B46" s="80" t="s">
        <v>9513</v>
      </c>
    </row>
    <row r="47" spans="1:2" x14ac:dyDescent="0.25">
      <c r="A47" s="81" t="s">
        <v>2300</v>
      </c>
      <c r="B47" s="80" t="s">
        <v>9513</v>
      </c>
    </row>
    <row r="48" spans="1:2" x14ac:dyDescent="0.25">
      <c r="A48" s="81" t="s">
        <v>2301</v>
      </c>
      <c r="B48" s="80" t="s">
        <v>9513</v>
      </c>
    </row>
    <row r="49" spans="1:2" x14ac:dyDescent="0.25">
      <c r="A49" s="81" t="s">
        <v>2302</v>
      </c>
      <c r="B49" s="80" t="s">
        <v>9513</v>
      </c>
    </row>
    <row r="50" spans="1:2" x14ac:dyDescent="0.25">
      <c r="A50" s="81" t="s">
        <v>2303</v>
      </c>
      <c r="B50" s="80" t="s">
        <v>9513</v>
      </c>
    </row>
    <row r="51" spans="1:2" x14ac:dyDescent="0.25">
      <c r="A51" s="81" t="s">
        <v>2304</v>
      </c>
      <c r="B51" s="80" t="s">
        <v>9513</v>
      </c>
    </row>
    <row r="52" spans="1:2" x14ac:dyDescent="0.25">
      <c r="A52" s="81" t="s">
        <v>2305</v>
      </c>
      <c r="B52" s="80" t="s">
        <v>9513</v>
      </c>
    </row>
    <row r="53" spans="1:2" x14ac:dyDescent="0.25">
      <c r="A53" s="81" t="s">
        <v>2306</v>
      </c>
      <c r="B53" s="80" t="s">
        <v>9513</v>
      </c>
    </row>
    <row r="54" spans="1:2" x14ac:dyDescent="0.25">
      <c r="A54" s="81" t="s">
        <v>2307</v>
      </c>
      <c r="B54" s="80" t="s">
        <v>9513</v>
      </c>
    </row>
    <row r="55" spans="1:2" x14ac:dyDescent="0.25">
      <c r="A55" s="81" t="s">
        <v>2308</v>
      </c>
      <c r="B55" s="80" t="s">
        <v>9513</v>
      </c>
    </row>
    <row r="56" spans="1:2" x14ac:dyDescent="0.25">
      <c r="A56" s="81" t="s">
        <v>2309</v>
      </c>
      <c r="B56" s="80" t="s">
        <v>9513</v>
      </c>
    </row>
    <row r="57" spans="1:2" x14ac:dyDescent="0.25">
      <c r="A57" s="81" t="s">
        <v>2310</v>
      </c>
      <c r="B57" s="80" t="s">
        <v>9513</v>
      </c>
    </row>
    <row r="58" spans="1:2" x14ac:dyDescent="0.25">
      <c r="A58" s="81" t="s">
        <v>2311</v>
      </c>
      <c r="B58" s="80" t="s">
        <v>9513</v>
      </c>
    </row>
    <row r="59" spans="1:2" x14ac:dyDescent="0.25">
      <c r="A59" s="81" t="s">
        <v>2312</v>
      </c>
      <c r="B59" s="80" t="s">
        <v>9513</v>
      </c>
    </row>
    <row r="60" spans="1:2" x14ac:dyDescent="0.25">
      <c r="A60" s="81" t="s">
        <v>2313</v>
      </c>
      <c r="B60" s="80" t="s">
        <v>9513</v>
      </c>
    </row>
    <row r="61" spans="1:2" x14ac:dyDescent="0.25">
      <c r="A61" s="81" t="s">
        <v>2314</v>
      </c>
      <c r="B61" s="80" t="s">
        <v>9513</v>
      </c>
    </row>
    <row r="62" spans="1:2" x14ac:dyDescent="0.25">
      <c r="A62" s="81" t="s">
        <v>2315</v>
      </c>
      <c r="B62" s="80" t="s">
        <v>9513</v>
      </c>
    </row>
    <row r="63" spans="1:2" x14ac:dyDescent="0.25">
      <c r="A63" s="81" t="s">
        <v>2316</v>
      </c>
      <c r="B63" s="80" t="s">
        <v>9513</v>
      </c>
    </row>
    <row r="64" spans="1:2" x14ac:dyDescent="0.25">
      <c r="A64" s="81" t="s">
        <v>2317</v>
      </c>
      <c r="B64" s="80" t="s">
        <v>9513</v>
      </c>
    </row>
    <row r="65" spans="1:2" x14ac:dyDescent="0.25">
      <c r="A65" s="81" t="s">
        <v>2318</v>
      </c>
      <c r="B65" s="80" t="s">
        <v>9513</v>
      </c>
    </row>
    <row r="66" spans="1:2" x14ac:dyDescent="0.25">
      <c r="A66" s="81" t="s">
        <v>2319</v>
      </c>
      <c r="B66" s="80" t="s">
        <v>9513</v>
      </c>
    </row>
    <row r="67" spans="1:2" x14ac:dyDescent="0.25">
      <c r="A67" s="81" t="s">
        <v>2320</v>
      </c>
      <c r="B67" s="80" t="s">
        <v>9513</v>
      </c>
    </row>
    <row r="68" spans="1:2" x14ac:dyDescent="0.25">
      <c r="A68" s="81" t="s">
        <v>2321</v>
      </c>
      <c r="B68" s="80" t="s">
        <v>9513</v>
      </c>
    </row>
    <row r="69" spans="1:2" x14ac:dyDescent="0.25">
      <c r="A69" s="81" t="s">
        <v>2322</v>
      </c>
      <c r="B69" s="80" t="s">
        <v>9513</v>
      </c>
    </row>
    <row r="70" spans="1:2" x14ac:dyDescent="0.25">
      <c r="A70" s="81" t="s">
        <v>2323</v>
      </c>
      <c r="B70" s="80" t="s">
        <v>9513</v>
      </c>
    </row>
    <row r="71" spans="1:2" x14ac:dyDescent="0.25">
      <c r="A71" s="81" t="s">
        <v>2324</v>
      </c>
      <c r="B71" s="80" t="s">
        <v>9513</v>
      </c>
    </row>
    <row r="72" spans="1:2" x14ac:dyDescent="0.25">
      <c r="A72" s="81" t="s">
        <v>2325</v>
      </c>
      <c r="B72" s="80" t="s">
        <v>9513</v>
      </c>
    </row>
    <row r="73" spans="1:2" x14ac:dyDescent="0.25">
      <c r="A73" s="81" t="s">
        <v>2326</v>
      </c>
      <c r="B73" s="80" t="s">
        <v>9513</v>
      </c>
    </row>
    <row r="74" spans="1:2" x14ac:dyDescent="0.25">
      <c r="A74" s="81" t="s">
        <v>2327</v>
      </c>
      <c r="B74" s="80" t="s">
        <v>9513</v>
      </c>
    </row>
    <row r="75" spans="1:2" x14ac:dyDescent="0.25">
      <c r="A75" s="81" t="s">
        <v>2328</v>
      </c>
      <c r="B75" s="80" t="s">
        <v>9513</v>
      </c>
    </row>
    <row r="76" spans="1:2" x14ac:dyDescent="0.25">
      <c r="A76" s="81" t="s">
        <v>2329</v>
      </c>
      <c r="B76" s="80" t="s">
        <v>9513</v>
      </c>
    </row>
    <row r="77" spans="1:2" x14ac:dyDescent="0.25">
      <c r="A77" s="81" t="s">
        <v>2330</v>
      </c>
      <c r="B77" s="80" t="s">
        <v>9513</v>
      </c>
    </row>
    <row r="78" spans="1:2" x14ac:dyDescent="0.25">
      <c r="A78" s="81" t="s">
        <v>2331</v>
      </c>
      <c r="B78" s="80" t="s">
        <v>9513</v>
      </c>
    </row>
    <row r="79" spans="1:2" x14ac:dyDescent="0.25">
      <c r="A79" s="81" t="s">
        <v>2332</v>
      </c>
      <c r="B79" s="80" t="s">
        <v>9513</v>
      </c>
    </row>
    <row r="80" spans="1:2" x14ac:dyDescent="0.25">
      <c r="A80" s="81" t="s">
        <v>2333</v>
      </c>
      <c r="B80" s="80" t="s">
        <v>9513</v>
      </c>
    </row>
    <row r="81" spans="1:2" x14ac:dyDescent="0.25">
      <c r="A81" s="81" t="s">
        <v>2334</v>
      </c>
      <c r="B81" s="80" t="s">
        <v>9513</v>
      </c>
    </row>
    <row r="82" spans="1:2" x14ac:dyDescent="0.25">
      <c r="A82" s="81" t="s">
        <v>2335</v>
      </c>
      <c r="B82" s="80" t="s">
        <v>9513</v>
      </c>
    </row>
    <row r="83" spans="1:2" x14ac:dyDescent="0.25">
      <c r="A83" s="81" t="s">
        <v>2336</v>
      </c>
      <c r="B83" s="80" t="s">
        <v>9513</v>
      </c>
    </row>
    <row r="84" spans="1:2" x14ac:dyDescent="0.25">
      <c r="A84" s="81" t="s">
        <v>2337</v>
      </c>
      <c r="B84" s="80" t="s">
        <v>9513</v>
      </c>
    </row>
    <row r="85" spans="1:2" x14ac:dyDescent="0.25">
      <c r="A85" s="81" t="s">
        <v>2338</v>
      </c>
      <c r="B85" s="80" t="s">
        <v>9513</v>
      </c>
    </row>
    <row r="86" spans="1:2" x14ac:dyDescent="0.25">
      <c r="A86" s="81" t="s">
        <v>2339</v>
      </c>
      <c r="B86" s="80" t="s">
        <v>9513</v>
      </c>
    </row>
    <row r="87" spans="1:2" x14ac:dyDescent="0.25">
      <c r="A87" s="81" t="s">
        <v>2340</v>
      </c>
      <c r="B87" s="80" t="s">
        <v>9513</v>
      </c>
    </row>
    <row r="88" spans="1:2" x14ac:dyDescent="0.25">
      <c r="A88" s="81" t="s">
        <v>2341</v>
      </c>
      <c r="B88" s="80" t="s">
        <v>9513</v>
      </c>
    </row>
    <row r="89" spans="1:2" x14ac:dyDescent="0.25">
      <c r="A89" s="81" t="s">
        <v>2342</v>
      </c>
      <c r="B89" s="80" t="s">
        <v>9513</v>
      </c>
    </row>
    <row r="90" spans="1:2" x14ac:dyDescent="0.25">
      <c r="A90" s="81" t="s">
        <v>2343</v>
      </c>
      <c r="B90" s="80" t="s">
        <v>9513</v>
      </c>
    </row>
    <row r="91" spans="1:2" x14ac:dyDescent="0.25">
      <c r="A91" s="81" t="s">
        <v>2344</v>
      </c>
      <c r="B91" s="80" t="s">
        <v>9513</v>
      </c>
    </row>
    <row r="92" spans="1:2" x14ac:dyDescent="0.25">
      <c r="A92" s="81" t="s">
        <v>2345</v>
      </c>
      <c r="B92" s="80" t="s">
        <v>9513</v>
      </c>
    </row>
    <row r="93" spans="1:2" x14ac:dyDescent="0.25">
      <c r="A93" s="81" t="s">
        <v>2346</v>
      </c>
      <c r="B93" s="80" t="s">
        <v>9513</v>
      </c>
    </row>
    <row r="94" spans="1:2" x14ac:dyDescent="0.25">
      <c r="A94" s="81" t="s">
        <v>2347</v>
      </c>
      <c r="B94" s="80" t="s">
        <v>9513</v>
      </c>
    </row>
    <row r="95" spans="1:2" x14ac:dyDescent="0.25">
      <c r="A95" s="81" t="s">
        <v>2348</v>
      </c>
      <c r="B95" s="80" t="s">
        <v>9513</v>
      </c>
    </row>
    <row r="96" spans="1:2" x14ac:dyDescent="0.25">
      <c r="A96" s="81" t="s">
        <v>2349</v>
      </c>
      <c r="B96" s="80" t="s">
        <v>9513</v>
      </c>
    </row>
    <row r="97" spans="1:2" x14ac:dyDescent="0.25">
      <c r="A97" s="81" t="s">
        <v>2350</v>
      </c>
      <c r="B97" s="80" t="s">
        <v>9513</v>
      </c>
    </row>
    <row r="98" spans="1:2" x14ac:dyDescent="0.25">
      <c r="A98" s="81" t="s">
        <v>2351</v>
      </c>
      <c r="B98" s="80" t="s">
        <v>9513</v>
      </c>
    </row>
    <row r="99" spans="1:2" x14ac:dyDescent="0.25">
      <c r="A99" s="81" t="s">
        <v>2352</v>
      </c>
      <c r="B99" s="80" t="s">
        <v>9513</v>
      </c>
    </row>
    <row r="100" spans="1:2" x14ac:dyDescent="0.25">
      <c r="A100" s="81" t="s">
        <v>2353</v>
      </c>
      <c r="B100" s="80" t="s">
        <v>9513</v>
      </c>
    </row>
    <row r="101" spans="1:2" x14ac:dyDescent="0.25">
      <c r="A101" s="81" t="s">
        <v>2354</v>
      </c>
      <c r="B101" s="80" t="s">
        <v>9513</v>
      </c>
    </row>
    <row r="102" spans="1:2" x14ac:dyDescent="0.25">
      <c r="A102" s="81" t="s">
        <v>2355</v>
      </c>
      <c r="B102" s="80" t="s">
        <v>9513</v>
      </c>
    </row>
    <row r="103" spans="1:2" x14ac:dyDescent="0.25">
      <c r="A103" s="81" t="s">
        <v>2356</v>
      </c>
      <c r="B103" s="80" t="s">
        <v>9513</v>
      </c>
    </row>
    <row r="104" spans="1:2" x14ac:dyDescent="0.25">
      <c r="A104" s="81" t="s">
        <v>2357</v>
      </c>
      <c r="B104" s="80" t="s">
        <v>9513</v>
      </c>
    </row>
    <row r="105" spans="1:2" x14ac:dyDescent="0.25">
      <c r="A105" s="81" t="s">
        <v>2358</v>
      </c>
      <c r="B105" s="80" t="s">
        <v>9513</v>
      </c>
    </row>
    <row r="106" spans="1:2" x14ac:dyDescent="0.25">
      <c r="A106" s="81" t="s">
        <v>2359</v>
      </c>
      <c r="B106" s="80" t="s">
        <v>9513</v>
      </c>
    </row>
    <row r="107" spans="1:2" x14ac:dyDescent="0.25">
      <c r="A107" s="81" t="s">
        <v>2360</v>
      </c>
      <c r="B107" s="80" t="s">
        <v>9513</v>
      </c>
    </row>
    <row r="108" spans="1:2" x14ac:dyDescent="0.25">
      <c r="A108" s="81" t="s">
        <v>2361</v>
      </c>
      <c r="B108" s="80" t="s">
        <v>9513</v>
      </c>
    </row>
    <row r="109" spans="1:2" x14ac:dyDescent="0.25">
      <c r="A109" s="81" t="s">
        <v>2362</v>
      </c>
      <c r="B109" s="80" t="s">
        <v>9513</v>
      </c>
    </row>
    <row r="110" spans="1:2" x14ac:dyDescent="0.25">
      <c r="A110" s="81" t="s">
        <v>2363</v>
      </c>
      <c r="B110" s="80" t="s">
        <v>9513</v>
      </c>
    </row>
    <row r="111" spans="1:2" x14ac:dyDescent="0.25">
      <c r="A111" s="81" t="s">
        <v>2364</v>
      </c>
      <c r="B111" s="80" t="s">
        <v>9513</v>
      </c>
    </row>
    <row r="112" spans="1:2" x14ac:dyDescent="0.25">
      <c r="A112" s="81" t="s">
        <v>2365</v>
      </c>
      <c r="B112" s="80" t="s">
        <v>9513</v>
      </c>
    </row>
    <row r="113" spans="1:2" x14ac:dyDescent="0.25">
      <c r="A113" s="81" t="s">
        <v>2366</v>
      </c>
      <c r="B113" s="80" t="s">
        <v>9513</v>
      </c>
    </row>
    <row r="114" spans="1:2" x14ac:dyDescent="0.25">
      <c r="A114" s="81" t="s">
        <v>2367</v>
      </c>
      <c r="B114" s="80" t="s">
        <v>9513</v>
      </c>
    </row>
    <row r="115" spans="1:2" x14ac:dyDescent="0.25">
      <c r="A115" s="81" t="s">
        <v>2368</v>
      </c>
      <c r="B115" s="80" t="s">
        <v>9513</v>
      </c>
    </row>
    <row r="116" spans="1:2" x14ac:dyDescent="0.25">
      <c r="A116" s="81" t="s">
        <v>2369</v>
      </c>
      <c r="B116" s="80" t="s">
        <v>9513</v>
      </c>
    </row>
    <row r="117" spans="1:2" x14ac:dyDescent="0.25">
      <c r="A117" s="81" t="s">
        <v>2370</v>
      </c>
      <c r="B117" s="80" t="s">
        <v>9513</v>
      </c>
    </row>
    <row r="118" spans="1:2" x14ac:dyDescent="0.25">
      <c r="A118" s="81" t="s">
        <v>2371</v>
      </c>
      <c r="B118" s="80" t="s">
        <v>9513</v>
      </c>
    </row>
    <row r="119" spans="1:2" x14ac:dyDescent="0.25">
      <c r="A119" s="81" t="s">
        <v>2372</v>
      </c>
      <c r="B119" s="80" t="s">
        <v>9513</v>
      </c>
    </row>
    <row r="120" spans="1:2" x14ac:dyDescent="0.25">
      <c r="A120" s="81" t="s">
        <v>2373</v>
      </c>
      <c r="B120" s="80" t="s">
        <v>9513</v>
      </c>
    </row>
    <row r="121" spans="1:2" x14ac:dyDescent="0.25">
      <c r="A121" s="81" t="s">
        <v>2374</v>
      </c>
      <c r="B121" s="80" t="s">
        <v>9513</v>
      </c>
    </row>
    <row r="122" spans="1:2" x14ac:dyDescent="0.25">
      <c r="A122" s="81" t="s">
        <v>2375</v>
      </c>
      <c r="B122" s="80" t="s">
        <v>9513</v>
      </c>
    </row>
    <row r="123" spans="1:2" x14ac:dyDescent="0.25">
      <c r="A123" s="81" t="s">
        <v>2376</v>
      </c>
      <c r="B123" s="80" t="s">
        <v>9513</v>
      </c>
    </row>
    <row r="124" spans="1:2" x14ac:dyDescent="0.25">
      <c r="A124" s="81" t="s">
        <v>2377</v>
      </c>
      <c r="B124" s="80" t="s">
        <v>9513</v>
      </c>
    </row>
    <row r="125" spans="1:2" x14ac:dyDescent="0.25">
      <c r="A125" s="81" t="s">
        <v>2378</v>
      </c>
      <c r="B125" s="80" t="s">
        <v>9513</v>
      </c>
    </row>
    <row r="126" spans="1:2" x14ac:dyDescent="0.25">
      <c r="A126" s="81" t="s">
        <v>2379</v>
      </c>
      <c r="B126" s="80" t="s">
        <v>9513</v>
      </c>
    </row>
    <row r="127" spans="1:2" x14ac:dyDescent="0.25">
      <c r="A127" s="81" t="s">
        <v>2380</v>
      </c>
      <c r="B127" s="80" t="s">
        <v>9513</v>
      </c>
    </row>
    <row r="128" spans="1:2" x14ac:dyDescent="0.25">
      <c r="A128" s="81" t="s">
        <v>2381</v>
      </c>
      <c r="B128" s="80" t="s">
        <v>9513</v>
      </c>
    </row>
    <row r="129" spans="1:2" x14ac:dyDescent="0.25">
      <c r="A129" s="81" t="s">
        <v>2382</v>
      </c>
      <c r="B129" s="80" t="s">
        <v>9513</v>
      </c>
    </row>
    <row r="130" spans="1:2" x14ac:dyDescent="0.25">
      <c r="A130" s="81" t="s">
        <v>2383</v>
      </c>
      <c r="B130" s="80" t="s">
        <v>9513</v>
      </c>
    </row>
    <row r="131" spans="1:2" x14ac:dyDescent="0.25">
      <c r="A131" s="81" t="s">
        <v>2384</v>
      </c>
      <c r="B131" s="80" t="s">
        <v>9513</v>
      </c>
    </row>
    <row r="132" spans="1:2" x14ac:dyDescent="0.25">
      <c r="A132" s="81" t="s">
        <v>2385</v>
      </c>
      <c r="B132" s="80" t="s">
        <v>9513</v>
      </c>
    </row>
    <row r="133" spans="1:2" x14ac:dyDescent="0.25">
      <c r="A133" s="81" t="s">
        <v>2386</v>
      </c>
      <c r="B133" s="80" t="s">
        <v>9513</v>
      </c>
    </row>
    <row r="134" spans="1:2" x14ac:dyDescent="0.25">
      <c r="A134" s="81" t="s">
        <v>2387</v>
      </c>
      <c r="B134" s="80" t="s">
        <v>9513</v>
      </c>
    </row>
    <row r="135" spans="1:2" x14ac:dyDescent="0.25">
      <c r="A135" s="81" t="s">
        <v>2388</v>
      </c>
      <c r="B135" s="80" t="s">
        <v>9513</v>
      </c>
    </row>
    <row r="136" spans="1:2" x14ac:dyDescent="0.25">
      <c r="A136" s="81" t="s">
        <v>2389</v>
      </c>
      <c r="B136" s="80" t="s">
        <v>9513</v>
      </c>
    </row>
    <row r="137" spans="1:2" x14ac:dyDescent="0.25">
      <c r="A137" s="81" t="s">
        <v>2390</v>
      </c>
      <c r="B137" s="80" t="s">
        <v>9513</v>
      </c>
    </row>
    <row r="138" spans="1:2" x14ac:dyDescent="0.25">
      <c r="A138" s="81" t="s">
        <v>2391</v>
      </c>
      <c r="B138" s="80" t="s">
        <v>9513</v>
      </c>
    </row>
    <row r="139" spans="1:2" x14ac:dyDescent="0.25">
      <c r="A139" s="81" t="s">
        <v>2392</v>
      </c>
      <c r="B139" s="80" t="s">
        <v>9513</v>
      </c>
    </row>
    <row r="140" spans="1:2" x14ac:dyDescent="0.25">
      <c r="A140" s="81" t="s">
        <v>588</v>
      </c>
      <c r="B140" s="80" t="s">
        <v>9513</v>
      </c>
    </row>
    <row r="141" spans="1:2" x14ac:dyDescent="0.25">
      <c r="A141" s="81" t="s">
        <v>2393</v>
      </c>
      <c r="B141" s="80" t="s">
        <v>9513</v>
      </c>
    </row>
    <row r="142" spans="1:2" x14ac:dyDescent="0.25">
      <c r="A142" s="81" t="s">
        <v>2394</v>
      </c>
      <c r="B142" s="80" t="s">
        <v>9513</v>
      </c>
    </row>
    <row r="143" spans="1:2" x14ac:dyDescent="0.25">
      <c r="A143" s="81" t="s">
        <v>2395</v>
      </c>
      <c r="B143" s="80" t="s">
        <v>9513</v>
      </c>
    </row>
    <row r="144" spans="1:2" x14ac:dyDescent="0.25">
      <c r="A144" s="81" t="s">
        <v>2396</v>
      </c>
      <c r="B144" s="80" t="s">
        <v>9513</v>
      </c>
    </row>
    <row r="145" spans="1:2" x14ac:dyDescent="0.25">
      <c r="A145" s="81" t="s">
        <v>2397</v>
      </c>
      <c r="B145" s="80" t="s">
        <v>9513</v>
      </c>
    </row>
    <row r="146" spans="1:2" x14ac:dyDescent="0.25">
      <c r="A146" s="81" t="s">
        <v>2398</v>
      </c>
      <c r="B146" s="80" t="s">
        <v>9513</v>
      </c>
    </row>
    <row r="147" spans="1:2" x14ac:dyDescent="0.25">
      <c r="A147" s="81" t="s">
        <v>2399</v>
      </c>
      <c r="B147" s="80" t="s">
        <v>9513</v>
      </c>
    </row>
    <row r="148" spans="1:2" x14ac:dyDescent="0.25">
      <c r="A148" s="81" t="s">
        <v>2400</v>
      </c>
      <c r="B148" s="80" t="s">
        <v>9513</v>
      </c>
    </row>
    <row r="149" spans="1:2" x14ac:dyDescent="0.25">
      <c r="A149" s="81" t="s">
        <v>2401</v>
      </c>
      <c r="B149" s="80" t="s">
        <v>9513</v>
      </c>
    </row>
    <row r="150" spans="1:2" x14ac:dyDescent="0.25">
      <c r="A150" s="81" t="s">
        <v>2402</v>
      </c>
      <c r="B150" s="80" t="s">
        <v>9513</v>
      </c>
    </row>
    <row r="151" spans="1:2" x14ac:dyDescent="0.25">
      <c r="A151" s="81" t="s">
        <v>2403</v>
      </c>
      <c r="B151" s="80" t="s">
        <v>9513</v>
      </c>
    </row>
    <row r="152" spans="1:2" x14ac:dyDescent="0.25">
      <c r="A152" s="81" t="s">
        <v>2404</v>
      </c>
      <c r="B152" s="80" t="s">
        <v>9513</v>
      </c>
    </row>
    <row r="153" spans="1:2" x14ac:dyDescent="0.25">
      <c r="A153" s="81" t="s">
        <v>2405</v>
      </c>
      <c r="B153" s="80" t="s">
        <v>9513</v>
      </c>
    </row>
    <row r="154" spans="1:2" x14ac:dyDescent="0.25">
      <c r="A154" s="81" t="s">
        <v>2406</v>
      </c>
      <c r="B154" s="80" t="s">
        <v>9513</v>
      </c>
    </row>
    <row r="155" spans="1:2" x14ac:dyDescent="0.25">
      <c r="A155" s="81" t="s">
        <v>2407</v>
      </c>
      <c r="B155" s="80" t="s">
        <v>9513</v>
      </c>
    </row>
    <row r="156" spans="1:2" x14ac:dyDescent="0.25">
      <c r="A156" s="81" t="s">
        <v>2408</v>
      </c>
      <c r="B156" s="80" t="s">
        <v>9513</v>
      </c>
    </row>
    <row r="157" spans="1:2" x14ac:dyDescent="0.25">
      <c r="A157" s="81" t="s">
        <v>2409</v>
      </c>
      <c r="B157" s="80" t="s">
        <v>9513</v>
      </c>
    </row>
    <row r="158" spans="1:2" x14ac:dyDescent="0.25">
      <c r="A158" s="81" t="s">
        <v>2410</v>
      </c>
      <c r="B158" s="80" t="s">
        <v>9513</v>
      </c>
    </row>
    <row r="159" spans="1:2" x14ac:dyDescent="0.25">
      <c r="A159" s="81" t="s">
        <v>2411</v>
      </c>
      <c r="B159" s="80" t="s">
        <v>9513</v>
      </c>
    </row>
    <row r="160" spans="1:2" x14ac:dyDescent="0.25">
      <c r="A160" s="81" t="s">
        <v>2412</v>
      </c>
      <c r="B160" s="80" t="s">
        <v>9513</v>
      </c>
    </row>
    <row r="161" spans="1:2" x14ac:dyDescent="0.25">
      <c r="A161" s="81" t="s">
        <v>2413</v>
      </c>
      <c r="B161" s="80" t="s">
        <v>9513</v>
      </c>
    </row>
    <row r="162" spans="1:2" x14ac:dyDescent="0.25">
      <c r="A162" s="81" t="s">
        <v>2414</v>
      </c>
      <c r="B162" s="80" t="s">
        <v>9513</v>
      </c>
    </row>
    <row r="163" spans="1:2" x14ac:dyDescent="0.25">
      <c r="A163" s="81" t="s">
        <v>2415</v>
      </c>
      <c r="B163" s="80" t="s">
        <v>9513</v>
      </c>
    </row>
    <row r="164" spans="1:2" x14ac:dyDescent="0.25">
      <c r="A164" s="81" t="s">
        <v>2416</v>
      </c>
      <c r="B164" s="80" t="s">
        <v>9513</v>
      </c>
    </row>
    <row r="165" spans="1:2" x14ac:dyDescent="0.25">
      <c r="A165" s="81" t="s">
        <v>2417</v>
      </c>
      <c r="B165" s="80" t="s">
        <v>9513</v>
      </c>
    </row>
    <row r="166" spans="1:2" x14ac:dyDescent="0.25">
      <c r="A166" s="81" t="s">
        <v>2418</v>
      </c>
      <c r="B166" s="80" t="s">
        <v>9513</v>
      </c>
    </row>
    <row r="167" spans="1:2" x14ac:dyDescent="0.25">
      <c r="A167" s="81" t="s">
        <v>2419</v>
      </c>
      <c r="B167" s="80" t="s">
        <v>9513</v>
      </c>
    </row>
    <row r="168" spans="1:2" x14ac:dyDescent="0.25">
      <c r="A168" s="81" t="s">
        <v>2420</v>
      </c>
      <c r="B168" s="80" t="s">
        <v>9513</v>
      </c>
    </row>
    <row r="169" spans="1:2" x14ac:dyDescent="0.25">
      <c r="A169" s="81" t="s">
        <v>2421</v>
      </c>
      <c r="B169" s="80" t="s">
        <v>9513</v>
      </c>
    </row>
    <row r="170" spans="1:2" x14ac:dyDescent="0.25">
      <c r="A170" s="81" t="s">
        <v>2422</v>
      </c>
      <c r="B170" s="80" t="s">
        <v>9513</v>
      </c>
    </row>
    <row r="171" spans="1:2" x14ac:dyDescent="0.25">
      <c r="A171" s="81" t="s">
        <v>2423</v>
      </c>
      <c r="B171" s="80" t="s">
        <v>9513</v>
      </c>
    </row>
    <row r="172" spans="1:2" x14ac:dyDescent="0.25">
      <c r="A172" s="81" t="s">
        <v>2424</v>
      </c>
      <c r="B172" s="80" t="s">
        <v>9513</v>
      </c>
    </row>
    <row r="173" spans="1:2" x14ac:dyDescent="0.25">
      <c r="A173" s="81" t="s">
        <v>2425</v>
      </c>
      <c r="B173" s="80" t="s">
        <v>9513</v>
      </c>
    </row>
    <row r="174" spans="1:2" x14ac:dyDescent="0.25">
      <c r="A174" s="81" t="s">
        <v>2426</v>
      </c>
      <c r="B174" s="80" t="s">
        <v>9513</v>
      </c>
    </row>
    <row r="175" spans="1:2" x14ac:dyDescent="0.25">
      <c r="A175" s="81" t="s">
        <v>2427</v>
      </c>
      <c r="B175" s="80" t="s">
        <v>9513</v>
      </c>
    </row>
    <row r="176" spans="1:2" x14ac:dyDescent="0.25">
      <c r="A176" s="81" t="s">
        <v>2428</v>
      </c>
      <c r="B176" s="80" t="s">
        <v>9513</v>
      </c>
    </row>
    <row r="177" spans="1:2" x14ac:dyDescent="0.25">
      <c r="A177" s="81" t="s">
        <v>2429</v>
      </c>
      <c r="B177" s="80" t="s">
        <v>9513</v>
      </c>
    </row>
    <row r="178" spans="1:2" x14ac:dyDescent="0.25">
      <c r="A178" s="81" t="s">
        <v>2430</v>
      </c>
      <c r="B178" s="80" t="s">
        <v>9513</v>
      </c>
    </row>
    <row r="179" spans="1:2" x14ac:dyDescent="0.25">
      <c r="A179" s="81" t="s">
        <v>2431</v>
      </c>
      <c r="B179" s="80" t="s">
        <v>9513</v>
      </c>
    </row>
    <row r="180" spans="1:2" x14ac:dyDescent="0.25">
      <c r="A180" s="81" t="s">
        <v>2432</v>
      </c>
      <c r="B180" s="80" t="s">
        <v>9513</v>
      </c>
    </row>
    <row r="181" spans="1:2" x14ac:dyDescent="0.25">
      <c r="A181" s="81" t="s">
        <v>2433</v>
      </c>
      <c r="B181" s="80" t="s">
        <v>9513</v>
      </c>
    </row>
    <row r="182" spans="1:2" x14ac:dyDescent="0.25">
      <c r="A182" s="81" t="s">
        <v>2434</v>
      </c>
      <c r="B182" s="80" t="s">
        <v>9513</v>
      </c>
    </row>
    <row r="183" spans="1:2" x14ac:dyDescent="0.25">
      <c r="A183" s="81" t="s">
        <v>2435</v>
      </c>
      <c r="B183" s="80" t="s">
        <v>9513</v>
      </c>
    </row>
    <row r="184" spans="1:2" x14ac:dyDescent="0.25">
      <c r="A184" s="81" t="s">
        <v>2436</v>
      </c>
      <c r="B184" s="80" t="s">
        <v>9513</v>
      </c>
    </row>
    <row r="185" spans="1:2" x14ac:dyDescent="0.25">
      <c r="A185" s="81" t="s">
        <v>2437</v>
      </c>
      <c r="B185" s="80" t="s">
        <v>9513</v>
      </c>
    </row>
    <row r="186" spans="1:2" x14ac:dyDescent="0.25">
      <c r="A186" s="81" t="s">
        <v>2438</v>
      </c>
      <c r="B186" s="80" t="s">
        <v>9513</v>
      </c>
    </row>
    <row r="187" spans="1:2" x14ac:dyDescent="0.25">
      <c r="A187" s="81" t="s">
        <v>2439</v>
      </c>
      <c r="B187" s="80" t="s">
        <v>9513</v>
      </c>
    </row>
    <row r="188" spans="1:2" x14ac:dyDescent="0.25">
      <c r="A188" s="81" t="s">
        <v>2440</v>
      </c>
      <c r="B188" s="80" t="s">
        <v>9513</v>
      </c>
    </row>
    <row r="189" spans="1:2" x14ac:dyDescent="0.25">
      <c r="A189" s="81" t="s">
        <v>2441</v>
      </c>
      <c r="B189" s="80" t="s">
        <v>9513</v>
      </c>
    </row>
    <row r="190" spans="1:2" x14ac:dyDescent="0.25">
      <c r="A190" s="81" t="s">
        <v>2442</v>
      </c>
      <c r="B190" s="80" t="s">
        <v>9513</v>
      </c>
    </row>
    <row r="191" spans="1:2" x14ac:dyDescent="0.25">
      <c r="A191" s="81" t="s">
        <v>2443</v>
      </c>
      <c r="B191" s="80" t="s">
        <v>9513</v>
      </c>
    </row>
    <row r="192" spans="1:2" x14ac:dyDescent="0.25">
      <c r="A192" s="81" t="s">
        <v>2444</v>
      </c>
      <c r="B192" s="80" t="s">
        <v>9513</v>
      </c>
    </row>
    <row r="193" spans="1:2" x14ac:dyDescent="0.25">
      <c r="A193" s="81" t="s">
        <v>2445</v>
      </c>
      <c r="B193" s="80" t="s">
        <v>9513</v>
      </c>
    </row>
    <row r="194" spans="1:2" x14ac:dyDescent="0.25">
      <c r="A194" s="81" t="s">
        <v>2446</v>
      </c>
      <c r="B194" s="80" t="s">
        <v>9513</v>
      </c>
    </row>
    <row r="195" spans="1:2" x14ac:dyDescent="0.25">
      <c r="A195" s="81" t="s">
        <v>2447</v>
      </c>
      <c r="B195" s="80" t="s">
        <v>9513</v>
      </c>
    </row>
    <row r="196" spans="1:2" x14ac:dyDescent="0.25">
      <c r="A196" s="81" t="s">
        <v>2448</v>
      </c>
      <c r="B196" s="80" t="s">
        <v>9513</v>
      </c>
    </row>
    <row r="197" spans="1:2" x14ac:dyDescent="0.25">
      <c r="A197" s="81" t="s">
        <v>2449</v>
      </c>
      <c r="B197" s="80" t="s">
        <v>9513</v>
      </c>
    </row>
    <row r="198" spans="1:2" x14ac:dyDescent="0.25">
      <c r="A198" s="81" t="s">
        <v>2450</v>
      </c>
      <c r="B198" s="80" t="s">
        <v>9513</v>
      </c>
    </row>
    <row r="199" spans="1:2" x14ac:dyDescent="0.25">
      <c r="A199" s="81" t="s">
        <v>2451</v>
      </c>
      <c r="B199" s="80" t="s">
        <v>9513</v>
      </c>
    </row>
    <row r="200" spans="1:2" x14ac:dyDescent="0.25">
      <c r="A200" s="81" t="s">
        <v>2452</v>
      </c>
      <c r="B200" s="80" t="s">
        <v>9513</v>
      </c>
    </row>
    <row r="201" spans="1:2" x14ac:dyDescent="0.25">
      <c r="A201" s="81" t="s">
        <v>2453</v>
      </c>
      <c r="B201" s="80" t="s">
        <v>9513</v>
      </c>
    </row>
    <row r="202" spans="1:2" x14ac:dyDescent="0.25">
      <c r="A202" s="81" t="s">
        <v>2454</v>
      </c>
      <c r="B202" s="80" t="s">
        <v>9513</v>
      </c>
    </row>
    <row r="203" spans="1:2" x14ac:dyDescent="0.25">
      <c r="A203" s="81" t="s">
        <v>2455</v>
      </c>
      <c r="B203" s="80" t="s">
        <v>9513</v>
      </c>
    </row>
    <row r="204" spans="1:2" x14ac:dyDescent="0.25">
      <c r="A204" s="81" t="s">
        <v>2456</v>
      </c>
      <c r="B204" s="80" t="s">
        <v>9513</v>
      </c>
    </row>
    <row r="205" spans="1:2" x14ac:dyDescent="0.25">
      <c r="A205" s="81" t="s">
        <v>2457</v>
      </c>
      <c r="B205" s="80" t="s">
        <v>9513</v>
      </c>
    </row>
    <row r="206" spans="1:2" x14ac:dyDescent="0.25">
      <c r="A206" s="81" t="s">
        <v>2458</v>
      </c>
      <c r="B206" s="80" t="s">
        <v>9513</v>
      </c>
    </row>
    <row r="207" spans="1:2" x14ac:dyDescent="0.25">
      <c r="A207" s="81" t="s">
        <v>2459</v>
      </c>
      <c r="B207" s="80" t="s">
        <v>9513</v>
      </c>
    </row>
    <row r="208" spans="1:2" x14ac:dyDescent="0.25">
      <c r="A208" s="81" t="s">
        <v>2460</v>
      </c>
      <c r="B208" s="80" t="s">
        <v>9513</v>
      </c>
    </row>
    <row r="209" spans="1:2" x14ac:dyDescent="0.25">
      <c r="A209" s="81" t="s">
        <v>2461</v>
      </c>
      <c r="B209" s="80" t="s">
        <v>9513</v>
      </c>
    </row>
    <row r="210" spans="1:2" x14ac:dyDescent="0.25">
      <c r="A210" s="81" t="s">
        <v>2462</v>
      </c>
      <c r="B210" s="80" t="s">
        <v>9513</v>
      </c>
    </row>
    <row r="211" spans="1:2" x14ac:dyDescent="0.25">
      <c r="A211" s="81" t="s">
        <v>2463</v>
      </c>
      <c r="B211" s="80" t="s">
        <v>9513</v>
      </c>
    </row>
    <row r="212" spans="1:2" x14ac:dyDescent="0.25">
      <c r="A212" s="81" t="s">
        <v>2464</v>
      </c>
      <c r="B212" s="80" t="s">
        <v>9513</v>
      </c>
    </row>
    <row r="213" spans="1:2" x14ac:dyDescent="0.25">
      <c r="A213" s="81" t="s">
        <v>2465</v>
      </c>
      <c r="B213" s="80" t="s">
        <v>9513</v>
      </c>
    </row>
    <row r="214" spans="1:2" x14ac:dyDescent="0.25">
      <c r="A214" s="81" t="s">
        <v>2466</v>
      </c>
      <c r="B214" s="80" t="s">
        <v>9513</v>
      </c>
    </row>
    <row r="215" spans="1:2" x14ac:dyDescent="0.25">
      <c r="A215" s="81" t="s">
        <v>2467</v>
      </c>
      <c r="B215" s="80" t="s">
        <v>9513</v>
      </c>
    </row>
    <row r="216" spans="1:2" x14ac:dyDescent="0.25">
      <c r="A216" s="81" t="s">
        <v>2468</v>
      </c>
      <c r="B216" s="80" t="s">
        <v>9513</v>
      </c>
    </row>
    <row r="217" spans="1:2" x14ac:dyDescent="0.25">
      <c r="A217" s="81" t="s">
        <v>2469</v>
      </c>
      <c r="B217" s="80" t="s">
        <v>9513</v>
      </c>
    </row>
    <row r="218" spans="1:2" x14ac:dyDescent="0.25">
      <c r="A218" s="81" t="s">
        <v>2470</v>
      </c>
      <c r="B218" s="80" t="s">
        <v>9513</v>
      </c>
    </row>
    <row r="219" spans="1:2" x14ac:dyDescent="0.25">
      <c r="A219" s="81" t="s">
        <v>2471</v>
      </c>
      <c r="B219" s="80" t="s">
        <v>9513</v>
      </c>
    </row>
    <row r="220" spans="1:2" x14ac:dyDescent="0.25">
      <c r="A220" s="81" t="s">
        <v>2472</v>
      </c>
      <c r="B220" s="80" t="s">
        <v>9513</v>
      </c>
    </row>
    <row r="221" spans="1:2" x14ac:dyDescent="0.25">
      <c r="A221" s="81" t="s">
        <v>2473</v>
      </c>
      <c r="B221" s="80" t="s">
        <v>9513</v>
      </c>
    </row>
    <row r="222" spans="1:2" x14ac:dyDescent="0.25">
      <c r="A222" s="81" t="s">
        <v>2474</v>
      </c>
      <c r="B222" s="80" t="s">
        <v>9513</v>
      </c>
    </row>
    <row r="223" spans="1:2" x14ac:dyDescent="0.25">
      <c r="A223" s="81" t="s">
        <v>2475</v>
      </c>
      <c r="B223" s="80" t="s">
        <v>9513</v>
      </c>
    </row>
    <row r="224" spans="1:2" x14ac:dyDescent="0.25">
      <c r="A224" s="81" t="s">
        <v>2476</v>
      </c>
      <c r="B224" s="80" t="s">
        <v>9513</v>
      </c>
    </row>
    <row r="225" spans="1:2" x14ac:dyDescent="0.25">
      <c r="A225" s="81" t="s">
        <v>2477</v>
      </c>
      <c r="B225" s="80" t="s">
        <v>9513</v>
      </c>
    </row>
    <row r="226" spans="1:2" x14ac:dyDescent="0.25">
      <c r="A226" s="81" t="s">
        <v>2478</v>
      </c>
      <c r="B226" s="80" t="s">
        <v>9513</v>
      </c>
    </row>
    <row r="227" spans="1:2" x14ac:dyDescent="0.25">
      <c r="A227" s="81" t="s">
        <v>2479</v>
      </c>
      <c r="B227" s="80" t="s">
        <v>9513</v>
      </c>
    </row>
    <row r="228" spans="1:2" x14ac:dyDescent="0.25">
      <c r="A228" s="81" t="s">
        <v>2480</v>
      </c>
      <c r="B228" s="80" t="s">
        <v>9513</v>
      </c>
    </row>
    <row r="229" spans="1:2" x14ac:dyDescent="0.25">
      <c r="A229" s="81" t="s">
        <v>2481</v>
      </c>
      <c r="B229" s="80" t="s">
        <v>9513</v>
      </c>
    </row>
    <row r="230" spans="1:2" x14ac:dyDescent="0.25">
      <c r="A230" s="81" t="s">
        <v>2482</v>
      </c>
      <c r="B230" s="80" t="s">
        <v>9513</v>
      </c>
    </row>
    <row r="231" spans="1:2" x14ac:dyDescent="0.25">
      <c r="A231" s="81" t="s">
        <v>2483</v>
      </c>
      <c r="B231" s="80" t="s">
        <v>9513</v>
      </c>
    </row>
    <row r="232" spans="1:2" x14ac:dyDescent="0.25">
      <c r="A232" s="81" t="s">
        <v>2484</v>
      </c>
      <c r="B232" s="80" t="s">
        <v>9513</v>
      </c>
    </row>
    <row r="233" spans="1:2" x14ac:dyDescent="0.25">
      <c r="A233" s="81" t="s">
        <v>2485</v>
      </c>
      <c r="B233" s="80" t="s">
        <v>9513</v>
      </c>
    </row>
    <row r="234" spans="1:2" x14ac:dyDescent="0.25">
      <c r="A234" s="81" t="s">
        <v>2486</v>
      </c>
      <c r="B234" s="80" t="s">
        <v>9513</v>
      </c>
    </row>
    <row r="235" spans="1:2" x14ac:dyDescent="0.25">
      <c r="A235" s="81" t="s">
        <v>2487</v>
      </c>
      <c r="B235" s="80" t="s">
        <v>9513</v>
      </c>
    </row>
    <row r="236" spans="1:2" x14ac:dyDescent="0.25">
      <c r="A236" s="81" t="s">
        <v>2488</v>
      </c>
      <c r="B236" s="80" t="s">
        <v>9513</v>
      </c>
    </row>
    <row r="237" spans="1:2" x14ac:dyDescent="0.25">
      <c r="A237" s="81" t="s">
        <v>2489</v>
      </c>
      <c r="B237" s="80" t="s">
        <v>9513</v>
      </c>
    </row>
    <row r="238" spans="1:2" x14ac:dyDescent="0.25">
      <c r="A238" s="81" t="s">
        <v>2490</v>
      </c>
      <c r="B238" s="80" t="s">
        <v>9513</v>
      </c>
    </row>
    <row r="239" spans="1:2" x14ac:dyDescent="0.25">
      <c r="A239" s="81" t="s">
        <v>2491</v>
      </c>
      <c r="B239" s="80" t="s">
        <v>9513</v>
      </c>
    </row>
    <row r="240" spans="1:2" x14ac:dyDescent="0.25">
      <c r="A240" s="81" t="s">
        <v>2492</v>
      </c>
      <c r="B240" s="80" t="s">
        <v>9513</v>
      </c>
    </row>
    <row r="241" spans="1:2" x14ac:dyDescent="0.25">
      <c r="A241" s="81" t="s">
        <v>2493</v>
      </c>
      <c r="B241" s="80" t="s">
        <v>9513</v>
      </c>
    </row>
    <row r="242" spans="1:2" x14ac:dyDescent="0.25">
      <c r="A242" s="81" t="s">
        <v>2494</v>
      </c>
      <c r="B242" s="80" t="s">
        <v>9513</v>
      </c>
    </row>
    <row r="243" spans="1:2" x14ac:dyDescent="0.25">
      <c r="A243" s="81" t="s">
        <v>2495</v>
      </c>
      <c r="B243" s="80" t="s">
        <v>9513</v>
      </c>
    </row>
    <row r="244" spans="1:2" x14ac:dyDescent="0.25">
      <c r="A244" s="81" t="s">
        <v>2496</v>
      </c>
      <c r="B244" s="80" t="s">
        <v>9513</v>
      </c>
    </row>
    <row r="245" spans="1:2" x14ac:dyDescent="0.25">
      <c r="A245" s="81" t="s">
        <v>2497</v>
      </c>
      <c r="B245" s="80" t="s">
        <v>9513</v>
      </c>
    </row>
    <row r="246" spans="1:2" x14ac:dyDescent="0.25">
      <c r="A246" s="81" t="s">
        <v>2498</v>
      </c>
      <c r="B246" s="80" t="s">
        <v>9513</v>
      </c>
    </row>
    <row r="247" spans="1:2" x14ac:dyDescent="0.25">
      <c r="A247" s="81" t="s">
        <v>2499</v>
      </c>
      <c r="B247" s="80" t="s">
        <v>9513</v>
      </c>
    </row>
    <row r="248" spans="1:2" x14ac:dyDescent="0.25">
      <c r="A248" s="81" t="s">
        <v>2500</v>
      </c>
      <c r="B248" s="80" t="s">
        <v>9513</v>
      </c>
    </row>
    <row r="249" spans="1:2" x14ac:dyDescent="0.25">
      <c r="A249" s="81" t="s">
        <v>2501</v>
      </c>
      <c r="B249" s="80" t="s">
        <v>9513</v>
      </c>
    </row>
    <row r="250" spans="1:2" x14ac:dyDescent="0.25">
      <c r="A250" s="81" t="s">
        <v>2502</v>
      </c>
      <c r="B250" s="80" t="s">
        <v>9513</v>
      </c>
    </row>
    <row r="251" spans="1:2" x14ac:dyDescent="0.25">
      <c r="A251" s="81" t="s">
        <v>2503</v>
      </c>
      <c r="B251" s="80" t="s">
        <v>9513</v>
      </c>
    </row>
    <row r="252" spans="1:2" x14ac:dyDescent="0.25">
      <c r="A252" s="81" t="s">
        <v>2504</v>
      </c>
      <c r="B252" s="80" t="s">
        <v>9513</v>
      </c>
    </row>
    <row r="253" spans="1:2" x14ac:dyDescent="0.25">
      <c r="A253" s="81" t="s">
        <v>2505</v>
      </c>
      <c r="B253" s="80" t="s">
        <v>9513</v>
      </c>
    </row>
    <row r="254" spans="1:2" x14ac:dyDescent="0.25">
      <c r="A254" s="81" t="s">
        <v>2506</v>
      </c>
      <c r="B254" s="80" t="s">
        <v>9513</v>
      </c>
    </row>
    <row r="255" spans="1:2" x14ac:dyDescent="0.25">
      <c r="A255" s="81" t="s">
        <v>2507</v>
      </c>
      <c r="B255" s="80" t="s">
        <v>9513</v>
      </c>
    </row>
    <row r="256" spans="1:2" x14ac:dyDescent="0.25">
      <c r="A256" s="81" t="s">
        <v>2508</v>
      </c>
      <c r="B256" s="80" t="s">
        <v>9513</v>
      </c>
    </row>
    <row r="257" spans="1:2" x14ac:dyDescent="0.25">
      <c r="A257" s="81" t="s">
        <v>2509</v>
      </c>
      <c r="B257" s="80" t="s">
        <v>9513</v>
      </c>
    </row>
    <row r="258" spans="1:2" x14ac:dyDescent="0.25">
      <c r="A258" s="81" t="s">
        <v>2510</v>
      </c>
      <c r="B258" s="80" t="s">
        <v>9513</v>
      </c>
    </row>
    <row r="259" spans="1:2" x14ac:dyDescent="0.25">
      <c r="A259" s="81" t="s">
        <v>2511</v>
      </c>
      <c r="B259" s="80" t="s">
        <v>9513</v>
      </c>
    </row>
    <row r="260" spans="1:2" x14ac:dyDescent="0.25">
      <c r="A260" s="81" t="s">
        <v>2512</v>
      </c>
      <c r="B260" s="80" t="s">
        <v>9513</v>
      </c>
    </row>
    <row r="261" spans="1:2" x14ac:dyDescent="0.25">
      <c r="A261" s="81" t="s">
        <v>2513</v>
      </c>
      <c r="B261" s="80" t="s">
        <v>9513</v>
      </c>
    </row>
    <row r="262" spans="1:2" x14ac:dyDescent="0.25">
      <c r="A262" s="81" t="s">
        <v>2514</v>
      </c>
      <c r="B262" s="80" t="s">
        <v>9513</v>
      </c>
    </row>
    <row r="263" spans="1:2" x14ac:dyDescent="0.25">
      <c r="A263" s="81" t="s">
        <v>2515</v>
      </c>
      <c r="B263" s="80" t="s">
        <v>9513</v>
      </c>
    </row>
    <row r="264" spans="1:2" x14ac:dyDescent="0.25">
      <c r="A264" s="81" t="s">
        <v>2516</v>
      </c>
      <c r="B264" s="80" t="s">
        <v>9513</v>
      </c>
    </row>
    <row r="265" spans="1:2" x14ac:dyDescent="0.25">
      <c r="A265" s="81" t="s">
        <v>2517</v>
      </c>
      <c r="B265" s="80" t="s">
        <v>9513</v>
      </c>
    </row>
    <row r="266" spans="1:2" x14ac:dyDescent="0.25">
      <c r="A266" s="81" t="s">
        <v>2518</v>
      </c>
      <c r="B266" s="80" t="s">
        <v>9513</v>
      </c>
    </row>
    <row r="267" spans="1:2" x14ac:dyDescent="0.25">
      <c r="A267" s="81" t="s">
        <v>2519</v>
      </c>
      <c r="B267" s="80" t="s">
        <v>9513</v>
      </c>
    </row>
    <row r="268" spans="1:2" x14ac:dyDescent="0.25">
      <c r="A268" s="81" t="s">
        <v>2520</v>
      </c>
      <c r="B268" s="80" t="s">
        <v>9513</v>
      </c>
    </row>
    <row r="269" spans="1:2" x14ac:dyDescent="0.25">
      <c r="A269" s="81" t="s">
        <v>2521</v>
      </c>
      <c r="B269" s="80" t="s">
        <v>9513</v>
      </c>
    </row>
    <row r="270" spans="1:2" x14ac:dyDescent="0.25">
      <c r="A270" s="81" t="s">
        <v>2522</v>
      </c>
      <c r="B270" s="80" t="s">
        <v>9513</v>
      </c>
    </row>
    <row r="271" spans="1:2" x14ac:dyDescent="0.25">
      <c r="A271" s="81" t="s">
        <v>2523</v>
      </c>
      <c r="B271" s="80" t="s">
        <v>9513</v>
      </c>
    </row>
    <row r="272" spans="1:2" x14ac:dyDescent="0.25">
      <c r="A272" s="81" t="s">
        <v>2524</v>
      </c>
      <c r="B272" s="80" t="s">
        <v>9513</v>
      </c>
    </row>
    <row r="273" spans="1:2" x14ac:dyDescent="0.25">
      <c r="A273" s="81" t="s">
        <v>2525</v>
      </c>
      <c r="B273" s="80" t="s">
        <v>9513</v>
      </c>
    </row>
    <row r="274" spans="1:2" x14ac:dyDescent="0.25">
      <c r="A274" s="81" t="s">
        <v>2526</v>
      </c>
      <c r="B274" s="80" t="s">
        <v>9513</v>
      </c>
    </row>
    <row r="275" spans="1:2" x14ac:dyDescent="0.25">
      <c r="A275" s="81" t="s">
        <v>2527</v>
      </c>
      <c r="B275" s="80" t="s">
        <v>9513</v>
      </c>
    </row>
    <row r="276" spans="1:2" x14ac:dyDescent="0.25">
      <c r="A276" s="81" t="s">
        <v>2528</v>
      </c>
      <c r="B276" s="80" t="s">
        <v>9513</v>
      </c>
    </row>
    <row r="277" spans="1:2" x14ac:dyDescent="0.25">
      <c r="A277" s="81" t="s">
        <v>2529</v>
      </c>
      <c r="B277" s="80" t="s">
        <v>9513</v>
      </c>
    </row>
    <row r="278" spans="1:2" x14ac:dyDescent="0.25">
      <c r="A278" s="81" t="s">
        <v>2530</v>
      </c>
      <c r="B278" s="80" t="s">
        <v>9513</v>
      </c>
    </row>
    <row r="279" spans="1:2" x14ac:dyDescent="0.25">
      <c r="A279" s="81" t="s">
        <v>2531</v>
      </c>
      <c r="B279" s="80" t="s">
        <v>9513</v>
      </c>
    </row>
    <row r="280" spans="1:2" x14ac:dyDescent="0.25">
      <c r="A280" s="81" t="s">
        <v>2532</v>
      </c>
      <c r="B280" s="80" t="s">
        <v>9513</v>
      </c>
    </row>
    <row r="281" spans="1:2" x14ac:dyDescent="0.25">
      <c r="A281" s="81" t="s">
        <v>2533</v>
      </c>
      <c r="B281" s="80" t="s">
        <v>9513</v>
      </c>
    </row>
    <row r="282" spans="1:2" x14ac:dyDescent="0.25">
      <c r="A282" s="81" t="s">
        <v>2534</v>
      </c>
      <c r="B282" s="80" t="s">
        <v>9513</v>
      </c>
    </row>
    <row r="283" spans="1:2" x14ac:dyDescent="0.25">
      <c r="A283" s="81" t="s">
        <v>2535</v>
      </c>
      <c r="B283" s="80" t="s">
        <v>9513</v>
      </c>
    </row>
    <row r="284" spans="1:2" x14ac:dyDescent="0.25">
      <c r="A284" s="81" t="s">
        <v>2536</v>
      </c>
      <c r="B284" s="80" t="s">
        <v>9513</v>
      </c>
    </row>
    <row r="285" spans="1:2" x14ac:dyDescent="0.25">
      <c r="A285" s="81" t="s">
        <v>2537</v>
      </c>
      <c r="B285" s="80" t="s">
        <v>9513</v>
      </c>
    </row>
    <row r="286" spans="1:2" x14ac:dyDescent="0.25">
      <c r="A286" s="81" t="s">
        <v>2538</v>
      </c>
      <c r="B286" s="80" t="s">
        <v>9513</v>
      </c>
    </row>
    <row r="287" spans="1:2" x14ac:dyDescent="0.25">
      <c r="A287" s="81" t="s">
        <v>2539</v>
      </c>
      <c r="B287" s="80" t="s">
        <v>9513</v>
      </c>
    </row>
    <row r="288" spans="1:2" x14ac:dyDescent="0.25">
      <c r="A288" s="81" t="s">
        <v>2540</v>
      </c>
      <c r="B288" s="80" t="s">
        <v>9513</v>
      </c>
    </row>
    <row r="289" spans="1:2" x14ac:dyDescent="0.25">
      <c r="A289" s="81" t="s">
        <v>2541</v>
      </c>
      <c r="B289" s="80" t="s">
        <v>9513</v>
      </c>
    </row>
    <row r="290" spans="1:2" x14ac:dyDescent="0.25">
      <c r="A290" s="81" t="s">
        <v>2542</v>
      </c>
      <c r="B290" s="80" t="s">
        <v>9513</v>
      </c>
    </row>
    <row r="291" spans="1:2" x14ac:dyDescent="0.25">
      <c r="A291" s="81" t="s">
        <v>2543</v>
      </c>
      <c r="B291" s="80" t="s">
        <v>9513</v>
      </c>
    </row>
    <row r="292" spans="1:2" x14ac:dyDescent="0.25">
      <c r="A292" s="81" t="s">
        <v>2544</v>
      </c>
      <c r="B292" s="80" t="s">
        <v>9513</v>
      </c>
    </row>
    <row r="293" spans="1:2" x14ac:dyDescent="0.25">
      <c r="A293" s="81" t="s">
        <v>2545</v>
      </c>
      <c r="B293" s="80" t="s">
        <v>9513</v>
      </c>
    </row>
    <row r="294" spans="1:2" x14ac:dyDescent="0.25">
      <c r="A294" s="81" t="s">
        <v>2546</v>
      </c>
      <c r="B294" s="80" t="s">
        <v>9513</v>
      </c>
    </row>
    <row r="295" spans="1:2" x14ac:dyDescent="0.25">
      <c r="A295" s="81" t="s">
        <v>2547</v>
      </c>
      <c r="B295" s="80" t="s">
        <v>9513</v>
      </c>
    </row>
    <row r="296" spans="1:2" x14ac:dyDescent="0.25">
      <c r="A296" s="81" t="s">
        <v>2548</v>
      </c>
      <c r="B296" s="80" t="s">
        <v>9513</v>
      </c>
    </row>
    <row r="297" spans="1:2" x14ac:dyDescent="0.25">
      <c r="A297" s="81" t="s">
        <v>2549</v>
      </c>
      <c r="B297" s="80" t="s">
        <v>9513</v>
      </c>
    </row>
    <row r="298" spans="1:2" x14ac:dyDescent="0.25">
      <c r="A298" s="81" t="s">
        <v>2550</v>
      </c>
      <c r="B298" s="80" t="s">
        <v>9513</v>
      </c>
    </row>
    <row r="299" spans="1:2" x14ac:dyDescent="0.25">
      <c r="A299" s="81" t="s">
        <v>2551</v>
      </c>
      <c r="B299" s="80" t="s">
        <v>9513</v>
      </c>
    </row>
    <row r="300" spans="1:2" x14ac:dyDescent="0.25">
      <c r="A300" s="81" t="s">
        <v>2552</v>
      </c>
      <c r="B300" s="80" t="s">
        <v>9513</v>
      </c>
    </row>
    <row r="301" spans="1:2" x14ac:dyDescent="0.25">
      <c r="A301" s="81" t="s">
        <v>2553</v>
      </c>
      <c r="B301" s="80" t="s">
        <v>9513</v>
      </c>
    </row>
    <row r="302" spans="1:2" x14ac:dyDescent="0.25">
      <c r="A302" s="81" t="s">
        <v>2554</v>
      </c>
      <c r="B302" s="80" t="s">
        <v>9513</v>
      </c>
    </row>
    <row r="303" spans="1:2" x14ac:dyDescent="0.25">
      <c r="A303" s="81" t="s">
        <v>2555</v>
      </c>
      <c r="B303" s="80" t="s">
        <v>9513</v>
      </c>
    </row>
    <row r="304" spans="1:2" x14ac:dyDescent="0.25">
      <c r="A304" s="81" t="s">
        <v>2556</v>
      </c>
      <c r="B304" s="80" t="s">
        <v>9513</v>
      </c>
    </row>
    <row r="305" spans="1:2" x14ac:dyDescent="0.25">
      <c r="A305" s="81" t="s">
        <v>2557</v>
      </c>
      <c r="B305" s="80" t="s">
        <v>9513</v>
      </c>
    </row>
    <row r="306" spans="1:2" x14ac:dyDescent="0.25">
      <c r="A306" s="81" t="s">
        <v>2558</v>
      </c>
      <c r="B306" s="80" t="s">
        <v>9513</v>
      </c>
    </row>
    <row r="307" spans="1:2" x14ac:dyDescent="0.25">
      <c r="A307" s="81" t="s">
        <v>2559</v>
      </c>
      <c r="B307" s="80" t="s">
        <v>9513</v>
      </c>
    </row>
    <row r="308" spans="1:2" x14ac:dyDescent="0.25">
      <c r="A308" s="81" t="s">
        <v>2560</v>
      </c>
      <c r="B308" s="80" t="s">
        <v>9513</v>
      </c>
    </row>
    <row r="309" spans="1:2" x14ac:dyDescent="0.25">
      <c r="A309" s="81" t="s">
        <v>2561</v>
      </c>
      <c r="B309" s="80" t="s">
        <v>9513</v>
      </c>
    </row>
    <row r="310" spans="1:2" x14ac:dyDescent="0.25">
      <c r="A310" s="81" t="s">
        <v>2562</v>
      </c>
      <c r="B310" s="80" t="s">
        <v>9513</v>
      </c>
    </row>
    <row r="311" spans="1:2" x14ac:dyDescent="0.25">
      <c r="A311" s="81" t="s">
        <v>2563</v>
      </c>
      <c r="B311" s="80" t="s">
        <v>9513</v>
      </c>
    </row>
    <row r="312" spans="1:2" x14ac:dyDescent="0.25">
      <c r="A312" s="81" t="s">
        <v>2564</v>
      </c>
      <c r="B312" s="80" t="s">
        <v>9513</v>
      </c>
    </row>
    <row r="313" spans="1:2" x14ac:dyDescent="0.25">
      <c r="A313" s="81" t="s">
        <v>2565</v>
      </c>
      <c r="B313" s="80" t="s">
        <v>9513</v>
      </c>
    </row>
    <row r="314" spans="1:2" x14ac:dyDescent="0.25">
      <c r="A314" s="81" t="s">
        <v>2566</v>
      </c>
      <c r="B314" s="80" t="s">
        <v>9513</v>
      </c>
    </row>
    <row r="315" spans="1:2" x14ac:dyDescent="0.25">
      <c r="A315" s="81" t="s">
        <v>2567</v>
      </c>
      <c r="B315" s="80" t="s">
        <v>9513</v>
      </c>
    </row>
    <row r="316" spans="1:2" x14ac:dyDescent="0.25">
      <c r="A316" s="81" t="s">
        <v>2568</v>
      </c>
      <c r="B316" s="80" t="s">
        <v>9513</v>
      </c>
    </row>
    <row r="317" spans="1:2" x14ac:dyDescent="0.25">
      <c r="A317" s="81" t="s">
        <v>2569</v>
      </c>
      <c r="B317" s="80" t="s">
        <v>9513</v>
      </c>
    </row>
    <row r="318" spans="1:2" x14ac:dyDescent="0.25">
      <c r="A318" s="81" t="s">
        <v>2570</v>
      </c>
      <c r="B318" s="80" t="s">
        <v>9513</v>
      </c>
    </row>
    <row r="319" spans="1:2" x14ac:dyDescent="0.25">
      <c r="A319" s="81" t="s">
        <v>2571</v>
      </c>
      <c r="B319" s="80" t="s">
        <v>9513</v>
      </c>
    </row>
    <row r="320" spans="1:2" x14ac:dyDescent="0.25">
      <c r="A320" s="81" t="s">
        <v>2572</v>
      </c>
      <c r="B320" s="80" t="s">
        <v>9513</v>
      </c>
    </row>
    <row r="321" spans="1:2" x14ac:dyDescent="0.25">
      <c r="A321" s="81" t="s">
        <v>2573</v>
      </c>
      <c r="B321" s="80" t="s">
        <v>9513</v>
      </c>
    </row>
    <row r="322" spans="1:2" x14ac:dyDescent="0.25">
      <c r="A322" s="81" t="s">
        <v>2574</v>
      </c>
      <c r="B322" s="80" t="s">
        <v>9513</v>
      </c>
    </row>
    <row r="323" spans="1:2" x14ac:dyDescent="0.25">
      <c r="A323" s="81" t="s">
        <v>2575</v>
      </c>
      <c r="B323" s="80" t="s">
        <v>9513</v>
      </c>
    </row>
    <row r="324" spans="1:2" x14ac:dyDescent="0.25">
      <c r="A324" s="81" t="s">
        <v>2576</v>
      </c>
      <c r="B324" s="80" t="s">
        <v>9513</v>
      </c>
    </row>
    <row r="325" spans="1:2" x14ac:dyDescent="0.25">
      <c r="A325" s="81" t="s">
        <v>2577</v>
      </c>
      <c r="B325" s="80" t="s">
        <v>9513</v>
      </c>
    </row>
    <row r="326" spans="1:2" x14ac:dyDescent="0.25">
      <c r="A326" s="81" t="s">
        <v>2578</v>
      </c>
      <c r="B326" s="80" t="s">
        <v>9513</v>
      </c>
    </row>
    <row r="327" spans="1:2" x14ac:dyDescent="0.25">
      <c r="A327" s="81" t="s">
        <v>2579</v>
      </c>
      <c r="B327" s="80" t="s">
        <v>9513</v>
      </c>
    </row>
    <row r="328" spans="1:2" x14ac:dyDescent="0.25">
      <c r="A328" s="81" t="s">
        <v>2580</v>
      </c>
      <c r="B328" s="80" t="s">
        <v>9513</v>
      </c>
    </row>
    <row r="329" spans="1:2" x14ac:dyDescent="0.25">
      <c r="A329" s="81" t="s">
        <v>2581</v>
      </c>
      <c r="B329" s="80" t="s">
        <v>9513</v>
      </c>
    </row>
    <row r="330" spans="1:2" x14ac:dyDescent="0.25">
      <c r="A330" s="81" t="s">
        <v>2582</v>
      </c>
      <c r="B330" s="80" t="s">
        <v>9513</v>
      </c>
    </row>
    <row r="331" spans="1:2" x14ac:dyDescent="0.25">
      <c r="A331" s="81" t="s">
        <v>2583</v>
      </c>
      <c r="B331" s="80" t="s">
        <v>9513</v>
      </c>
    </row>
    <row r="332" spans="1:2" x14ac:dyDescent="0.25">
      <c r="A332" s="81" t="s">
        <v>2584</v>
      </c>
      <c r="B332" s="80" t="s">
        <v>9513</v>
      </c>
    </row>
    <row r="333" spans="1:2" x14ac:dyDescent="0.25">
      <c r="A333" s="81" t="s">
        <v>2585</v>
      </c>
      <c r="B333" s="80" t="s">
        <v>9513</v>
      </c>
    </row>
    <row r="334" spans="1:2" x14ac:dyDescent="0.25">
      <c r="A334" s="81" t="s">
        <v>2586</v>
      </c>
      <c r="B334" s="80" t="s">
        <v>9513</v>
      </c>
    </row>
    <row r="335" spans="1:2" x14ac:dyDescent="0.25">
      <c r="A335" s="81" t="s">
        <v>2587</v>
      </c>
      <c r="B335" s="80" t="s">
        <v>9513</v>
      </c>
    </row>
    <row r="336" spans="1:2" x14ac:dyDescent="0.25">
      <c r="A336" s="81" t="s">
        <v>2588</v>
      </c>
      <c r="B336" s="80" t="s">
        <v>9513</v>
      </c>
    </row>
    <row r="337" spans="1:2" x14ac:dyDescent="0.25">
      <c r="A337" s="81" t="s">
        <v>2589</v>
      </c>
      <c r="B337" s="80" t="s">
        <v>9513</v>
      </c>
    </row>
    <row r="338" spans="1:2" x14ac:dyDescent="0.25">
      <c r="A338" s="81" t="s">
        <v>2590</v>
      </c>
      <c r="B338" s="80" t="s">
        <v>9513</v>
      </c>
    </row>
    <row r="339" spans="1:2" x14ac:dyDescent="0.25">
      <c r="A339" s="81" t="s">
        <v>2591</v>
      </c>
      <c r="B339" s="80" t="s">
        <v>9513</v>
      </c>
    </row>
    <row r="340" spans="1:2" x14ac:dyDescent="0.25">
      <c r="A340" s="81" t="s">
        <v>2592</v>
      </c>
      <c r="B340" s="80" t="s">
        <v>9513</v>
      </c>
    </row>
    <row r="341" spans="1:2" x14ac:dyDescent="0.25">
      <c r="A341" s="81" t="s">
        <v>2593</v>
      </c>
      <c r="B341" s="80" t="s">
        <v>9513</v>
      </c>
    </row>
    <row r="342" spans="1:2" x14ac:dyDescent="0.25">
      <c r="A342" s="81" t="s">
        <v>2594</v>
      </c>
      <c r="B342" s="80" t="s">
        <v>9513</v>
      </c>
    </row>
    <row r="343" spans="1:2" x14ac:dyDescent="0.25">
      <c r="A343" s="81" t="s">
        <v>2595</v>
      </c>
      <c r="B343" s="80" t="s">
        <v>9513</v>
      </c>
    </row>
    <row r="344" spans="1:2" x14ac:dyDescent="0.25">
      <c r="A344" s="81" t="s">
        <v>2596</v>
      </c>
      <c r="B344" s="80" t="s">
        <v>9513</v>
      </c>
    </row>
    <row r="345" spans="1:2" x14ac:dyDescent="0.25">
      <c r="A345" s="81" t="s">
        <v>2597</v>
      </c>
      <c r="B345" s="80" t="s">
        <v>9513</v>
      </c>
    </row>
    <row r="346" spans="1:2" x14ac:dyDescent="0.25">
      <c r="A346" s="81" t="s">
        <v>2598</v>
      </c>
      <c r="B346" s="80" t="s">
        <v>9513</v>
      </c>
    </row>
    <row r="347" spans="1:2" x14ac:dyDescent="0.25">
      <c r="A347" s="81" t="s">
        <v>2599</v>
      </c>
      <c r="B347" s="80" t="s">
        <v>9513</v>
      </c>
    </row>
    <row r="348" spans="1:2" x14ac:dyDescent="0.25">
      <c r="A348" s="81" t="s">
        <v>2600</v>
      </c>
      <c r="B348" s="80" t="s">
        <v>9513</v>
      </c>
    </row>
    <row r="349" spans="1:2" x14ac:dyDescent="0.25">
      <c r="A349" s="81" t="s">
        <v>2601</v>
      </c>
      <c r="B349" s="80" t="s">
        <v>9513</v>
      </c>
    </row>
    <row r="350" spans="1:2" x14ac:dyDescent="0.25">
      <c r="A350" s="81" t="s">
        <v>2602</v>
      </c>
      <c r="B350" s="80" t="s">
        <v>9513</v>
      </c>
    </row>
    <row r="351" spans="1:2" x14ac:dyDescent="0.25">
      <c r="A351" s="81" t="s">
        <v>2603</v>
      </c>
      <c r="B351" s="80" t="s">
        <v>9513</v>
      </c>
    </row>
    <row r="352" spans="1:2" x14ac:dyDescent="0.25">
      <c r="A352" s="81" t="s">
        <v>2604</v>
      </c>
      <c r="B352" s="80" t="s">
        <v>9513</v>
      </c>
    </row>
    <row r="353" spans="1:2" x14ac:dyDescent="0.25">
      <c r="A353" s="81" t="s">
        <v>2605</v>
      </c>
      <c r="B353" s="80" t="s">
        <v>9513</v>
      </c>
    </row>
    <row r="354" spans="1:2" x14ac:dyDescent="0.25">
      <c r="A354" s="81" t="s">
        <v>2606</v>
      </c>
      <c r="B354" s="80" t="s">
        <v>9513</v>
      </c>
    </row>
    <row r="355" spans="1:2" x14ac:dyDescent="0.25">
      <c r="A355" s="81" t="s">
        <v>2607</v>
      </c>
      <c r="B355" s="80" t="s">
        <v>9513</v>
      </c>
    </row>
    <row r="356" spans="1:2" x14ac:dyDescent="0.25">
      <c r="A356" s="81" t="s">
        <v>2608</v>
      </c>
      <c r="B356" s="80" t="s">
        <v>9513</v>
      </c>
    </row>
    <row r="357" spans="1:2" x14ac:dyDescent="0.25">
      <c r="A357" s="81" t="s">
        <v>2609</v>
      </c>
      <c r="B357" s="80" t="s">
        <v>9513</v>
      </c>
    </row>
    <row r="358" spans="1:2" x14ac:dyDescent="0.25">
      <c r="A358" s="81" t="s">
        <v>2610</v>
      </c>
      <c r="B358" s="80" t="s">
        <v>9513</v>
      </c>
    </row>
    <row r="359" spans="1:2" x14ac:dyDescent="0.25">
      <c r="A359" s="81" t="s">
        <v>2611</v>
      </c>
      <c r="B359" s="80" t="s">
        <v>9513</v>
      </c>
    </row>
    <row r="360" spans="1:2" x14ac:dyDescent="0.25">
      <c r="A360" s="81" t="s">
        <v>2612</v>
      </c>
      <c r="B360" s="80" t="s">
        <v>9513</v>
      </c>
    </row>
    <row r="361" spans="1:2" x14ac:dyDescent="0.25">
      <c r="A361" s="81" t="s">
        <v>2613</v>
      </c>
      <c r="B361" s="80" t="s">
        <v>9513</v>
      </c>
    </row>
    <row r="362" spans="1:2" x14ac:dyDescent="0.25">
      <c r="A362" s="81" t="s">
        <v>2614</v>
      </c>
      <c r="B362" s="80" t="s">
        <v>9513</v>
      </c>
    </row>
    <row r="363" spans="1:2" x14ac:dyDescent="0.25">
      <c r="A363" s="81" t="s">
        <v>2615</v>
      </c>
      <c r="B363" s="80" t="s">
        <v>9513</v>
      </c>
    </row>
    <row r="364" spans="1:2" x14ac:dyDescent="0.25">
      <c r="A364" s="81" t="s">
        <v>2616</v>
      </c>
      <c r="B364" s="80" t="s">
        <v>9513</v>
      </c>
    </row>
    <row r="365" spans="1:2" x14ac:dyDescent="0.25">
      <c r="A365" s="81" t="s">
        <v>2617</v>
      </c>
      <c r="B365" s="80" t="s">
        <v>9513</v>
      </c>
    </row>
    <row r="366" spans="1:2" x14ac:dyDescent="0.25">
      <c r="A366" s="81" t="s">
        <v>2618</v>
      </c>
      <c r="B366" s="80" t="s">
        <v>9513</v>
      </c>
    </row>
    <row r="367" spans="1:2" x14ac:dyDescent="0.25">
      <c r="A367" s="81" t="s">
        <v>2619</v>
      </c>
      <c r="B367" s="80" t="s">
        <v>9513</v>
      </c>
    </row>
    <row r="368" spans="1:2" x14ac:dyDescent="0.25">
      <c r="A368" s="81" t="s">
        <v>2620</v>
      </c>
      <c r="B368" s="80" t="s">
        <v>9513</v>
      </c>
    </row>
    <row r="369" spans="1:2" x14ac:dyDescent="0.25">
      <c r="A369" s="81" t="s">
        <v>2621</v>
      </c>
      <c r="B369" s="80" t="s">
        <v>9513</v>
      </c>
    </row>
    <row r="370" spans="1:2" x14ac:dyDescent="0.25">
      <c r="A370" s="81" t="s">
        <v>2622</v>
      </c>
      <c r="B370" s="80" t="s">
        <v>9513</v>
      </c>
    </row>
    <row r="371" spans="1:2" x14ac:dyDescent="0.25">
      <c r="A371" s="81" t="s">
        <v>2623</v>
      </c>
      <c r="B371" s="80" t="s">
        <v>9513</v>
      </c>
    </row>
    <row r="372" spans="1:2" x14ac:dyDescent="0.25">
      <c r="A372" s="81" t="s">
        <v>2624</v>
      </c>
      <c r="B372" s="80" t="s">
        <v>9513</v>
      </c>
    </row>
    <row r="373" spans="1:2" x14ac:dyDescent="0.25">
      <c r="A373" s="81" t="s">
        <v>2625</v>
      </c>
      <c r="B373" s="80" t="s">
        <v>9513</v>
      </c>
    </row>
    <row r="374" spans="1:2" x14ac:dyDescent="0.25">
      <c r="A374" s="81" t="s">
        <v>2626</v>
      </c>
      <c r="B374" s="80" t="s">
        <v>9513</v>
      </c>
    </row>
    <row r="375" spans="1:2" x14ac:dyDescent="0.25">
      <c r="A375" s="81" t="s">
        <v>2627</v>
      </c>
      <c r="B375" s="80" t="s">
        <v>9513</v>
      </c>
    </row>
    <row r="376" spans="1:2" x14ac:dyDescent="0.25">
      <c r="A376" s="81" t="s">
        <v>2628</v>
      </c>
      <c r="B376" s="80" t="s">
        <v>9513</v>
      </c>
    </row>
    <row r="377" spans="1:2" x14ac:dyDescent="0.25">
      <c r="A377" s="81" t="s">
        <v>2629</v>
      </c>
      <c r="B377" s="80" t="s">
        <v>9513</v>
      </c>
    </row>
    <row r="378" spans="1:2" x14ac:dyDescent="0.25">
      <c r="A378" s="81" t="s">
        <v>2630</v>
      </c>
      <c r="B378" s="80" t="s">
        <v>9513</v>
      </c>
    </row>
    <row r="379" spans="1:2" x14ac:dyDescent="0.25">
      <c r="A379" s="81" t="s">
        <v>2631</v>
      </c>
      <c r="B379" s="80" t="s">
        <v>9513</v>
      </c>
    </row>
    <row r="380" spans="1:2" x14ac:dyDescent="0.25">
      <c r="A380" s="81" t="s">
        <v>2632</v>
      </c>
      <c r="B380" s="80" t="s">
        <v>9513</v>
      </c>
    </row>
    <row r="381" spans="1:2" x14ac:dyDescent="0.25">
      <c r="A381" s="81" t="s">
        <v>2633</v>
      </c>
      <c r="B381" s="80" t="s">
        <v>9513</v>
      </c>
    </row>
    <row r="382" spans="1:2" x14ac:dyDescent="0.25">
      <c r="A382" s="81" t="s">
        <v>2634</v>
      </c>
      <c r="B382" s="80" t="s">
        <v>9513</v>
      </c>
    </row>
    <row r="383" spans="1:2" x14ac:dyDescent="0.25">
      <c r="A383" s="81" t="s">
        <v>2635</v>
      </c>
      <c r="B383" s="80" t="s">
        <v>9513</v>
      </c>
    </row>
    <row r="384" spans="1:2" x14ac:dyDescent="0.25">
      <c r="A384" s="81" t="s">
        <v>2636</v>
      </c>
      <c r="B384" s="80" t="s">
        <v>9513</v>
      </c>
    </row>
    <row r="385" spans="1:2" x14ac:dyDescent="0.25">
      <c r="A385" s="81" t="s">
        <v>2637</v>
      </c>
      <c r="B385" s="80" t="s">
        <v>9513</v>
      </c>
    </row>
    <row r="386" spans="1:2" x14ac:dyDescent="0.25">
      <c r="A386" s="81" t="s">
        <v>2638</v>
      </c>
      <c r="B386" s="80" t="s">
        <v>9513</v>
      </c>
    </row>
    <row r="387" spans="1:2" x14ac:dyDescent="0.25">
      <c r="A387" s="81" t="s">
        <v>2639</v>
      </c>
      <c r="B387" s="80" t="s">
        <v>9513</v>
      </c>
    </row>
    <row r="388" spans="1:2" x14ac:dyDescent="0.25">
      <c r="A388" s="81" t="s">
        <v>2640</v>
      </c>
      <c r="B388" s="80" t="s">
        <v>9513</v>
      </c>
    </row>
    <row r="389" spans="1:2" x14ac:dyDescent="0.25">
      <c r="A389" s="81" t="s">
        <v>2641</v>
      </c>
      <c r="B389" s="80" t="s">
        <v>9513</v>
      </c>
    </row>
    <row r="390" spans="1:2" x14ac:dyDescent="0.25">
      <c r="A390" s="81" t="s">
        <v>2642</v>
      </c>
      <c r="B390" s="80" t="s">
        <v>9513</v>
      </c>
    </row>
    <row r="391" spans="1:2" x14ac:dyDescent="0.25">
      <c r="A391" s="81" t="s">
        <v>2643</v>
      </c>
      <c r="B391" s="80" t="s">
        <v>9513</v>
      </c>
    </row>
    <row r="392" spans="1:2" x14ac:dyDescent="0.25">
      <c r="A392" s="81" t="s">
        <v>2644</v>
      </c>
      <c r="B392" s="80" t="s">
        <v>9513</v>
      </c>
    </row>
    <row r="393" spans="1:2" x14ac:dyDescent="0.25">
      <c r="A393" s="81" t="s">
        <v>2645</v>
      </c>
      <c r="B393" s="80" t="s">
        <v>9513</v>
      </c>
    </row>
    <row r="394" spans="1:2" x14ac:dyDescent="0.25">
      <c r="A394" s="81" t="s">
        <v>2646</v>
      </c>
      <c r="B394" s="80" t="s">
        <v>9513</v>
      </c>
    </row>
    <row r="395" spans="1:2" x14ac:dyDescent="0.25">
      <c r="A395" s="81" t="s">
        <v>2647</v>
      </c>
      <c r="B395" s="80" t="s">
        <v>9513</v>
      </c>
    </row>
    <row r="396" spans="1:2" x14ac:dyDescent="0.25">
      <c r="A396" s="81" t="s">
        <v>2648</v>
      </c>
      <c r="B396" s="80" t="s">
        <v>9513</v>
      </c>
    </row>
    <row r="397" spans="1:2" x14ac:dyDescent="0.25">
      <c r="A397" s="81" t="s">
        <v>2649</v>
      </c>
      <c r="B397" s="80" t="s">
        <v>9513</v>
      </c>
    </row>
    <row r="398" spans="1:2" x14ac:dyDescent="0.25">
      <c r="A398" s="81" t="s">
        <v>2650</v>
      </c>
      <c r="B398" s="80" t="s">
        <v>9513</v>
      </c>
    </row>
    <row r="399" spans="1:2" x14ac:dyDescent="0.25">
      <c r="A399" s="81" t="s">
        <v>2651</v>
      </c>
      <c r="B399" s="80" t="s">
        <v>9513</v>
      </c>
    </row>
    <row r="400" spans="1:2" x14ac:dyDescent="0.25">
      <c r="A400" s="81" t="s">
        <v>2652</v>
      </c>
      <c r="B400" s="80" t="s">
        <v>9513</v>
      </c>
    </row>
    <row r="401" spans="1:2" x14ac:dyDescent="0.25">
      <c r="A401" s="81" t="s">
        <v>2653</v>
      </c>
      <c r="B401" s="80" t="s">
        <v>9513</v>
      </c>
    </row>
    <row r="402" spans="1:2" x14ac:dyDescent="0.25">
      <c r="A402" s="81" t="s">
        <v>2654</v>
      </c>
      <c r="B402" s="80" t="s">
        <v>9513</v>
      </c>
    </row>
    <row r="403" spans="1:2" x14ac:dyDescent="0.25">
      <c r="A403" s="81" t="s">
        <v>2655</v>
      </c>
      <c r="B403" s="80" t="s">
        <v>9513</v>
      </c>
    </row>
    <row r="404" spans="1:2" x14ac:dyDescent="0.25">
      <c r="A404" s="81" t="s">
        <v>2656</v>
      </c>
      <c r="B404" s="80" t="s">
        <v>9513</v>
      </c>
    </row>
    <row r="405" spans="1:2" x14ac:dyDescent="0.25">
      <c r="A405" s="81" t="s">
        <v>2657</v>
      </c>
      <c r="B405" s="80" t="s">
        <v>9513</v>
      </c>
    </row>
    <row r="406" spans="1:2" x14ac:dyDescent="0.25">
      <c r="A406" s="81" t="s">
        <v>2658</v>
      </c>
      <c r="B406" s="80" t="s">
        <v>9513</v>
      </c>
    </row>
    <row r="407" spans="1:2" x14ac:dyDescent="0.25">
      <c r="A407" s="81" t="s">
        <v>2659</v>
      </c>
      <c r="B407" s="80" t="s">
        <v>9513</v>
      </c>
    </row>
    <row r="408" spans="1:2" x14ac:dyDescent="0.25">
      <c r="A408" s="81" t="s">
        <v>2660</v>
      </c>
      <c r="B408" s="80" t="s">
        <v>9513</v>
      </c>
    </row>
    <row r="409" spans="1:2" x14ac:dyDescent="0.25">
      <c r="A409" s="81" t="s">
        <v>2661</v>
      </c>
      <c r="B409" s="80" t="s">
        <v>9513</v>
      </c>
    </row>
    <row r="410" spans="1:2" x14ac:dyDescent="0.25">
      <c r="A410" s="81" t="s">
        <v>2662</v>
      </c>
      <c r="B410" s="80" t="s">
        <v>9513</v>
      </c>
    </row>
    <row r="411" spans="1:2" x14ac:dyDescent="0.25">
      <c r="A411" s="81" t="s">
        <v>2663</v>
      </c>
      <c r="B411" s="80" t="s">
        <v>9513</v>
      </c>
    </row>
    <row r="412" spans="1:2" x14ac:dyDescent="0.25">
      <c r="A412" s="81" t="s">
        <v>2664</v>
      </c>
      <c r="B412" s="80" t="s">
        <v>9513</v>
      </c>
    </row>
    <row r="413" spans="1:2" x14ac:dyDescent="0.25">
      <c r="A413" s="81" t="s">
        <v>2665</v>
      </c>
      <c r="B413" s="80" t="s">
        <v>9513</v>
      </c>
    </row>
    <row r="414" spans="1:2" x14ac:dyDescent="0.25">
      <c r="A414" s="81" t="s">
        <v>2666</v>
      </c>
      <c r="B414" s="80" t="s">
        <v>9513</v>
      </c>
    </row>
    <row r="415" spans="1:2" x14ac:dyDescent="0.25">
      <c r="A415" s="81" t="s">
        <v>2667</v>
      </c>
      <c r="B415" s="80" t="s">
        <v>9513</v>
      </c>
    </row>
    <row r="416" spans="1:2" x14ac:dyDescent="0.25">
      <c r="A416" s="81" t="s">
        <v>2668</v>
      </c>
      <c r="B416" s="80" t="s">
        <v>9513</v>
      </c>
    </row>
    <row r="417" spans="1:2" x14ac:dyDescent="0.25">
      <c r="A417" s="81" t="s">
        <v>2669</v>
      </c>
      <c r="B417" s="80" t="s">
        <v>9513</v>
      </c>
    </row>
    <row r="418" spans="1:2" x14ac:dyDescent="0.25">
      <c r="A418" s="81" t="s">
        <v>2670</v>
      </c>
      <c r="B418" s="80" t="s">
        <v>9513</v>
      </c>
    </row>
    <row r="419" spans="1:2" x14ac:dyDescent="0.25">
      <c r="A419" s="81" t="s">
        <v>2671</v>
      </c>
      <c r="B419" s="80" t="s">
        <v>9513</v>
      </c>
    </row>
    <row r="420" spans="1:2" x14ac:dyDescent="0.25">
      <c r="A420" s="81" t="s">
        <v>2672</v>
      </c>
      <c r="B420" s="80" t="s">
        <v>9513</v>
      </c>
    </row>
    <row r="421" spans="1:2" x14ac:dyDescent="0.25">
      <c r="A421" s="81" t="s">
        <v>2673</v>
      </c>
      <c r="B421" s="80" t="s">
        <v>9513</v>
      </c>
    </row>
    <row r="422" spans="1:2" x14ac:dyDescent="0.25">
      <c r="A422" s="81" t="s">
        <v>2674</v>
      </c>
      <c r="B422" s="80" t="s">
        <v>9513</v>
      </c>
    </row>
    <row r="423" spans="1:2" x14ac:dyDescent="0.25">
      <c r="A423" s="81" t="s">
        <v>2675</v>
      </c>
      <c r="B423" s="80" t="s">
        <v>9513</v>
      </c>
    </row>
    <row r="424" spans="1:2" x14ac:dyDescent="0.25">
      <c r="A424" s="81" t="s">
        <v>2676</v>
      </c>
      <c r="B424" s="80" t="s">
        <v>9513</v>
      </c>
    </row>
    <row r="425" spans="1:2" x14ac:dyDescent="0.25">
      <c r="A425" s="81" t="s">
        <v>2677</v>
      </c>
      <c r="B425" s="80" t="s">
        <v>9513</v>
      </c>
    </row>
    <row r="426" spans="1:2" x14ac:dyDescent="0.25">
      <c r="A426" s="81" t="s">
        <v>2678</v>
      </c>
      <c r="B426" s="80" t="s">
        <v>9513</v>
      </c>
    </row>
    <row r="427" spans="1:2" x14ac:dyDescent="0.25">
      <c r="A427" s="81" t="s">
        <v>2679</v>
      </c>
      <c r="B427" s="80" t="s">
        <v>9513</v>
      </c>
    </row>
    <row r="428" spans="1:2" x14ac:dyDescent="0.25">
      <c r="A428" s="81" t="s">
        <v>2680</v>
      </c>
      <c r="B428" s="80" t="s">
        <v>9513</v>
      </c>
    </row>
    <row r="429" spans="1:2" x14ac:dyDescent="0.25">
      <c r="A429" s="81" t="s">
        <v>2681</v>
      </c>
      <c r="B429" s="80" t="s">
        <v>9513</v>
      </c>
    </row>
    <row r="430" spans="1:2" x14ac:dyDescent="0.25">
      <c r="A430" s="81" t="s">
        <v>2682</v>
      </c>
      <c r="B430" s="80" t="s">
        <v>9513</v>
      </c>
    </row>
    <row r="431" spans="1:2" x14ac:dyDescent="0.25">
      <c r="A431" s="81" t="s">
        <v>2683</v>
      </c>
      <c r="B431" s="80" t="s">
        <v>9513</v>
      </c>
    </row>
    <row r="432" spans="1:2" x14ac:dyDescent="0.25">
      <c r="A432" s="81" t="s">
        <v>2684</v>
      </c>
      <c r="B432" s="80" t="s">
        <v>9513</v>
      </c>
    </row>
    <row r="433" spans="1:2" x14ac:dyDescent="0.25">
      <c r="A433" s="81" t="s">
        <v>2685</v>
      </c>
      <c r="B433" s="80" t="s">
        <v>9513</v>
      </c>
    </row>
    <row r="434" spans="1:2" x14ac:dyDescent="0.25">
      <c r="A434" s="81" t="s">
        <v>2686</v>
      </c>
      <c r="B434" s="80" t="s">
        <v>9513</v>
      </c>
    </row>
    <row r="435" spans="1:2" x14ac:dyDescent="0.25">
      <c r="A435" s="81" t="s">
        <v>2687</v>
      </c>
      <c r="B435" s="80" t="s">
        <v>9513</v>
      </c>
    </row>
    <row r="436" spans="1:2" x14ac:dyDescent="0.25">
      <c r="A436" s="81" t="s">
        <v>2688</v>
      </c>
      <c r="B436" s="80" t="s">
        <v>9513</v>
      </c>
    </row>
    <row r="437" spans="1:2" x14ac:dyDescent="0.25">
      <c r="A437" s="81" t="s">
        <v>2689</v>
      </c>
      <c r="B437" s="80" t="s">
        <v>9513</v>
      </c>
    </row>
    <row r="438" spans="1:2" x14ac:dyDescent="0.25">
      <c r="A438" s="81" t="s">
        <v>2690</v>
      </c>
      <c r="B438" s="80" t="s">
        <v>9513</v>
      </c>
    </row>
    <row r="439" spans="1:2" x14ac:dyDescent="0.25">
      <c r="A439" s="81" t="s">
        <v>325</v>
      </c>
      <c r="B439" s="80" t="s">
        <v>9513</v>
      </c>
    </row>
    <row r="440" spans="1:2" x14ac:dyDescent="0.25">
      <c r="A440" s="81" t="s">
        <v>2691</v>
      </c>
      <c r="B440" s="80" t="s">
        <v>9513</v>
      </c>
    </row>
    <row r="441" spans="1:2" x14ac:dyDescent="0.25">
      <c r="A441" s="81" t="s">
        <v>2692</v>
      </c>
      <c r="B441" s="80" t="s">
        <v>9513</v>
      </c>
    </row>
    <row r="442" spans="1:2" x14ac:dyDescent="0.25">
      <c r="A442" s="81" t="s">
        <v>2693</v>
      </c>
      <c r="B442" s="80" t="s">
        <v>9513</v>
      </c>
    </row>
    <row r="443" spans="1:2" x14ac:dyDescent="0.25">
      <c r="A443" s="81" t="s">
        <v>2694</v>
      </c>
      <c r="B443" s="80" t="s">
        <v>9513</v>
      </c>
    </row>
    <row r="444" spans="1:2" x14ac:dyDescent="0.25">
      <c r="A444" s="81" t="s">
        <v>2695</v>
      </c>
      <c r="B444" s="80" t="s">
        <v>9513</v>
      </c>
    </row>
    <row r="445" spans="1:2" x14ac:dyDescent="0.25">
      <c r="A445" s="81" t="s">
        <v>2696</v>
      </c>
      <c r="B445" s="80" t="s">
        <v>9513</v>
      </c>
    </row>
    <row r="446" spans="1:2" x14ac:dyDescent="0.25">
      <c r="A446" s="81" t="s">
        <v>2697</v>
      </c>
      <c r="B446" s="80" t="s">
        <v>9513</v>
      </c>
    </row>
    <row r="447" spans="1:2" x14ac:dyDescent="0.25">
      <c r="A447" s="81" t="s">
        <v>2698</v>
      </c>
      <c r="B447" s="80" t="s">
        <v>9513</v>
      </c>
    </row>
    <row r="448" spans="1:2" x14ac:dyDescent="0.25">
      <c r="A448" s="81" t="s">
        <v>2699</v>
      </c>
      <c r="B448" s="80" t="s">
        <v>9513</v>
      </c>
    </row>
    <row r="449" spans="1:2" x14ac:dyDescent="0.25">
      <c r="A449" s="81" t="s">
        <v>2700</v>
      </c>
      <c r="B449" s="80" t="s">
        <v>9513</v>
      </c>
    </row>
    <row r="450" spans="1:2" x14ac:dyDescent="0.25">
      <c r="A450" s="81" t="s">
        <v>2701</v>
      </c>
      <c r="B450" s="80" t="s">
        <v>9513</v>
      </c>
    </row>
    <row r="451" spans="1:2" x14ac:dyDescent="0.25">
      <c r="A451" s="81" t="s">
        <v>2702</v>
      </c>
      <c r="B451" s="80" t="s">
        <v>9513</v>
      </c>
    </row>
    <row r="452" spans="1:2" x14ac:dyDescent="0.25">
      <c r="A452" s="81" t="s">
        <v>2703</v>
      </c>
      <c r="B452" s="80" t="s">
        <v>9513</v>
      </c>
    </row>
    <row r="453" spans="1:2" x14ac:dyDescent="0.25">
      <c r="A453" s="81" t="s">
        <v>2704</v>
      </c>
      <c r="B453" s="80" t="s">
        <v>9513</v>
      </c>
    </row>
    <row r="454" spans="1:2" x14ac:dyDescent="0.25">
      <c r="A454" s="81" t="s">
        <v>2705</v>
      </c>
      <c r="B454" s="80" t="s">
        <v>9513</v>
      </c>
    </row>
    <row r="455" spans="1:2" x14ac:dyDescent="0.25">
      <c r="A455" s="81" t="s">
        <v>2706</v>
      </c>
      <c r="B455" s="80" t="s">
        <v>9513</v>
      </c>
    </row>
    <row r="456" spans="1:2" x14ac:dyDescent="0.25">
      <c r="A456" s="81" t="s">
        <v>2707</v>
      </c>
      <c r="B456" s="80" t="s">
        <v>9513</v>
      </c>
    </row>
    <row r="457" spans="1:2" x14ac:dyDescent="0.25">
      <c r="A457" s="81" t="s">
        <v>2708</v>
      </c>
      <c r="B457" s="80" t="s">
        <v>9513</v>
      </c>
    </row>
    <row r="458" spans="1:2" x14ac:dyDescent="0.25">
      <c r="A458" s="81" t="s">
        <v>2709</v>
      </c>
      <c r="B458" s="80" t="s">
        <v>9513</v>
      </c>
    </row>
    <row r="459" spans="1:2" x14ac:dyDescent="0.25">
      <c r="A459" s="81" t="s">
        <v>2710</v>
      </c>
      <c r="B459" s="80" t="s">
        <v>9513</v>
      </c>
    </row>
    <row r="460" spans="1:2" x14ac:dyDescent="0.25">
      <c r="A460" s="81" t="s">
        <v>2711</v>
      </c>
      <c r="B460" s="80" t="s">
        <v>9513</v>
      </c>
    </row>
    <row r="461" spans="1:2" x14ac:dyDescent="0.25">
      <c r="A461" s="81" t="s">
        <v>2712</v>
      </c>
      <c r="B461" s="80" t="s">
        <v>9513</v>
      </c>
    </row>
    <row r="462" spans="1:2" x14ac:dyDescent="0.25">
      <c r="A462" s="81" t="s">
        <v>2713</v>
      </c>
      <c r="B462" s="80" t="s">
        <v>9513</v>
      </c>
    </row>
    <row r="463" spans="1:2" x14ac:dyDescent="0.25">
      <c r="A463" s="81" t="s">
        <v>2714</v>
      </c>
      <c r="B463" s="80" t="s">
        <v>9513</v>
      </c>
    </row>
    <row r="464" spans="1:2" x14ac:dyDescent="0.25">
      <c r="A464" s="81" t="s">
        <v>2715</v>
      </c>
      <c r="B464" s="80" t="s">
        <v>9513</v>
      </c>
    </row>
    <row r="465" spans="1:2" x14ac:dyDescent="0.25">
      <c r="A465" s="81" t="s">
        <v>2716</v>
      </c>
      <c r="B465" s="80" t="s">
        <v>9513</v>
      </c>
    </row>
    <row r="466" spans="1:2" x14ac:dyDescent="0.25">
      <c r="A466" s="81" t="s">
        <v>2717</v>
      </c>
      <c r="B466" s="80" t="s">
        <v>9513</v>
      </c>
    </row>
    <row r="467" spans="1:2" x14ac:dyDescent="0.25">
      <c r="A467" s="81" t="s">
        <v>2718</v>
      </c>
      <c r="B467" s="80" t="s">
        <v>9513</v>
      </c>
    </row>
    <row r="468" spans="1:2" x14ac:dyDescent="0.25">
      <c r="A468" s="81" t="s">
        <v>2719</v>
      </c>
      <c r="B468" s="80" t="s">
        <v>9513</v>
      </c>
    </row>
    <row r="469" spans="1:2" x14ac:dyDescent="0.25">
      <c r="A469" s="81" t="s">
        <v>2720</v>
      </c>
      <c r="B469" s="80" t="s">
        <v>9513</v>
      </c>
    </row>
    <row r="470" spans="1:2" x14ac:dyDescent="0.25">
      <c r="A470" s="81" t="s">
        <v>2721</v>
      </c>
      <c r="B470" s="80" t="s">
        <v>9513</v>
      </c>
    </row>
    <row r="471" spans="1:2" x14ac:dyDescent="0.25">
      <c r="A471" s="81" t="s">
        <v>2722</v>
      </c>
      <c r="B471" s="80" t="s">
        <v>9513</v>
      </c>
    </row>
    <row r="472" spans="1:2" x14ac:dyDescent="0.25">
      <c r="A472" s="81" t="s">
        <v>2723</v>
      </c>
      <c r="B472" s="80" t="s">
        <v>9513</v>
      </c>
    </row>
    <row r="473" spans="1:2" x14ac:dyDescent="0.25">
      <c r="A473" s="81" t="s">
        <v>2724</v>
      </c>
      <c r="B473" s="80" t="s">
        <v>9513</v>
      </c>
    </row>
    <row r="474" spans="1:2" x14ac:dyDescent="0.25">
      <c r="A474" s="81" t="s">
        <v>2725</v>
      </c>
      <c r="B474" s="80" t="s">
        <v>9513</v>
      </c>
    </row>
    <row r="475" spans="1:2" x14ac:dyDescent="0.25">
      <c r="A475" s="81" t="s">
        <v>2726</v>
      </c>
      <c r="B475" s="80" t="s">
        <v>9513</v>
      </c>
    </row>
    <row r="476" spans="1:2" x14ac:dyDescent="0.25">
      <c r="A476" s="81" t="s">
        <v>2727</v>
      </c>
      <c r="B476" s="80" t="s">
        <v>9513</v>
      </c>
    </row>
    <row r="477" spans="1:2" x14ac:dyDescent="0.25">
      <c r="A477" s="81" t="s">
        <v>2728</v>
      </c>
      <c r="B477" s="80" t="s">
        <v>9513</v>
      </c>
    </row>
    <row r="478" spans="1:2" x14ac:dyDescent="0.25">
      <c r="A478" s="81" t="s">
        <v>2729</v>
      </c>
      <c r="B478" s="80" t="s">
        <v>9513</v>
      </c>
    </row>
    <row r="479" spans="1:2" x14ac:dyDescent="0.25">
      <c r="A479" s="81" t="s">
        <v>2730</v>
      </c>
      <c r="B479" s="80" t="s">
        <v>9513</v>
      </c>
    </row>
    <row r="480" spans="1:2" x14ac:dyDescent="0.25">
      <c r="A480" s="81" t="s">
        <v>2731</v>
      </c>
      <c r="B480" s="80" t="s">
        <v>9513</v>
      </c>
    </row>
    <row r="481" spans="1:2" x14ac:dyDescent="0.25">
      <c r="A481" s="81" t="s">
        <v>2732</v>
      </c>
      <c r="B481" s="80" t="s">
        <v>9513</v>
      </c>
    </row>
    <row r="482" spans="1:2" x14ac:dyDescent="0.25">
      <c r="A482" s="81" t="s">
        <v>2733</v>
      </c>
      <c r="B482" s="80" t="s">
        <v>9513</v>
      </c>
    </row>
    <row r="483" spans="1:2" x14ac:dyDescent="0.25">
      <c r="A483" s="81" t="s">
        <v>2734</v>
      </c>
      <c r="B483" s="80" t="s">
        <v>9513</v>
      </c>
    </row>
    <row r="484" spans="1:2" x14ac:dyDescent="0.25">
      <c r="A484" s="81" t="s">
        <v>2735</v>
      </c>
      <c r="B484" s="80" t="s">
        <v>9513</v>
      </c>
    </row>
    <row r="485" spans="1:2" x14ac:dyDescent="0.25">
      <c r="A485" s="81" t="s">
        <v>2736</v>
      </c>
      <c r="B485" s="80" t="s">
        <v>9513</v>
      </c>
    </row>
    <row r="486" spans="1:2" x14ac:dyDescent="0.25">
      <c r="A486" s="81" t="s">
        <v>2737</v>
      </c>
      <c r="B486" s="80" t="s">
        <v>9513</v>
      </c>
    </row>
    <row r="487" spans="1:2" x14ac:dyDescent="0.25">
      <c r="A487" s="81" t="s">
        <v>2738</v>
      </c>
      <c r="B487" s="80" t="s">
        <v>9513</v>
      </c>
    </row>
    <row r="488" spans="1:2" x14ac:dyDescent="0.25">
      <c r="A488" s="81" t="s">
        <v>2739</v>
      </c>
      <c r="B488" s="80" t="s">
        <v>9513</v>
      </c>
    </row>
    <row r="489" spans="1:2" x14ac:dyDescent="0.25">
      <c r="A489" s="81" t="s">
        <v>2740</v>
      </c>
      <c r="B489" s="80" t="s">
        <v>9513</v>
      </c>
    </row>
    <row r="490" spans="1:2" x14ac:dyDescent="0.25">
      <c r="A490" s="81" t="s">
        <v>2741</v>
      </c>
      <c r="B490" s="80" t="s">
        <v>9513</v>
      </c>
    </row>
    <row r="491" spans="1:2" x14ac:dyDescent="0.25">
      <c r="A491" s="81" t="s">
        <v>2742</v>
      </c>
      <c r="B491" s="80" t="s">
        <v>9513</v>
      </c>
    </row>
    <row r="492" spans="1:2" x14ac:dyDescent="0.25">
      <c r="A492" s="81" t="s">
        <v>2743</v>
      </c>
      <c r="B492" s="80" t="s">
        <v>9513</v>
      </c>
    </row>
    <row r="493" spans="1:2" x14ac:dyDescent="0.25">
      <c r="A493" s="81" t="s">
        <v>2744</v>
      </c>
      <c r="B493" s="80" t="s">
        <v>9513</v>
      </c>
    </row>
    <row r="494" spans="1:2" x14ac:dyDescent="0.25">
      <c r="A494" s="81" t="s">
        <v>2745</v>
      </c>
      <c r="B494" s="80" t="s">
        <v>9513</v>
      </c>
    </row>
    <row r="495" spans="1:2" x14ac:dyDescent="0.25">
      <c r="A495" s="81" t="s">
        <v>2746</v>
      </c>
      <c r="B495" s="80" t="s">
        <v>9513</v>
      </c>
    </row>
    <row r="496" spans="1:2" x14ac:dyDescent="0.25">
      <c r="A496" s="81" t="s">
        <v>2747</v>
      </c>
      <c r="B496" s="80" t="s">
        <v>9513</v>
      </c>
    </row>
    <row r="497" spans="1:2" x14ac:dyDescent="0.25">
      <c r="A497" s="81" t="s">
        <v>2748</v>
      </c>
      <c r="B497" s="80" t="s">
        <v>9513</v>
      </c>
    </row>
    <row r="498" spans="1:2" x14ac:dyDescent="0.25">
      <c r="A498" s="81" t="s">
        <v>2749</v>
      </c>
      <c r="B498" s="80" t="s">
        <v>9513</v>
      </c>
    </row>
    <row r="499" spans="1:2" x14ac:dyDescent="0.25">
      <c r="A499" s="81" t="s">
        <v>2750</v>
      </c>
      <c r="B499" s="80" t="s">
        <v>9513</v>
      </c>
    </row>
    <row r="500" spans="1:2" x14ac:dyDescent="0.25">
      <c r="A500" s="81" t="s">
        <v>2751</v>
      </c>
      <c r="B500" s="80" t="s">
        <v>9513</v>
      </c>
    </row>
    <row r="501" spans="1:2" x14ac:dyDescent="0.25">
      <c r="A501" s="81" t="s">
        <v>2752</v>
      </c>
      <c r="B501" s="80" t="s">
        <v>9513</v>
      </c>
    </row>
    <row r="502" spans="1:2" x14ac:dyDescent="0.25">
      <c r="A502" s="81" t="s">
        <v>2753</v>
      </c>
      <c r="B502" s="80" t="s">
        <v>9513</v>
      </c>
    </row>
    <row r="503" spans="1:2" x14ac:dyDescent="0.25">
      <c r="A503" s="81" t="s">
        <v>2754</v>
      </c>
      <c r="B503" s="80" t="s">
        <v>9513</v>
      </c>
    </row>
    <row r="504" spans="1:2" x14ac:dyDescent="0.25">
      <c r="A504" s="81" t="s">
        <v>2755</v>
      </c>
      <c r="B504" s="80" t="s">
        <v>9513</v>
      </c>
    </row>
    <row r="505" spans="1:2" x14ac:dyDescent="0.25">
      <c r="A505" s="81" t="s">
        <v>2756</v>
      </c>
      <c r="B505" s="80" t="s">
        <v>9513</v>
      </c>
    </row>
    <row r="506" spans="1:2" x14ac:dyDescent="0.25">
      <c r="A506" s="81" t="s">
        <v>2757</v>
      </c>
      <c r="B506" s="80" t="s">
        <v>9513</v>
      </c>
    </row>
    <row r="507" spans="1:2" x14ac:dyDescent="0.25">
      <c r="A507" s="81" t="s">
        <v>2758</v>
      </c>
      <c r="B507" s="80" t="s">
        <v>9513</v>
      </c>
    </row>
    <row r="508" spans="1:2" x14ac:dyDescent="0.25">
      <c r="A508" s="81" t="s">
        <v>2759</v>
      </c>
      <c r="B508" s="80" t="s">
        <v>9513</v>
      </c>
    </row>
    <row r="509" spans="1:2" x14ac:dyDescent="0.25">
      <c r="A509" s="81" t="s">
        <v>2760</v>
      </c>
      <c r="B509" s="80" t="s">
        <v>9513</v>
      </c>
    </row>
    <row r="510" spans="1:2" x14ac:dyDescent="0.25">
      <c r="A510" s="81" t="s">
        <v>2761</v>
      </c>
      <c r="B510" s="80" t="s">
        <v>9513</v>
      </c>
    </row>
    <row r="511" spans="1:2" x14ac:dyDescent="0.25">
      <c r="A511" s="81" t="s">
        <v>2762</v>
      </c>
      <c r="B511" s="80" t="s">
        <v>9513</v>
      </c>
    </row>
    <row r="512" spans="1:2" x14ac:dyDescent="0.25">
      <c r="A512" s="81" t="s">
        <v>2763</v>
      </c>
      <c r="B512" s="80" t="s">
        <v>9513</v>
      </c>
    </row>
    <row r="513" spans="1:2" x14ac:dyDescent="0.25">
      <c r="A513" s="81" t="s">
        <v>2764</v>
      </c>
      <c r="B513" s="80" t="s">
        <v>9513</v>
      </c>
    </row>
    <row r="514" spans="1:2" x14ac:dyDescent="0.25">
      <c r="A514" s="81" t="s">
        <v>2765</v>
      </c>
      <c r="B514" s="80" t="s">
        <v>9513</v>
      </c>
    </row>
    <row r="515" spans="1:2" x14ac:dyDescent="0.25">
      <c r="A515" s="81" t="s">
        <v>2766</v>
      </c>
      <c r="B515" s="80" t="s">
        <v>9513</v>
      </c>
    </row>
    <row r="516" spans="1:2" x14ac:dyDescent="0.25">
      <c r="A516" s="81" t="s">
        <v>2767</v>
      </c>
      <c r="B516" s="80" t="s">
        <v>9513</v>
      </c>
    </row>
    <row r="517" spans="1:2" x14ac:dyDescent="0.25">
      <c r="A517" s="81" t="s">
        <v>2768</v>
      </c>
      <c r="B517" s="80" t="s">
        <v>9513</v>
      </c>
    </row>
    <row r="518" spans="1:2" x14ac:dyDescent="0.25">
      <c r="A518" s="81" t="s">
        <v>2769</v>
      </c>
      <c r="B518" s="80" t="s">
        <v>9513</v>
      </c>
    </row>
    <row r="519" spans="1:2" x14ac:dyDescent="0.25">
      <c r="A519" s="81" t="s">
        <v>2770</v>
      </c>
      <c r="B519" s="80" t="s">
        <v>9513</v>
      </c>
    </row>
    <row r="520" spans="1:2" x14ac:dyDescent="0.25">
      <c r="A520" s="81" t="s">
        <v>2771</v>
      </c>
      <c r="B520" s="80" t="s">
        <v>9513</v>
      </c>
    </row>
    <row r="521" spans="1:2" x14ac:dyDescent="0.25">
      <c r="A521" s="81" t="s">
        <v>2772</v>
      </c>
      <c r="B521" s="80" t="s">
        <v>9513</v>
      </c>
    </row>
    <row r="522" spans="1:2" x14ac:dyDescent="0.25">
      <c r="A522" s="81" t="s">
        <v>2773</v>
      </c>
      <c r="B522" s="80" t="s">
        <v>9513</v>
      </c>
    </row>
    <row r="523" spans="1:2" x14ac:dyDescent="0.25">
      <c r="A523" s="81" t="s">
        <v>2774</v>
      </c>
      <c r="B523" s="80" t="s">
        <v>9513</v>
      </c>
    </row>
    <row r="524" spans="1:2" x14ac:dyDescent="0.25">
      <c r="A524" s="81" t="s">
        <v>2775</v>
      </c>
      <c r="B524" s="80" t="s">
        <v>9513</v>
      </c>
    </row>
    <row r="525" spans="1:2" x14ac:dyDescent="0.25">
      <c r="A525" s="81" t="s">
        <v>2776</v>
      </c>
      <c r="B525" s="80" t="s">
        <v>9513</v>
      </c>
    </row>
    <row r="526" spans="1:2" x14ac:dyDescent="0.25">
      <c r="A526" s="81" t="s">
        <v>2777</v>
      </c>
      <c r="B526" s="80" t="s">
        <v>9513</v>
      </c>
    </row>
    <row r="527" spans="1:2" x14ac:dyDescent="0.25">
      <c r="A527" s="81" t="s">
        <v>2778</v>
      </c>
      <c r="B527" s="80" t="s">
        <v>9513</v>
      </c>
    </row>
    <row r="528" spans="1:2" x14ac:dyDescent="0.25">
      <c r="A528" s="81" t="s">
        <v>2779</v>
      </c>
      <c r="B528" s="80" t="s">
        <v>9513</v>
      </c>
    </row>
    <row r="529" spans="1:2" x14ac:dyDescent="0.25">
      <c r="A529" s="81" t="s">
        <v>2780</v>
      </c>
      <c r="B529" s="80" t="s">
        <v>9513</v>
      </c>
    </row>
    <row r="530" spans="1:2" x14ac:dyDescent="0.25">
      <c r="A530" s="81" t="s">
        <v>2781</v>
      </c>
      <c r="B530" s="80" t="s">
        <v>9513</v>
      </c>
    </row>
    <row r="531" spans="1:2" x14ac:dyDescent="0.25">
      <c r="A531" s="81" t="s">
        <v>2782</v>
      </c>
      <c r="B531" s="80" t="s">
        <v>9514</v>
      </c>
    </row>
    <row r="532" spans="1:2" x14ac:dyDescent="0.25">
      <c r="A532" s="81" t="s">
        <v>2783</v>
      </c>
      <c r="B532" s="80" t="s">
        <v>9514</v>
      </c>
    </row>
    <row r="533" spans="1:2" x14ac:dyDescent="0.25">
      <c r="A533" s="81" t="s">
        <v>2784</v>
      </c>
      <c r="B533" s="80" t="s">
        <v>9514</v>
      </c>
    </row>
    <row r="534" spans="1:2" x14ac:dyDescent="0.25">
      <c r="A534" s="81" t="s">
        <v>2785</v>
      </c>
      <c r="B534" s="80" t="s">
        <v>9514</v>
      </c>
    </row>
    <row r="535" spans="1:2" x14ac:dyDescent="0.25">
      <c r="A535" s="81" t="s">
        <v>2786</v>
      </c>
      <c r="B535" s="80" t="s">
        <v>9514</v>
      </c>
    </row>
    <row r="536" spans="1:2" x14ac:dyDescent="0.25">
      <c r="A536" s="81" t="s">
        <v>2787</v>
      </c>
      <c r="B536" s="80" t="s">
        <v>9514</v>
      </c>
    </row>
    <row r="537" spans="1:2" x14ac:dyDescent="0.25">
      <c r="A537" s="81" t="s">
        <v>2788</v>
      </c>
      <c r="B537" s="80" t="s">
        <v>9514</v>
      </c>
    </row>
    <row r="538" spans="1:2" x14ac:dyDescent="0.25">
      <c r="A538" s="81" t="s">
        <v>2789</v>
      </c>
      <c r="B538" s="80" t="s">
        <v>9514</v>
      </c>
    </row>
    <row r="539" spans="1:2" x14ac:dyDescent="0.25">
      <c r="A539" s="81" t="s">
        <v>2790</v>
      </c>
      <c r="B539" s="80" t="s">
        <v>9514</v>
      </c>
    </row>
    <row r="540" spans="1:2" x14ac:dyDescent="0.25">
      <c r="A540" s="81" t="s">
        <v>2791</v>
      </c>
      <c r="B540" s="80" t="s">
        <v>9514</v>
      </c>
    </row>
    <row r="541" spans="1:2" x14ac:dyDescent="0.25">
      <c r="A541" s="81" t="s">
        <v>2792</v>
      </c>
      <c r="B541" s="80" t="s">
        <v>9514</v>
      </c>
    </row>
    <row r="542" spans="1:2" x14ac:dyDescent="0.25">
      <c r="A542" s="81" t="s">
        <v>2793</v>
      </c>
      <c r="B542" s="80" t="s">
        <v>9514</v>
      </c>
    </row>
    <row r="543" spans="1:2" x14ac:dyDescent="0.25">
      <c r="A543" s="81" t="s">
        <v>2794</v>
      </c>
      <c r="B543" s="80" t="s">
        <v>9514</v>
      </c>
    </row>
    <row r="544" spans="1:2" x14ac:dyDescent="0.25">
      <c r="A544" s="81" t="s">
        <v>2795</v>
      </c>
      <c r="B544" s="80" t="s">
        <v>9514</v>
      </c>
    </row>
    <row r="545" spans="1:2" x14ac:dyDescent="0.25">
      <c r="A545" s="81" t="s">
        <v>2796</v>
      </c>
      <c r="B545" s="80" t="s">
        <v>9514</v>
      </c>
    </row>
    <row r="546" spans="1:2" x14ac:dyDescent="0.25">
      <c r="A546" s="81" t="s">
        <v>2797</v>
      </c>
      <c r="B546" s="80" t="s">
        <v>9514</v>
      </c>
    </row>
    <row r="547" spans="1:2" x14ac:dyDescent="0.25">
      <c r="A547" s="81" t="s">
        <v>2798</v>
      </c>
      <c r="B547" s="80" t="s">
        <v>9514</v>
      </c>
    </row>
    <row r="548" spans="1:2" x14ac:dyDescent="0.25">
      <c r="A548" s="81" t="s">
        <v>2799</v>
      </c>
      <c r="B548" s="80" t="s">
        <v>9514</v>
      </c>
    </row>
    <row r="549" spans="1:2" x14ac:dyDescent="0.25">
      <c r="A549" s="81" t="s">
        <v>2800</v>
      </c>
      <c r="B549" s="80" t="s">
        <v>9514</v>
      </c>
    </row>
    <row r="550" spans="1:2" x14ac:dyDescent="0.25">
      <c r="A550" s="81" t="s">
        <v>2801</v>
      </c>
      <c r="B550" s="80" t="s">
        <v>9514</v>
      </c>
    </row>
    <row r="551" spans="1:2" x14ac:dyDescent="0.25">
      <c r="A551" s="81" t="s">
        <v>2802</v>
      </c>
      <c r="B551" s="80" t="s">
        <v>9514</v>
      </c>
    </row>
    <row r="552" spans="1:2" x14ac:dyDescent="0.25">
      <c r="A552" s="81" t="s">
        <v>2803</v>
      </c>
      <c r="B552" s="80" t="s">
        <v>9514</v>
      </c>
    </row>
    <row r="553" spans="1:2" x14ac:dyDescent="0.25">
      <c r="A553" s="81" t="s">
        <v>2804</v>
      </c>
      <c r="B553" s="80" t="s">
        <v>9514</v>
      </c>
    </row>
    <row r="554" spans="1:2" x14ac:dyDescent="0.25">
      <c r="A554" s="81" t="s">
        <v>2805</v>
      </c>
      <c r="B554" s="80" t="s">
        <v>9514</v>
      </c>
    </row>
    <row r="555" spans="1:2" x14ac:dyDescent="0.25">
      <c r="A555" s="81" t="s">
        <v>2806</v>
      </c>
      <c r="B555" s="80" t="s">
        <v>9514</v>
      </c>
    </row>
    <row r="556" spans="1:2" x14ac:dyDescent="0.25">
      <c r="A556" s="81" t="s">
        <v>2807</v>
      </c>
      <c r="B556" s="80" t="s">
        <v>9514</v>
      </c>
    </row>
    <row r="557" spans="1:2" x14ac:dyDescent="0.25">
      <c r="A557" s="81" t="s">
        <v>2808</v>
      </c>
      <c r="B557" s="80" t="s">
        <v>9514</v>
      </c>
    </row>
    <row r="558" spans="1:2" x14ac:dyDescent="0.25">
      <c r="A558" s="81" t="s">
        <v>2809</v>
      </c>
      <c r="B558" s="80" t="s">
        <v>9514</v>
      </c>
    </row>
    <row r="559" spans="1:2" x14ac:dyDescent="0.25">
      <c r="A559" s="81" t="s">
        <v>2810</v>
      </c>
      <c r="B559" s="80" t="s">
        <v>9514</v>
      </c>
    </row>
    <row r="560" spans="1:2" x14ac:dyDescent="0.25">
      <c r="A560" s="81" t="s">
        <v>2811</v>
      </c>
      <c r="B560" s="80" t="s">
        <v>9514</v>
      </c>
    </row>
    <row r="561" spans="1:2" x14ac:dyDescent="0.25">
      <c r="A561" s="81" t="s">
        <v>2812</v>
      </c>
      <c r="B561" s="80" t="s">
        <v>9514</v>
      </c>
    </row>
    <row r="562" spans="1:2" x14ac:dyDescent="0.25">
      <c r="A562" s="81" t="s">
        <v>2813</v>
      </c>
      <c r="B562" s="80" t="s">
        <v>9514</v>
      </c>
    </row>
    <row r="563" spans="1:2" x14ac:dyDescent="0.25">
      <c r="A563" s="81" t="s">
        <v>2814</v>
      </c>
      <c r="B563" s="80" t="s">
        <v>9514</v>
      </c>
    </row>
    <row r="564" spans="1:2" x14ac:dyDescent="0.25">
      <c r="A564" s="81" t="s">
        <v>2815</v>
      </c>
      <c r="B564" s="80" t="s">
        <v>9514</v>
      </c>
    </row>
    <row r="565" spans="1:2" x14ac:dyDescent="0.25">
      <c r="A565" s="81" t="s">
        <v>2816</v>
      </c>
      <c r="B565" s="80" t="s">
        <v>9514</v>
      </c>
    </row>
    <row r="566" spans="1:2" x14ac:dyDescent="0.25">
      <c r="A566" s="81" t="s">
        <v>2817</v>
      </c>
      <c r="B566" s="80" t="s">
        <v>9514</v>
      </c>
    </row>
    <row r="567" spans="1:2" x14ac:dyDescent="0.25">
      <c r="A567" s="81" t="s">
        <v>2818</v>
      </c>
      <c r="B567" s="80" t="s">
        <v>9514</v>
      </c>
    </row>
    <row r="568" spans="1:2" x14ac:dyDescent="0.25">
      <c r="A568" s="81" t="s">
        <v>2819</v>
      </c>
      <c r="B568" s="80" t="s">
        <v>9514</v>
      </c>
    </row>
    <row r="569" spans="1:2" x14ac:dyDescent="0.25">
      <c r="A569" s="81" t="s">
        <v>2820</v>
      </c>
      <c r="B569" s="80" t="s">
        <v>9514</v>
      </c>
    </row>
    <row r="570" spans="1:2" x14ac:dyDescent="0.25">
      <c r="A570" s="81" t="s">
        <v>2821</v>
      </c>
      <c r="B570" s="80" t="s">
        <v>9514</v>
      </c>
    </row>
    <row r="571" spans="1:2" x14ac:dyDescent="0.25">
      <c r="A571" s="81" t="s">
        <v>2822</v>
      </c>
      <c r="B571" s="80" t="s">
        <v>9514</v>
      </c>
    </row>
    <row r="572" spans="1:2" x14ac:dyDescent="0.25">
      <c r="A572" s="81" t="s">
        <v>2823</v>
      </c>
      <c r="B572" s="80" t="s">
        <v>9514</v>
      </c>
    </row>
    <row r="573" spans="1:2" x14ac:dyDescent="0.25">
      <c r="A573" s="81" t="s">
        <v>2824</v>
      </c>
      <c r="B573" s="80" t="s">
        <v>9514</v>
      </c>
    </row>
    <row r="574" spans="1:2" x14ac:dyDescent="0.25">
      <c r="A574" s="81" t="s">
        <v>2825</v>
      </c>
      <c r="B574" s="80" t="s">
        <v>9514</v>
      </c>
    </row>
    <row r="575" spans="1:2" x14ac:dyDescent="0.25">
      <c r="A575" s="81" t="s">
        <v>2826</v>
      </c>
      <c r="B575" s="80" t="s">
        <v>9514</v>
      </c>
    </row>
    <row r="576" spans="1:2" x14ac:dyDescent="0.25">
      <c r="A576" s="81" t="s">
        <v>2827</v>
      </c>
      <c r="B576" s="80" t="s">
        <v>9514</v>
      </c>
    </row>
    <row r="577" spans="1:2" x14ac:dyDescent="0.25">
      <c r="A577" s="81" t="s">
        <v>2828</v>
      </c>
      <c r="B577" s="80" t="s">
        <v>9514</v>
      </c>
    </row>
    <row r="578" spans="1:2" x14ac:dyDescent="0.25">
      <c r="A578" s="81" t="s">
        <v>2829</v>
      </c>
      <c r="B578" s="80" t="s">
        <v>9514</v>
      </c>
    </row>
    <row r="579" spans="1:2" x14ac:dyDescent="0.25">
      <c r="A579" s="81" t="s">
        <v>2830</v>
      </c>
      <c r="B579" s="80" t="s">
        <v>9514</v>
      </c>
    </row>
    <row r="580" spans="1:2" x14ac:dyDescent="0.25">
      <c r="A580" s="81" t="s">
        <v>2831</v>
      </c>
      <c r="B580" s="80" t="s">
        <v>9514</v>
      </c>
    </row>
    <row r="581" spans="1:2" x14ac:dyDescent="0.25">
      <c r="A581" s="81" t="s">
        <v>2832</v>
      </c>
      <c r="B581" s="80" t="s">
        <v>9514</v>
      </c>
    </row>
    <row r="582" spans="1:2" x14ac:dyDescent="0.25">
      <c r="A582" s="81" t="s">
        <v>2833</v>
      </c>
      <c r="B582" s="80" t="s">
        <v>9514</v>
      </c>
    </row>
    <row r="583" spans="1:2" x14ac:dyDescent="0.25">
      <c r="A583" s="81" t="s">
        <v>2834</v>
      </c>
      <c r="B583" s="80" t="s">
        <v>9514</v>
      </c>
    </row>
    <row r="584" spans="1:2" x14ac:dyDescent="0.25">
      <c r="A584" s="81" t="s">
        <v>2835</v>
      </c>
      <c r="B584" s="80" t="s">
        <v>9514</v>
      </c>
    </row>
    <row r="585" spans="1:2" x14ac:dyDescent="0.25">
      <c r="A585" s="81" t="s">
        <v>2836</v>
      </c>
      <c r="B585" s="80" t="s">
        <v>9514</v>
      </c>
    </row>
    <row r="586" spans="1:2" x14ac:dyDescent="0.25">
      <c r="A586" s="81" t="s">
        <v>2837</v>
      </c>
      <c r="B586" s="80" t="s">
        <v>9514</v>
      </c>
    </row>
    <row r="587" spans="1:2" x14ac:dyDescent="0.25">
      <c r="A587" s="81" t="s">
        <v>2838</v>
      </c>
      <c r="B587" s="80" t="s">
        <v>9514</v>
      </c>
    </row>
    <row r="588" spans="1:2" x14ac:dyDescent="0.25">
      <c r="A588" s="81" t="s">
        <v>2839</v>
      </c>
      <c r="B588" s="80" t="s">
        <v>9514</v>
      </c>
    </row>
    <row r="589" spans="1:2" x14ac:dyDescent="0.25">
      <c r="A589" s="81" t="s">
        <v>2840</v>
      </c>
      <c r="B589" s="80" t="s">
        <v>9514</v>
      </c>
    </row>
    <row r="590" spans="1:2" x14ac:dyDescent="0.25">
      <c r="A590" s="81" t="s">
        <v>2841</v>
      </c>
      <c r="B590" s="80" t="s">
        <v>9514</v>
      </c>
    </row>
    <row r="591" spans="1:2" x14ac:dyDescent="0.25">
      <c r="A591" s="81" t="s">
        <v>2842</v>
      </c>
      <c r="B591" s="80" t="s">
        <v>9514</v>
      </c>
    </row>
    <row r="592" spans="1:2" x14ac:dyDescent="0.25">
      <c r="A592" s="81" t="s">
        <v>2843</v>
      </c>
      <c r="B592" s="80" t="s">
        <v>9514</v>
      </c>
    </row>
    <row r="593" spans="1:2" x14ac:dyDescent="0.25">
      <c r="A593" s="81" t="s">
        <v>2844</v>
      </c>
      <c r="B593" s="80" t="s">
        <v>9514</v>
      </c>
    </row>
    <row r="594" spans="1:2" x14ac:dyDescent="0.25">
      <c r="A594" s="81" t="s">
        <v>2845</v>
      </c>
      <c r="B594" s="80" t="s">
        <v>9514</v>
      </c>
    </row>
    <row r="595" spans="1:2" x14ac:dyDescent="0.25">
      <c r="A595" s="81" t="s">
        <v>2846</v>
      </c>
      <c r="B595" s="80" t="s">
        <v>9514</v>
      </c>
    </row>
    <row r="596" spans="1:2" x14ac:dyDescent="0.25">
      <c r="A596" s="81" t="s">
        <v>2847</v>
      </c>
      <c r="B596" s="80" t="s">
        <v>9514</v>
      </c>
    </row>
    <row r="597" spans="1:2" x14ac:dyDescent="0.25">
      <c r="A597" s="81" t="s">
        <v>2848</v>
      </c>
      <c r="B597" s="80" t="s">
        <v>9514</v>
      </c>
    </row>
    <row r="598" spans="1:2" x14ac:dyDescent="0.25">
      <c r="A598" s="81" t="s">
        <v>2849</v>
      </c>
      <c r="B598" s="80" t="s">
        <v>9514</v>
      </c>
    </row>
    <row r="599" spans="1:2" x14ac:dyDescent="0.25">
      <c r="A599" s="81" t="s">
        <v>2850</v>
      </c>
      <c r="B599" s="80" t="s">
        <v>9514</v>
      </c>
    </row>
    <row r="600" spans="1:2" x14ac:dyDescent="0.25">
      <c r="A600" s="81" t="s">
        <v>2851</v>
      </c>
      <c r="B600" s="80" t="s">
        <v>9514</v>
      </c>
    </row>
    <row r="601" spans="1:2" x14ac:dyDescent="0.25">
      <c r="A601" s="81" t="s">
        <v>2852</v>
      </c>
      <c r="B601" s="80" t="s">
        <v>9514</v>
      </c>
    </row>
    <row r="602" spans="1:2" x14ac:dyDescent="0.25">
      <c r="A602" s="81" t="s">
        <v>2853</v>
      </c>
      <c r="B602" s="80" t="s">
        <v>9514</v>
      </c>
    </row>
    <row r="603" spans="1:2" x14ac:dyDescent="0.25">
      <c r="A603" s="81" t="s">
        <v>2854</v>
      </c>
      <c r="B603" s="80" t="s">
        <v>9514</v>
      </c>
    </row>
    <row r="604" spans="1:2" x14ac:dyDescent="0.25">
      <c r="A604" s="81" t="s">
        <v>2855</v>
      </c>
      <c r="B604" s="80" t="s">
        <v>9514</v>
      </c>
    </row>
    <row r="605" spans="1:2" x14ac:dyDescent="0.25">
      <c r="A605" s="81" t="s">
        <v>2856</v>
      </c>
      <c r="B605" s="80" t="s">
        <v>9514</v>
      </c>
    </row>
    <row r="606" spans="1:2" x14ac:dyDescent="0.25">
      <c r="A606" s="81" t="s">
        <v>2857</v>
      </c>
      <c r="B606" s="80" t="s">
        <v>9514</v>
      </c>
    </row>
    <row r="607" spans="1:2" x14ac:dyDescent="0.25">
      <c r="A607" s="81" t="s">
        <v>2858</v>
      </c>
      <c r="B607" s="80" t="s">
        <v>9514</v>
      </c>
    </row>
    <row r="608" spans="1:2" x14ac:dyDescent="0.25">
      <c r="A608" s="81" t="s">
        <v>2859</v>
      </c>
      <c r="B608" s="80" t="s">
        <v>9514</v>
      </c>
    </row>
    <row r="609" spans="1:2" x14ac:dyDescent="0.25">
      <c r="A609" s="81" t="s">
        <v>2860</v>
      </c>
      <c r="B609" s="80" t="s">
        <v>9514</v>
      </c>
    </row>
    <row r="610" spans="1:2" x14ac:dyDescent="0.25">
      <c r="A610" s="81" t="s">
        <v>2861</v>
      </c>
      <c r="B610" s="80" t="s">
        <v>9514</v>
      </c>
    </row>
    <row r="611" spans="1:2" x14ac:dyDescent="0.25">
      <c r="A611" s="81" t="s">
        <v>2862</v>
      </c>
      <c r="B611" s="80" t="s">
        <v>9514</v>
      </c>
    </row>
    <row r="612" spans="1:2" x14ac:dyDescent="0.25">
      <c r="A612" s="81" t="s">
        <v>2863</v>
      </c>
      <c r="B612" s="80" t="s">
        <v>9514</v>
      </c>
    </row>
    <row r="613" spans="1:2" x14ac:dyDescent="0.25">
      <c r="A613" s="81" t="s">
        <v>2864</v>
      </c>
      <c r="B613" s="80" t="s">
        <v>9514</v>
      </c>
    </row>
    <row r="614" spans="1:2" x14ac:dyDescent="0.25">
      <c r="A614" s="81" t="s">
        <v>2865</v>
      </c>
      <c r="B614" s="80" t="s">
        <v>9514</v>
      </c>
    </row>
    <row r="615" spans="1:2" x14ac:dyDescent="0.25">
      <c r="A615" s="81" t="s">
        <v>2866</v>
      </c>
      <c r="B615" s="80" t="s">
        <v>9514</v>
      </c>
    </row>
    <row r="616" spans="1:2" x14ac:dyDescent="0.25">
      <c r="A616" s="81" t="s">
        <v>2867</v>
      </c>
      <c r="B616" s="80" t="s">
        <v>9514</v>
      </c>
    </row>
    <row r="617" spans="1:2" x14ac:dyDescent="0.25">
      <c r="A617" s="81" t="s">
        <v>2868</v>
      </c>
      <c r="B617" s="80" t="s">
        <v>9514</v>
      </c>
    </row>
    <row r="618" spans="1:2" x14ac:dyDescent="0.25">
      <c r="A618" s="81" t="s">
        <v>2869</v>
      </c>
      <c r="B618" s="80" t="s">
        <v>9514</v>
      </c>
    </row>
    <row r="619" spans="1:2" x14ac:dyDescent="0.25">
      <c r="A619" s="81" t="s">
        <v>2024</v>
      </c>
      <c r="B619" s="80" t="s">
        <v>9514</v>
      </c>
    </row>
    <row r="620" spans="1:2" x14ac:dyDescent="0.25">
      <c r="A620" s="81" t="s">
        <v>2870</v>
      </c>
      <c r="B620" s="80" t="s">
        <v>9514</v>
      </c>
    </row>
    <row r="621" spans="1:2" x14ac:dyDescent="0.25">
      <c r="A621" s="81" t="s">
        <v>2871</v>
      </c>
      <c r="B621" s="80" t="s">
        <v>9514</v>
      </c>
    </row>
    <row r="622" spans="1:2" x14ac:dyDescent="0.25">
      <c r="A622" s="81" t="s">
        <v>2872</v>
      </c>
      <c r="B622" s="80" t="s">
        <v>9514</v>
      </c>
    </row>
    <row r="623" spans="1:2" x14ac:dyDescent="0.25">
      <c r="A623" s="81" t="s">
        <v>2873</v>
      </c>
      <c r="B623" s="80" t="s">
        <v>9514</v>
      </c>
    </row>
    <row r="624" spans="1:2" x14ac:dyDescent="0.25">
      <c r="A624" s="81" t="s">
        <v>2874</v>
      </c>
      <c r="B624" s="80" t="s">
        <v>9514</v>
      </c>
    </row>
    <row r="625" spans="1:2" x14ac:dyDescent="0.25">
      <c r="A625" s="81" t="s">
        <v>2875</v>
      </c>
      <c r="B625" s="80" t="s">
        <v>9514</v>
      </c>
    </row>
    <row r="626" spans="1:2" x14ac:dyDescent="0.25">
      <c r="A626" s="81" t="s">
        <v>2876</v>
      </c>
      <c r="B626" s="80" t="s">
        <v>9514</v>
      </c>
    </row>
    <row r="627" spans="1:2" x14ac:dyDescent="0.25">
      <c r="A627" s="81" t="s">
        <v>2877</v>
      </c>
      <c r="B627" s="80" t="s">
        <v>9514</v>
      </c>
    </row>
    <row r="628" spans="1:2" x14ac:dyDescent="0.25">
      <c r="A628" s="81" t="s">
        <v>2878</v>
      </c>
      <c r="B628" s="80" t="s">
        <v>9514</v>
      </c>
    </row>
    <row r="629" spans="1:2" x14ac:dyDescent="0.25">
      <c r="A629" s="81" t="s">
        <v>2879</v>
      </c>
      <c r="B629" s="80" t="s">
        <v>9514</v>
      </c>
    </row>
    <row r="630" spans="1:2" x14ac:dyDescent="0.25">
      <c r="A630" s="81" t="s">
        <v>2880</v>
      </c>
      <c r="B630" s="80" t="s">
        <v>9514</v>
      </c>
    </row>
    <row r="631" spans="1:2" x14ac:dyDescent="0.25">
      <c r="A631" s="81" t="s">
        <v>2881</v>
      </c>
      <c r="B631" s="80" t="s">
        <v>9514</v>
      </c>
    </row>
    <row r="632" spans="1:2" x14ac:dyDescent="0.25">
      <c r="A632" s="81" t="s">
        <v>2882</v>
      </c>
      <c r="B632" s="80" t="s">
        <v>9514</v>
      </c>
    </row>
    <row r="633" spans="1:2" x14ac:dyDescent="0.25">
      <c r="A633" s="81" t="s">
        <v>2883</v>
      </c>
      <c r="B633" s="80" t="s">
        <v>9514</v>
      </c>
    </row>
    <row r="634" spans="1:2" x14ac:dyDescent="0.25">
      <c r="A634" s="81" t="s">
        <v>2884</v>
      </c>
      <c r="B634" s="80" t="s">
        <v>9514</v>
      </c>
    </row>
    <row r="635" spans="1:2" x14ac:dyDescent="0.25">
      <c r="A635" s="81" t="s">
        <v>2885</v>
      </c>
      <c r="B635" s="80" t="s">
        <v>9514</v>
      </c>
    </row>
    <row r="636" spans="1:2" x14ac:dyDescent="0.25">
      <c r="A636" s="81" t="s">
        <v>2886</v>
      </c>
      <c r="B636" s="80" t="s">
        <v>9514</v>
      </c>
    </row>
    <row r="637" spans="1:2" x14ac:dyDescent="0.25">
      <c r="A637" s="81" t="s">
        <v>2887</v>
      </c>
      <c r="B637" s="80" t="s">
        <v>9514</v>
      </c>
    </row>
    <row r="638" spans="1:2" x14ac:dyDescent="0.25">
      <c r="A638" s="81" t="s">
        <v>2888</v>
      </c>
      <c r="B638" s="80" t="s">
        <v>9514</v>
      </c>
    </row>
    <row r="639" spans="1:2" x14ac:dyDescent="0.25">
      <c r="A639" s="81" t="s">
        <v>2889</v>
      </c>
      <c r="B639" s="80" t="s">
        <v>9514</v>
      </c>
    </row>
    <row r="640" spans="1:2" x14ac:dyDescent="0.25">
      <c r="A640" s="81" t="s">
        <v>2890</v>
      </c>
      <c r="B640" s="80" t="s">
        <v>9514</v>
      </c>
    </row>
    <row r="641" spans="1:2" x14ac:dyDescent="0.25">
      <c r="A641" s="81" t="s">
        <v>2891</v>
      </c>
      <c r="B641" s="80" t="s">
        <v>9514</v>
      </c>
    </row>
    <row r="642" spans="1:2" x14ac:dyDescent="0.25">
      <c r="A642" s="81" t="s">
        <v>2892</v>
      </c>
      <c r="B642" s="80" t="s">
        <v>9514</v>
      </c>
    </row>
    <row r="643" spans="1:2" x14ac:dyDescent="0.25">
      <c r="A643" s="81" t="s">
        <v>2893</v>
      </c>
      <c r="B643" s="80" t="s">
        <v>9514</v>
      </c>
    </row>
    <row r="644" spans="1:2" x14ac:dyDescent="0.25">
      <c r="A644" s="81" t="s">
        <v>2894</v>
      </c>
      <c r="B644" s="80" t="s">
        <v>9514</v>
      </c>
    </row>
    <row r="645" spans="1:2" x14ac:dyDescent="0.25">
      <c r="A645" s="81" t="s">
        <v>2895</v>
      </c>
      <c r="B645" s="80" t="s">
        <v>9514</v>
      </c>
    </row>
    <row r="646" spans="1:2" x14ac:dyDescent="0.25">
      <c r="A646" s="81" t="s">
        <v>2896</v>
      </c>
      <c r="B646" s="80" t="s">
        <v>9514</v>
      </c>
    </row>
    <row r="647" spans="1:2" x14ac:dyDescent="0.25">
      <c r="A647" s="81" t="s">
        <v>2897</v>
      </c>
      <c r="B647" s="80" t="s">
        <v>9514</v>
      </c>
    </row>
    <row r="648" spans="1:2" x14ac:dyDescent="0.25">
      <c r="A648" s="81" t="s">
        <v>2898</v>
      </c>
      <c r="B648" s="80" t="s">
        <v>9514</v>
      </c>
    </row>
    <row r="649" spans="1:2" x14ac:dyDescent="0.25">
      <c r="A649" s="81" t="s">
        <v>2899</v>
      </c>
      <c r="B649" s="80" t="s">
        <v>9514</v>
      </c>
    </row>
    <row r="650" spans="1:2" x14ac:dyDescent="0.25">
      <c r="A650" s="81" t="s">
        <v>2900</v>
      </c>
      <c r="B650" s="80" t="s">
        <v>9514</v>
      </c>
    </row>
    <row r="651" spans="1:2" x14ac:dyDescent="0.25">
      <c r="A651" s="81" t="s">
        <v>2901</v>
      </c>
      <c r="B651" s="80" t="s">
        <v>9514</v>
      </c>
    </row>
    <row r="652" spans="1:2" x14ac:dyDescent="0.25">
      <c r="A652" s="81" t="s">
        <v>2902</v>
      </c>
      <c r="B652" s="80" t="s">
        <v>9514</v>
      </c>
    </row>
    <row r="653" spans="1:2" x14ac:dyDescent="0.25">
      <c r="A653" s="81" t="s">
        <v>2903</v>
      </c>
      <c r="B653" s="80" t="s">
        <v>9514</v>
      </c>
    </row>
    <row r="654" spans="1:2" x14ac:dyDescent="0.25">
      <c r="A654" s="81" t="s">
        <v>2904</v>
      </c>
      <c r="B654" s="80" t="s">
        <v>9514</v>
      </c>
    </row>
    <row r="655" spans="1:2" x14ac:dyDescent="0.25">
      <c r="A655" s="81" t="s">
        <v>2905</v>
      </c>
      <c r="B655" s="80" t="s">
        <v>9514</v>
      </c>
    </row>
    <row r="656" spans="1:2" x14ac:dyDescent="0.25">
      <c r="A656" s="81" t="s">
        <v>2906</v>
      </c>
      <c r="B656" s="80" t="s">
        <v>9514</v>
      </c>
    </row>
    <row r="657" spans="1:2" x14ac:dyDescent="0.25">
      <c r="A657" s="81" t="s">
        <v>2907</v>
      </c>
      <c r="B657" s="80" t="s">
        <v>9514</v>
      </c>
    </row>
    <row r="658" spans="1:2" x14ac:dyDescent="0.25">
      <c r="A658" s="81" t="s">
        <v>2908</v>
      </c>
      <c r="B658" s="80" t="s">
        <v>9514</v>
      </c>
    </row>
    <row r="659" spans="1:2" x14ac:dyDescent="0.25">
      <c r="A659" s="81" t="s">
        <v>2909</v>
      </c>
      <c r="B659" s="80" t="s">
        <v>9514</v>
      </c>
    </row>
    <row r="660" spans="1:2" x14ac:dyDescent="0.25">
      <c r="A660" s="81" t="s">
        <v>2910</v>
      </c>
      <c r="B660" s="80" t="s">
        <v>9514</v>
      </c>
    </row>
    <row r="661" spans="1:2" x14ac:dyDescent="0.25">
      <c r="A661" s="81" t="s">
        <v>2911</v>
      </c>
      <c r="B661" s="80" t="s">
        <v>9514</v>
      </c>
    </row>
    <row r="662" spans="1:2" x14ac:dyDescent="0.25">
      <c r="A662" s="81" t="s">
        <v>2912</v>
      </c>
      <c r="B662" s="80" t="s">
        <v>9514</v>
      </c>
    </row>
    <row r="663" spans="1:2" x14ac:dyDescent="0.25">
      <c r="A663" s="81" t="s">
        <v>2913</v>
      </c>
      <c r="B663" s="80" t="s">
        <v>9514</v>
      </c>
    </row>
    <row r="664" spans="1:2" x14ac:dyDescent="0.25">
      <c r="A664" s="81" t="s">
        <v>2914</v>
      </c>
      <c r="B664" s="80" t="s">
        <v>9514</v>
      </c>
    </row>
    <row r="665" spans="1:2" x14ac:dyDescent="0.25">
      <c r="A665" s="81" t="s">
        <v>2915</v>
      </c>
      <c r="B665" s="80" t="s">
        <v>9514</v>
      </c>
    </row>
    <row r="666" spans="1:2" x14ac:dyDescent="0.25">
      <c r="A666" s="81" t="s">
        <v>2916</v>
      </c>
      <c r="B666" s="80" t="s">
        <v>9514</v>
      </c>
    </row>
    <row r="667" spans="1:2" x14ac:dyDescent="0.25">
      <c r="A667" s="81" t="s">
        <v>2917</v>
      </c>
      <c r="B667" s="80" t="s">
        <v>9514</v>
      </c>
    </row>
    <row r="668" spans="1:2" x14ac:dyDescent="0.25">
      <c r="A668" s="81" t="s">
        <v>2918</v>
      </c>
      <c r="B668" s="80" t="s">
        <v>9514</v>
      </c>
    </row>
    <row r="669" spans="1:2" x14ac:dyDescent="0.25">
      <c r="A669" s="81" t="s">
        <v>2919</v>
      </c>
      <c r="B669" s="80" t="s">
        <v>9514</v>
      </c>
    </row>
    <row r="670" spans="1:2" x14ac:dyDescent="0.25">
      <c r="A670" s="81" t="s">
        <v>2920</v>
      </c>
      <c r="B670" s="80" t="s">
        <v>9514</v>
      </c>
    </row>
    <row r="671" spans="1:2" x14ac:dyDescent="0.25">
      <c r="A671" s="81" t="s">
        <v>2921</v>
      </c>
      <c r="B671" s="80" t="s">
        <v>9514</v>
      </c>
    </row>
    <row r="672" spans="1:2" x14ac:dyDescent="0.25">
      <c r="A672" s="81" t="s">
        <v>2922</v>
      </c>
      <c r="B672" s="80" t="s">
        <v>9514</v>
      </c>
    </row>
    <row r="673" spans="1:2" x14ac:dyDescent="0.25">
      <c r="A673" s="81" t="s">
        <v>2923</v>
      </c>
      <c r="B673" s="80" t="s">
        <v>9514</v>
      </c>
    </row>
    <row r="674" spans="1:2" x14ac:dyDescent="0.25">
      <c r="A674" s="81" t="s">
        <v>2924</v>
      </c>
      <c r="B674" s="80" t="s">
        <v>9514</v>
      </c>
    </row>
    <row r="675" spans="1:2" x14ac:dyDescent="0.25">
      <c r="A675" s="81" t="s">
        <v>2925</v>
      </c>
      <c r="B675" s="80" t="s">
        <v>9514</v>
      </c>
    </row>
    <row r="676" spans="1:2" x14ac:dyDescent="0.25">
      <c r="A676" s="81" t="s">
        <v>2926</v>
      </c>
      <c r="B676" s="80" t="s">
        <v>9514</v>
      </c>
    </row>
    <row r="677" spans="1:2" x14ac:dyDescent="0.25">
      <c r="A677" s="81" t="s">
        <v>2927</v>
      </c>
      <c r="B677" s="80" t="s">
        <v>9514</v>
      </c>
    </row>
    <row r="678" spans="1:2" x14ac:dyDescent="0.25">
      <c r="A678" s="81" t="s">
        <v>2928</v>
      </c>
      <c r="B678" s="80" t="s">
        <v>9514</v>
      </c>
    </row>
    <row r="679" spans="1:2" x14ac:dyDescent="0.25">
      <c r="A679" s="81" t="s">
        <v>2929</v>
      </c>
      <c r="B679" s="80" t="s">
        <v>9514</v>
      </c>
    </row>
    <row r="680" spans="1:2" x14ac:dyDescent="0.25">
      <c r="A680" s="81" t="s">
        <v>2930</v>
      </c>
      <c r="B680" s="80" t="s">
        <v>9514</v>
      </c>
    </row>
    <row r="681" spans="1:2" x14ac:dyDescent="0.25">
      <c r="A681" s="81" t="s">
        <v>2931</v>
      </c>
      <c r="B681" s="80" t="s">
        <v>9514</v>
      </c>
    </row>
    <row r="682" spans="1:2" x14ac:dyDescent="0.25">
      <c r="A682" s="81" t="s">
        <v>2932</v>
      </c>
      <c r="B682" s="80" t="s">
        <v>9514</v>
      </c>
    </row>
    <row r="683" spans="1:2" x14ac:dyDescent="0.25">
      <c r="A683" s="81" t="s">
        <v>2933</v>
      </c>
      <c r="B683" s="80" t="s">
        <v>9514</v>
      </c>
    </row>
    <row r="684" spans="1:2" x14ac:dyDescent="0.25">
      <c r="A684" s="81" t="s">
        <v>2934</v>
      </c>
      <c r="B684" s="80" t="s">
        <v>9514</v>
      </c>
    </row>
    <row r="685" spans="1:2" x14ac:dyDescent="0.25">
      <c r="A685" s="81" t="s">
        <v>2935</v>
      </c>
      <c r="B685" s="80" t="s">
        <v>9514</v>
      </c>
    </row>
    <row r="686" spans="1:2" x14ac:dyDescent="0.25">
      <c r="A686" s="81" t="s">
        <v>1803</v>
      </c>
      <c r="B686" s="80" t="s">
        <v>9514</v>
      </c>
    </row>
    <row r="687" spans="1:2" x14ac:dyDescent="0.25">
      <c r="A687" s="81" t="s">
        <v>2936</v>
      </c>
      <c r="B687" s="80" t="s">
        <v>9514</v>
      </c>
    </row>
    <row r="688" spans="1:2" x14ac:dyDescent="0.25">
      <c r="A688" s="81" t="s">
        <v>2937</v>
      </c>
      <c r="B688" s="80" t="s">
        <v>9514</v>
      </c>
    </row>
    <row r="689" spans="1:2" x14ac:dyDescent="0.25">
      <c r="A689" s="81" t="s">
        <v>2938</v>
      </c>
      <c r="B689" s="80" t="s">
        <v>9514</v>
      </c>
    </row>
    <row r="690" spans="1:2" x14ac:dyDescent="0.25">
      <c r="A690" s="81" t="s">
        <v>1641</v>
      </c>
      <c r="B690" s="80" t="s">
        <v>9514</v>
      </c>
    </row>
    <row r="691" spans="1:2" x14ac:dyDescent="0.25">
      <c r="A691" s="81" t="s">
        <v>2939</v>
      </c>
      <c r="B691" s="80" t="s">
        <v>9514</v>
      </c>
    </row>
    <row r="692" spans="1:2" x14ac:dyDescent="0.25">
      <c r="A692" s="81" t="s">
        <v>1792</v>
      </c>
      <c r="B692" s="80" t="s">
        <v>9514</v>
      </c>
    </row>
    <row r="693" spans="1:2" x14ac:dyDescent="0.25">
      <c r="A693" s="81" t="s">
        <v>2940</v>
      </c>
      <c r="B693" s="80" t="s">
        <v>9514</v>
      </c>
    </row>
    <row r="694" spans="1:2" x14ac:dyDescent="0.25">
      <c r="A694" s="81" t="s">
        <v>2941</v>
      </c>
      <c r="B694" s="80" t="s">
        <v>9514</v>
      </c>
    </row>
    <row r="695" spans="1:2" x14ac:dyDescent="0.25">
      <c r="A695" s="81" t="s">
        <v>2942</v>
      </c>
      <c r="B695" s="80" t="s">
        <v>9514</v>
      </c>
    </row>
    <row r="696" spans="1:2" x14ac:dyDescent="0.25">
      <c r="A696" s="81" t="s">
        <v>2943</v>
      </c>
      <c r="B696" s="80" t="s">
        <v>9514</v>
      </c>
    </row>
    <row r="697" spans="1:2" x14ac:dyDescent="0.25">
      <c r="A697" s="81" t="s">
        <v>2944</v>
      </c>
      <c r="B697" s="80" t="s">
        <v>9514</v>
      </c>
    </row>
    <row r="698" spans="1:2" x14ac:dyDescent="0.25">
      <c r="A698" s="81" t="s">
        <v>2945</v>
      </c>
      <c r="B698" s="80" t="s">
        <v>9514</v>
      </c>
    </row>
    <row r="699" spans="1:2" x14ac:dyDescent="0.25">
      <c r="A699" s="81" t="s">
        <v>2946</v>
      </c>
      <c r="B699" s="80" t="s">
        <v>9514</v>
      </c>
    </row>
    <row r="700" spans="1:2" x14ac:dyDescent="0.25">
      <c r="A700" s="81" t="s">
        <v>2947</v>
      </c>
      <c r="B700" s="80" t="s">
        <v>9514</v>
      </c>
    </row>
    <row r="701" spans="1:2" x14ac:dyDescent="0.25">
      <c r="A701" s="81" t="s">
        <v>2948</v>
      </c>
      <c r="B701" s="80" t="s">
        <v>9514</v>
      </c>
    </row>
    <row r="702" spans="1:2" x14ac:dyDescent="0.25">
      <c r="A702" s="81" t="s">
        <v>2949</v>
      </c>
      <c r="B702" s="80" t="s">
        <v>9514</v>
      </c>
    </row>
    <row r="703" spans="1:2" x14ac:dyDescent="0.25">
      <c r="A703" s="81" t="s">
        <v>2950</v>
      </c>
      <c r="B703" s="80" t="s">
        <v>9514</v>
      </c>
    </row>
    <row r="704" spans="1:2" x14ac:dyDescent="0.25">
      <c r="A704" s="81" t="s">
        <v>2951</v>
      </c>
      <c r="B704" s="80" t="s">
        <v>9514</v>
      </c>
    </row>
    <row r="705" spans="1:2" x14ac:dyDescent="0.25">
      <c r="A705" s="81" t="s">
        <v>2952</v>
      </c>
      <c r="B705" s="80" t="s">
        <v>9514</v>
      </c>
    </row>
    <row r="706" spans="1:2" x14ac:dyDescent="0.25">
      <c r="A706" s="81" t="s">
        <v>2953</v>
      </c>
      <c r="B706" s="80" t="s">
        <v>9514</v>
      </c>
    </row>
    <row r="707" spans="1:2" x14ac:dyDescent="0.25">
      <c r="A707" s="81" t="s">
        <v>2954</v>
      </c>
      <c r="B707" s="80" t="s">
        <v>9514</v>
      </c>
    </row>
    <row r="708" spans="1:2" x14ac:dyDescent="0.25">
      <c r="A708" s="81" t="s">
        <v>2955</v>
      </c>
      <c r="B708" s="80" t="s">
        <v>9514</v>
      </c>
    </row>
    <row r="709" spans="1:2" x14ac:dyDescent="0.25">
      <c r="A709" s="81" t="s">
        <v>2956</v>
      </c>
      <c r="B709" s="80" t="s">
        <v>9514</v>
      </c>
    </row>
    <row r="710" spans="1:2" x14ac:dyDescent="0.25">
      <c r="A710" s="81" t="s">
        <v>2957</v>
      </c>
      <c r="B710" s="80" t="s">
        <v>9514</v>
      </c>
    </row>
    <row r="711" spans="1:2" x14ac:dyDescent="0.25">
      <c r="A711" s="81" t="s">
        <v>2958</v>
      </c>
      <c r="B711" s="80" t="s">
        <v>9514</v>
      </c>
    </row>
    <row r="712" spans="1:2" x14ac:dyDescent="0.25">
      <c r="A712" s="81" t="s">
        <v>2959</v>
      </c>
      <c r="B712" s="80" t="s">
        <v>9514</v>
      </c>
    </row>
    <row r="713" spans="1:2" x14ac:dyDescent="0.25">
      <c r="A713" s="81" t="s">
        <v>2960</v>
      </c>
      <c r="B713" s="80" t="s">
        <v>9514</v>
      </c>
    </row>
    <row r="714" spans="1:2" x14ac:dyDescent="0.25">
      <c r="A714" s="81" t="s">
        <v>2961</v>
      </c>
      <c r="B714" s="80" t="s">
        <v>9514</v>
      </c>
    </row>
    <row r="715" spans="1:2" x14ac:dyDescent="0.25">
      <c r="A715" s="81" t="s">
        <v>2962</v>
      </c>
      <c r="B715" s="80" t="s">
        <v>9514</v>
      </c>
    </row>
    <row r="716" spans="1:2" x14ac:dyDescent="0.25">
      <c r="A716" s="81" t="s">
        <v>2963</v>
      </c>
      <c r="B716" s="80" t="s">
        <v>9514</v>
      </c>
    </row>
    <row r="717" spans="1:2" x14ac:dyDescent="0.25">
      <c r="A717" s="81" t="s">
        <v>2964</v>
      </c>
      <c r="B717" s="80" t="s">
        <v>9514</v>
      </c>
    </row>
    <row r="718" spans="1:2" x14ac:dyDescent="0.25">
      <c r="A718" s="81" t="s">
        <v>2965</v>
      </c>
      <c r="B718" s="80" t="s">
        <v>9514</v>
      </c>
    </row>
    <row r="719" spans="1:2" x14ac:dyDescent="0.25">
      <c r="A719" s="81" t="s">
        <v>2966</v>
      </c>
      <c r="B719" s="80" t="s">
        <v>9514</v>
      </c>
    </row>
    <row r="720" spans="1:2" x14ac:dyDescent="0.25">
      <c r="A720" s="81" t="s">
        <v>2967</v>
      </c>
      <c r="B720" s="80" t="s">
        <v>9514</v>
      </c>
    </row>
    <row r="721" spans="1:2" x14ac:dyDescent="0.25">
      <c r="A721" s="81" t="s">
        <v>2968</v>
      </c>
      <c r="B721" s="80" t="s">
        <v>9514</v>
      </c>
    </row>
    <row r="722" spans="1:2" x14ac:dyDescent="0.25">
      <c r="A722" s="81" t="s">
        <v>1721</v>
      </c>
      <c r="B722" s="80" t="s">
        <v>9514</v>
      </c>
    </row>
    <row r="723" spans="1:2" x14ac:dyDescent="0.25">
      <c r="A723" s="81" t="s">
        <v>2969</v>
      </c>
      <c r="B723" s="80" t="s">
        <v>9514</v>
      </c>
    </row>
    <row r="724" spans="1:2" x14ac:dyDescent="0.25">
      <c r="A724" s="81" t="s">
        <v>2970</v>
      </c>
      <c r="B724" s="80" t="s">
        <v>9514</v>
      </c>
    </row>
    <row r="725" spans="1:2" x14ac:dyDescent="0.25">
      <c r="A725" s="81" t="s">
        <v>2971</v>
      </c>
      <c r="B725" s="80" t="s">
        <v>9514</v>
      </c>
    </row>
    <row r="726" spans="1:2" x14ac:dyDescent="0.25">
      <c r="A726" s="81" t="s">
        <v>2133</v>
      </c>
      <c r="B726" s="80" t="s">
        <v>9514</v>
      </c>
    </row>
    <row r="727" spans="1:2" x14ac:dyDescent="0.25">
      <c r="A727" s="81" t="s">
        <v>2972</v>
      </c>
      <c r="B727" s="80" t="s">
        <v>9514</v>
      </c>
    </row>
    <row r="728" spans="1:2" x14ac:dyDescent="0.25">
      <c r="A728" s="81" t="s">
        <v>2973</v>
      </c>
      <c r="B728" s="80" t="s">
        <v>9514</v>
      </c>
    </row>
    <row r="729" spans="1:2" x14ac:dyDescent="0.25">
      <c r="A729" s="81" t="s">
        <v>2974</v>
      </c>
      <c r="B729" s="80" t="s">
        <v>9514</v>
      </c>
    </row>
    <row r="730" spans="1:2" x14ac:dyDescent="0.25">
      <c r="A730" s="81" t="s">
        <v>2975</v>
      </c>
      <c r="B730" s="80" t="s">
        <v>9514</v>
      </c>
    </row>
    <row r="731" spans="1:2" x14ac:dyDescent="0.25">
      <c r="A731" s="81" t="s">
        <v>2976</v>
      </c>
      <c r="B731" s="80" t="s">
        <v>9514</v>
      </c>
    </row>
    <row r="732" spans="1:2" x14ac:dyDescent="0.25">
      <c r="A732" s="81" t="s">
        <v>2977</v>
      </c>
      <c r="B732" s="80" t="s">
        <v>9514</v>
      </c>
    </row>
    <row r="733" spans="1:2" x14ac:dyDescent="0.25">
      <c r="A733" s="81" t="s">
        <v>2978</v>
      </c>
      <c r="B733" s="80" t="s">
        <v>9514</v>
      </c>
    </row>
    <row r="734" spans="1:2" x14ac:dyDescent="0.25">
      <c r="A734" s="81" t="s">
        <v>2979</v>
      </c>
      <c r="B734" s="80" t="s">
        <v>9514</v>
      </c>
    </row>
    <row r="735" spans="1:2" x14ac:dyDescent="0.25">
      <c r="A735" s="81" t="s">
        <v>2980</v>
      </c>
      <c r="B735" s="80" t="s">
        <v>9514</v>
      </c>
    </row>
    <row r="736" spans="1:2" x14ac:dyDescent="0.25">
      <c r="A736" s="81" t="s">
        <v>2981</v>
      </c>
      <c r="B736" s="80" t="s">
        <v>9514</v>
      </c>
    </row>
    <row r="737" spans="1:2" x14ac:dyDescent="0.25">
      <c r="A737" s="81" t="s">
        <v>2982</v>
      </c>
      <c r="B737" s="80" t="s">
        <v>9514</v>
      </c>
    </row>
    <row r="738" spans="1:2" x14ac:dyDescent="0.25">
      <c r="A738" s="81" t="s">
        <v>2983</v>
      </c>
      <c r="B738" s="80" t="s">
        <v>9514</v>
      </c>
    </row>
    <row r="739" spans="1:2" x14ac:dyDescent="0.25">
      <c r="A739" s="81" t="s">
        <v>2984</v>
      </c>
      <c r="B739" s="80" t="s">
        <v>9514</v>
      </c>
    </row>
    <row r="740" spans="1:2" x14ac:dyDescent="0.25">
      <c r="A740" s="81" t="s">
        <v>2985</v>
      </c>
      <c r="B740" s="80" t="s">
        <v>9514</v>
      </c>
    </row>
    <row r="741" spans="1:2" x14ac:dyDescent="0.25">
      <c r="A741" s="81" t="s">
        <v>2986</v>
      </c>
      <c r="B741" s="80" t="s">
        <v>9514</v>
      </c>
    </row>
    <row r="742" spans="1:2" x14ac:dyDescent="0.25">
      <c r="A742" s="81" t="s">
        <v>2987</v>
      </c>
      <c r="B742" s="80" t="s">
        <v>9514</v>
      </c>
    </row>
    <row r="743" spans="1:2" x14ac:dyDescent="0.25">
      <c r="A743" s="81" t="s">
        <v>2988</v>
      </c>
      <c r="B743" s="80" t="s">
        <v>9514</v>
      </c>
    </row>
    <row r="744" spans="1:2" x14ac:dyDescent="0.25">
      <c r="A744" s="81" t="s">
        <v>2989</v>
      </c>
      <c r="B744" s="80" t="s">
        <v>9514</v>
      </c>
    </row>
    <row r="745" spans="1:2" x14ac:dyDescent="0.25">
      <c r="A745" s="81" t="s">
        <v>2990</v>
      </c>
      <c r="B745" s="80" t="s">
        <v>9514</v>
      </c>
    </row>
    <row r="746" spans="1:2" x14ac:dyDescent="0.25">
      <c r="A746" s="81" t="s">
        <v>2991</v>
      </c>
      <c r="B746" s="80" t="s">
        <v>9514</v>
      </c>
    </row>
    <row r="747" spans="1:2" x14ac:dyDescent="0.25">
      <c r="A747" s="81" t="s">
        <v>2992</v>
      </c>
      <c r="B747" s="80" t="s">
        <v>9514</v>
      </c>
    </row>
    <row r="748" spans="1:2" x14ac:dyDescent="0.25">
      <c r="A748" s="81" t="s">
        <v>2993</v>
      </c>
      <c r="B748" s="80" t="s">
        <v>9514</v>
      </c>
    </row>
    <row r="749" spans="1:2" x14ac:dyDescent="0.25">
      <c r="A749" s="81" t="s">
        <v>2994</v>
      </c>
      <c r="B749" s="80" t="s">
        <v>9514</v>
      </c>
    </row>
    <row r="750" spans="1:2" x14ac:dyDescent="0.25">
      <c r="A750" s="81" t="s">
        <v>2995</v>
      </c>
      <c r="B750" s="80" t="s">
        <v>9514</v>
      </c>
    </row>
    <row r="751" spans="1:2" x14ac:dyDescent="0.25">
      <c r="A751" s="81" t="s">
        <v>2996</v>
      </c>
      <c r="B751" s="80" t="s">
        <v>9514</v>
      </c>
    </row>
    <row r="752" spans="1:2" x14ac:dyDescent="0.25">
      <c r="A752" s="81" t="s">
        <v>2997</v>
      </c>
      <c r="B752" s="80" t="s">
        <v>9514</v>
      </c>
    </row>
    <row r="753" spans="1:2" x14ac:dyDescent="0.25">
      <c r="A753" s="81" t="s">
        <v>2998</v>
      </c>
      <c r="B753" s="80" t="s">
        <v>9514</v>
      </c>
    </row>
    <row r="754" spans="1:2" x14ac:dyDescent="0.25">
      <c r="A754" s="81" t="s">
        <v>2999</v>
      </c>
      <c r="B754" s="80" t="s">
        <v>9514</v>
      </c>
    </row>
    <row r="755" spans="1:2" x14ac:dyDescent="0.25">
      <c r="A755" s="81" t="s">
        <v>3000</v>
      </c>
      <c r="B755" s="80" t="s">
        <v>9514</v>
      </c>
    </row>
    <row r="756" spans="1:2" x14ac:dyDescent="0.25">
      <c r="A756" s="81" t="s">
        <v>3001</v>
      </c>
      <c r="B756" s="80" t="s">
        <v>9514</v>
      </c>
    </row>
    <row r="757" spans="1:2" x14ac:dyDescent="0.25">
      <c r="A757" s="81" t="s">
        <v>3002</v>
      </c>
      <c r="B757" s="80" t="s">
        <v>9514</v>
      </c>
    </row>
    <row r="758" spans="1:2" x14ac:dyDescent="0.25">
      <c r="A758" s="81" t="s">
        <v>3003</v>
      </c>
      <c r="B758" s="80" t="s">
        <v>9514</v>
      </c>
    </row>
    <row r="759" spans="1:2" x14ac:dyDescent="0.25">
      <c r="A759" s="81" t="s">
        <v>3004</v>
      </c>
      <c r="B759" s="80" t="s">
        <v>9514</v>
      </c>
    </row>
    <row r="760" spans="1:2" x14ac:dyDescent="0.25">
      <c r="A760" s="81" t="s">
        <v>3005</v>
      </c>
      <c r="B760" s="80" t="s">
        <v>9514</v>
      </c>
    </row>
    <row r="761" spans="1:2" x14ac:dyDescent="0.25">
      <c r="A761" s="81" t="s">
        <v>3006</v>
      </c>
      <c r="B761" s="80" t="s">
        <v>9514</v>
      </c>
    </row>
    <row r="762" spans="1:2" x14ac:dyDescent="0.25">
      <c r="A762" s="81" t="s">
        <v>3007</v>
      </c>
      <c r="B762" s="80" t="s">
        <v>9514</v>
      </c>
    </row>
    <row r="763" spans="1:2" x14ac:dyDescent="0.25">
      <c r="A763" s="81" t="s">
        <v>3008</v>
      </c>
      <c r="B763" s="80" t="s">
        <v>9514</v>
      </c>
    </row>
    <row r="764" spans="1:2" x14ac:dyDescent="0.25">
      <c r="A764" s="81" t="s">
        <v>3009</v>
      </c>
      <c r="B764" s="80" t="s">
        <v>9514</v>
      </c>
    </row>
    <row r="765" spans="1:2" x14ac:dyDescent="0.25">
      <c r="A765" s="81" t="s">
        <v>3010</v>
      </c>
      <c r="B765" s="80" t="s">
        <v>9514</v>
      </c>
    </row>
    <row r="766" spans="1:2" x14ac:dyDescent="0.25">
      <c r="A766" s="81" t="s">
        <v>3011</v>
      </c>
      <c r="B766" s="80" t="s">
        <v>9514</v>
      </c>
    </row>
    <row r="767" spans="1:2" x14ac:dyDescent="0.25">
      <c r="A767" s="81" t="s">
        <v>3012</v>
      </c>
      <c r="B767" s="80" t="s">
        <v>9514</v>
      </c>
    </row>
    <row r="768" spans="1:2" x14ac:dyDescent="0.25">
      <c r="A768" s="81" t="s">
        <v>3013</v>
      </c>
      <c r="B768" s="80" t="s">
        <v>9514</v>
      </c>
    </row>
    <row r="769" spans="1:2" x14ac:dyDescent="0.25">
      <c r="A769" s="81" t="s">
        <v>3014</v>
      </c>
      <c r="B769" s="80" t="s">
        <v>9514</v>
      </c>
    </row>
    <row r="770" spans="1:2" x14ac:dyDescent="0.25">
      <c r="A770" s="81" t="s">
        <v>3015</v>
      </c>
      <c r="B770" s="80" t="s">
        <v>9514</v>
      </c>
    </row>
    <row r="771" spans="1:2" x14ac:dyDescent="0.25">
      <c r="A771" s="81" t="s">
        <v>3016</v>
      </c>
      <c r="B771" s="80" t="s">
        <v>9514</v>
      </c>
    </row>
    <row r="772" spans="1:2" x14ac:dyDescent="0.25">
      <c r="A772" s="81" t="s">
        <v>3017</v>
      </c>
      <c r="B772" s="80" t="s">
        <v>9514</v>
      </c>
    </row>
    <row r="773" spans="1:2" x14ac:dyDescent="0.25">
      <c r="A773" s="81" t="s">
        <v>3018</v>
      </c>
      <c r="B773" s="80" t="s">
        <v>9514</v>
      </c>
    </row>
    <row r="774" spans="1:2" x14ac:dyDescent="0.25">
      <c r="A774" s="81" t="s">
        <v>3019</v>
      </c>
      <c r="B774" s="80" t="s">
        <v>9514</v>
      </c>
    </row>
    <row r="775" spans="1:2" x14ac:dyDescent="0.25">
      <c r="A775" s="81" t="s">
        <v>3020</v>
      </c>
      <c r="B775" s="80" t="s">
        <v>9514</v>
      </c>
    </row>
    <row r="776" spans="1:2" x14ac:dyDescent="0.25">
      <c r="A776" s="81" t="s">
        <v>3021</v>
      </c>
      <c r="B776" s="80" t="s">
        <v>9514</v>
      </c>
    </row>
    <row r="777" spans="1:2" x14ac:dyDescent="0.25">
      <c r="A777" s="81" t="s">
        <v>3022</v>
      </c>
      <c r="B777" s="80" t="s">
        <v>9514</v>
      </c>
    </row>
    <row r="778" spans="1:2" x14ac:dyDescent="0.25">
      <c r="A778" s="81" t="s">
        <v>3023</v>
      </c>
      <c r="B778" s="80" t="s">
        <v>9514</v>
      </c>
    </row>
    <row r="779" spans="1:2" x14ac:dyDescent="0.25">
      <c r="A779" s="81" t="s">
        <v>3024</v>
      </c>
      <c r="B779" s="80" t="s">
        <v>9514</v>
      </c>
    </row>
    <row r="780" spans="1:2" x14ac:dyDescent="0.25">
      <c r="A780" s="81" t="s">
        <v>3025</v>
      </c>
      <c r="B780" s="80" t="s">
        <v>9514</v>
      </c>
    </row>
    <row r="781" spans="1:2" x14ac:dyDescent="0.25">
      <c r="A781" s="81" t="s">
        <v>3026</v>
      </c>
      <c r="B781" s="80" t="s">
        <v>9514</v>
      </c>
    </row>
    <row r="782" spans="1:2" x14ac:dyDescent="0.25">
      <c r="A782" s="81" t="s">
        <v>3027</v>
      </c>
      <c r="B782" s="80" t="s">
        <v>9514</v>
      </c>
    </row>
    <row r="783" spans="1:2" x14ac:dyDescent="0.25">
      <c r="A783" s="81" t="s">
        <v>3028</v>
      </c>
      <c r="B783" s="80" t="s">
        <v>9514</v>
      </c>
    </row>
    <row r="784" spans="1:2" x14ac:dyDescent="0.25">
      <c r="A784" s="81" t="s">
        <v>3029</v>
      </c>
      <c r="B784" s="80" t="s">
        <v>9514</v>
      </c>
    </row>
    <row r="785" spans="1:2" x14ac:dyDescent="0.25">
      <c r="A785" s="81" t="s">
        <v>3030</v>
      </c>
      <c r="B785" s="80" t="s">
        <v>9514</v>
      </c>
    </row>
    <row r="786" spans="1:2" x14ac:dyDescent="0.25">
      <c r="A786" s="81" t="s">
        <v>3031</v>
      </c>
      <c r="B786" s="80" t="s">
        <v>9514</v>
      </c>
    </row>
    <row r="787" spans="1:2" x14ac:dyDescent="0.25">
      <c r="A787" s="81" t="s">
        <v>3032</v>
      </c>
      <c r="B787" s="80" t="s">
        <v>9514</v>
      </c>
    </row>
    <row r="788" spans="1:2" x14ac:dyDescent="0.25">
      <c r="A788" s="81" t="s">
        <v>3033</v>
      </c>
      <c r="B788" s="80" t="s">
        <v>9514</v>
      </c>
    </row>
    <row r="789" spans="1:2" x14ac:dyDescent="0.25">
      <c r="A789" s="81" t="s">
        <v>3034</v>
      </c>
      <c r="B789" s="80" t="s">
        <v>9514</v>
      </c>
    </row>
    <row r="790" spans="1:2" x14ac:dyDescent="0.25">
      <c r="A790" s="81" t="s">
        <v>2185</v>
      </c>
      <c r="B790" s="80" t="s">
        <v>9514</v>
      </c>
    </row>
    <row r="791" spans="1:2" x14ac:dyDescent="0.25">
      <c r="A791" s="81" t="s">
        <v>3035</v>
      </c>
      <c r="B791" s="80" t="s">
        <v>9514</v>
      </c>
    </row>
    <row r="792" spans="1:2" x14ac:dyDescent="0.25">
      <c r="A792" s="81" t="s">
        <v>3036</v>
      </c>
      <c r="B792" s="80" t="s">
        <v>9514</v>
      </c>
    </row>
    <row r="793" spans="1:2" x14ac:dyDescent="0.25">
      <c r="A793" s="81" t="s">
        <v>3037</v>
      </c>
      <c r="B793" s="80" t="s">
        <v>9514</v>
      </c>
    </row>
    <row r="794" spans="1:2" x14ac:dyDescent="0.25">
      <c r="A794" s="81" t="s">
        <v>3038</v>
      </c>
      <c r="B794" s="80" t="s">
        <v>9514</v>
      </c>
    </row>
    <row r="795" spans="1:2" x14ac:dyDescent="0.25">
      <c r="A795" s="81" t="s">
        <v>3039</v>
      </c>
      <c r="B795" s="80" t="s">
        <v>9514</v>
      </c>
    </row>
    <row r="796" spans="1:2" x14ac:dyDescent="0.25">
      <c r="A796" s="81" t="s">
        <v>3040</v>
      </c>
      <c r="B796" s="80" t="s">
        <v>9514</v>
      </c>
    </row>
    <row r="797" spans="1:2" x14ac:dyDescent="0.25">
      <c r="A797" s="81" t="s">
        <v>3041</v>
      </c>
      <c r="B797" s="80" t="s">
        <v>9514</v>
      </c>
    </row>
    <row r="798" spans="1:2" x14ac:dyDescent="0.25">
      <c r="A798" s="81" t="s">
        <v>3042</v>
      </c>
      <c r="B798" s="80" t="s">
        <v>9514</v>
      </c>
    </row>
    <row r="799" spans="1:2" x14ac:dyDescent="0.25">
      <c r="A799" s="81" t="s">
        <v>3043</v>
      </c>
      <c r="B799" s="80" t="s">
        <v>9514</v>
      </c>
    </row>
    <row r="800" spans="1:2" x14ac:dyDescent="0.25">
      <c r="A800" s="81" t="s">
        <v>3044</v>
      </c>
      <c r="B800" s="80" t="s">
        <v>9514</v>
      </c>
    </row>
    <row r="801" spans="1:2" x14ac:dyDescent="0.25">
      <c r="A801" s="81" t="s">
        <v>3045</v>
      </c>
      <c r="B801" s="80" t="s">
        <v>9514</v>
      </c>
    </row>
    <row r="802" spans="1:2" x14ac:dyDescent="0.25">
      <c r="A802" s="81" t="s">
        <v>3046</v>
      </c>
      <c r="B802" s="80" t="s">
        <v>9514</v>
      </c>
    </row>
    <row r="803" spans="1:2" x14ac:dyDescent="0.25">
      <c r="A803" s="81" t="s">
        <v>3047</v>
      </c>
      <c r="B803" s="80" t="s">
        <v>9514</v>
      </c>
    </row>
    <row r="804" spans="1:2" x14ac:dyDescent="0.25">
      <c r="A804" s="81" t="s">
        <v>3048</v>
      </c>
      <c r="B804" s="80" t="s">
        <v>9514</v>
      </c>
    </row>
    <row r="805" spans="1:2" x14ac:dyDescent="0.25">
      <c r="A805" s="81" t="s">
        <v>3049</v>
      </c>
      <c r="B805" s="80" t="s">
        <v>9514</v>
      </c>
    </row>
    <row r="806" spans="1:2" x14ac:dyDescent="0.25">
      <c r="A806" s="81" t="s">
        <v>3050</v>
      </c>
      <c r="B806" s="80" t="s">
        <v>9514</v>
      </c>
    </row>
    <row r="807" spans="1:2" x14ac:dyDescent="0.25">
      <c r="A807" s="81" t="s">
        <v>3051</v>
      </c>
      <c r="B807" s="80" t="s">
        <v>9514</v>
      </c>
    </row>
    <row r="808" spans="1:2" x14ac:dyDescent="0.25">
      <c r="A808" s="81" t="s">
        <v>3052</v>
      </c>
      <c r="B808" s="80" t="s">
        <v>9514</v>
      </c>
    </row>
    <row r="809" spans="1:2" x14ac:dyDescent="0.25">
      <c r="A809" s="81" t="s">
        <v>3053</v>
      </c>
      <c r="B809" s="80" t="s">
        <v>9514</v>
      </c>
    </row>
    <row r="810" spans="1:2" x14ac:dyDescent="0.25">
      <c r="A810" s="81" t="s">
        <v>3054</v>
      </c>
      <c r="B810" s="80" t="s">
        <v>9514</v>
      </c>
    </row>
    <row r="811" spans="1:2" x14ac:dyDescent="0.25">
      <c r="A811" s="81" t="s">
        <v>3055</v>
      </c>
      <c r="B811" s="80" t="s">
        <v>9514</v>
      </c>
    </row>
    <row r="812" spans="1:2" x14ac:dyDescent="0.25">
      <c r="A812" s="81" t="s">
        <v>3056</v>
      </c>
      <c r="B812" s="80" t="s">
        <v>9514</v>
      </c>
    </row>
    <row r="813" spans="1:2" x14ac:dyDescent="0.25">
      <c r="A813" s="81" t="s">
        <v>3057</v>
      </c>
      <c r="B813" s="80" t="s">
        <v>9514</v>
      </c>
    </row>
    <row r="814" spans="1:2" x14ac:dyDescent="0.25">
      <c r="A814" s="81" t="s">
        <v>3058</v>
      </c>
      <c r="B814" s="80" t="s">
        <v>9514</v>
      </c>
    </row>
    <row r="815" spans="1:2" x14ac:dyDescent="0.25">
      <c r="A815" s="81" t="s">
        <v>3059</v>
      </c>
      <c r="B815" s="80" t="s">
        <v>9514</v>
      </c>
    </row>
    <row r="816" spans="1:2" x14ac:dyDescent="0.25">
      <c r="A816" s="81" t="s">
        <v>3060</v>
      </c>
      <c r="B816" s="80" t="s">
        <v>9514</v>
      </c>
    </row>
    <row r="817" spans="1:2" x14ac:dyDescent="0.25">
      <c r="A817" s="81" t="s">
        <v>3061</v>
      </c>
      <c r="B817" s="80" t="s">
        <v>9514</v>
      </c>
    </row>
    <row r="818" spans="1:2" x14ac:dyDescent="0.25">
      <c r="A818" s="81" t="s">
        <v>3062</v>
      </c>
      <c r="B818" s="80" t="s">
        <v>9514</v>
      </c>
    </row>
    <row r="819" spans="1:2" x14ac:dyDescent="0.25">
      <c r="A819" s="81" t="s">
        <v>3063</v>
      </c>
      <c r="B819" s="80" t="s">
        <v>9514</v>
      </c>
    </row>
    <row r="820" spans="1:2" x14ac:dyDescent="0.25">
      <c r="A820" s="81" t="s">
        <v>3064</v>
      </c>
      <c r="B820" s="80" t="s">
        <v>9514</v>
      </c>
    </row>
    <row r="821" spans="1:2" x14ac:dyDescent="0.25">
      <c r="A821" s="81" t="s">
        <v>3065</v>
      </c>
      <c r="B821" s="80" t="s">
        <v>9514</v>
      </c>
    </row>
    <row r="822" spans="1:2" x14ac:dyDescent="0.25">
      <c r="A822" s="81" t="s">
        <v>3066</v>
      </c>
      <c r="B822" s="80" t="s">
        <v>9514</v>
      </c>
    </row>
    <row r="823" spans="1:2" x14ac:dyDescent="0.25">
      <c r="A823" s="81" t="s">
        <v>3067</v>
      </c>
      <c r="B823" s="80" t="s">
        <v>9514</v>
      </c>
    </row>
    <row r="824" spans="1:2" x14ac:dyDescent="0.25">
      <c r="A824" s="81" t="s">
        <v>3068</v>
      </c>
      <c r="B824" s="80" t="s">
        <v>9514</v>
      </c>
    </row>
    <row r="825" spans="1:2" x14ac:dyDescent="0.25">
      <c r="A825" s="81" t="s">
        <v>3069</v>
      </c>
      <c r="B825" s="80" t="s">
        <v>9514</v>
      </c>
    </row>
    <row r="826" spans="1:2" x14ac:dyDescent="0.25">
      <c r="A826" s="81" t="s">
        <v>3070</v>
      </c>
      <c r="B826" s="80" t="s">
        <v>9514</v>
      </c>
    </row>
    <row r="827" spans="1:2" x14ac:dyDescent="0.25">
      <c r="A827" s="81" t="s">
        <v>3071</v>
      </c>
      <c r="B827" s="80" t="s">
        <v>9514</v>
      </c>
    </row>
    <row r="828" spans="1:2" x14ac:dyDescent="0.25">
      <c r="A828" s="81" t="s">
        <v>3072</v>
      </c>
      <c r="B828" s="80" t="s">
        <v>9514</v>
      </c>
    </row>
    <row r="829" spans="1:2" x14ac:dyDescent="0.25">
      <c r="A829" s="81" t="s">
        <v>3073</v>
      </c>
      <c r="B829" s="80" t="s">
        <v>9514</v>
      </c>
    </row>
    <row r="830" spans="1:2" x14ac:dyDescent="0.25">
      <c r="A830" s="81" t="s">
        <v>3074</v>
      </c>
      <c r="B830" s="80" t="s">
        <v>9514</v>
      </c>
    </row>
    <row r="831" spans="1:2" x14ac:dyDescent="0.25">
      <c r="A831" s="81" t="s">
        <v>3075</v>
      </c>
      <c r="B831" s="80" t="s">
        <v>9514</v>
      </c>
    </row>
    <row r="832" spans="1:2" x14ac:dyDescent="0.25">
      <c r="A832" s="81" t="s">
        <v>3076</v>
      </c>
      <c r="B832" s="80" t="s">
        <v>9514</v>
      </c>
    </row>
    <row r="833" spans="1:2" x14ac:dyDescent="0.25">
      <c r="A833" s="81" t="s">
        <v>3077</v>
      </c>
      <c r="B833" s="80" t="s">
        <v>9514</v>
      </c>
    </row>
    <row r="834" spans="1:2" x14ac:dyDescent="0.25">
      <c r="A834" s="81" t="s">
        <v>3078</v>
      </c>
      <c r="B834" s="80" t="s">
        <v>9514</v>
      </c>
    </row>
    <row r="835" spans="1:2" x14ac:dyDescent="0.25">
      <c r="A835" s="81" t="s">
        <v>3079</v>
      </c>
      <c r="B835" s="80" t="s">
        <v>9514</v>
      </c>
    </row>
    <row r="836" spans="1:2" x14ac:dyDescent="0.25">
      <c r="A836" s="81" t="s">
        <v>3080</v>
      </c>
      <c r="B836" s="80" t="s">
        <v>9514</v>
      </c>
    </row>
    <row r="837" spans="1:2" x14ac:dyDescent="0.25">
      <c r="A837" s="81" t="s">
        <v>3081</v>
      </c>
      <c r="B837" s="80" t="s">
        <v>9514</v>
      </c>
    </row>
    <row r="838" spans="1:2" x14ac:dyDescent="0.25">
      <c r="A838" s="81" t="s">
        <v>3082</v>
      </c>
      <c r="B838" s="80" t="s">
        <v>9514</v>
      </c>
    </row>
    <row r="839" spans="1:2" x14ac:dyDescent="0.25">
      <c r="A839" s="81" t="s">
        <v>3083</v>
      </c>
      <c r="B839" s="80" t="s">
        <v>9514</v>
      </c>
    </row>
    <row r="840" spans="1:2" x14ac:dyDescent="0.25">
      <c r="A840" s="81" t="s">
        <v>3084</v>
      </c>
      <c r="B840" s="80" t="s">
        <v>9514</v>
      </c>
    </row>
    <row r="841" spans="1:2" x14ac:dyDescent="0.25">
      <c r="A841" s="81" t="s">
        <v>3085</v>
      </c>
      <c r="B841" s="80" t="s">
        <v>9514</v>
      </c>
    </row>
    <row r="842" spans="1:2" x14ac:dyDescent="0.25">
      <c r="A842" s="81" t="s">
        <v>3086</v>
      </c>
      <c r="B842" s="80" t="s">
        <v>9514</v>
      </c>
    </row>
    <row r="843" spans="1:2" x14ac:dyDescent="0.25">
      <c r="A843" s="81" t="s">
        <v>3087</v>
      </c>
      <c r="B843" s="80" t="s">
        <v>9514</v>
      </c>
    </row>
    <row r="844" spans="1:2" x14ac:dyDescent="0.25">
      <c r="A844" s="81" t="s">
        <v>3088</v>
      </c>
      <c r="B844" s="80" t="s">
        <v>9514</v>
      </c>
    </row>
    <row r="845" spans="1:2" x14ac:dyDescent="0.25">
      <c r="A845" s="81" t="s">
        <v>3089</v>
      </c>
      <c r="B845" s="80" t="s">
        <v>9514</v>
      </c>
    </row>
    <row r="846" spans="1:2" x14ac:dyDescent="0.25">
      <c r="A846" s="81" t="s">
        <v>2032</v>
      </c>
      <c r="B846" s="80" t="s">
        <v>9514</v>
      </c>
    </row>
    <row r="847" spans="1:2" x14ac:dyDescent="0.25">
      <c r="A847" s="81" t="s">
        <v>3090</v>
      </c>
      <c r="B847" s="80" t="s">
        <v>9514</v>
      </c>
    </row>
    <row r="848" spans="1:2" x14ac:dyDescent="0.25">
      <c r="A848" s="81" t="s">
        <v>3091</v>
      </c>
      <c r="B848" s="80" t="s">
        <v>9514</v>
      </c>
    </row>
    <row r="849" spans="1:2" x14ac:dyDescent="0.25">
      <c r="A849" s="81" t="s">
        <v>3092</v>
      </c>
      <c r="B849" s="80" t="s">
        <v>9514</v>
      </c>
    </row>
    <row r="850" spans="1:2" x14ac:dyDescent="0.25">
      <c r="A850" s="81" t="s">
        <v>3093</v>
      </c>
      <c r="B850" s="80" t="s">
        <v>9514</v>
      </c>
    </row>
    <row r="851" spans="1:2" x14ac:dyDescent="0.25">
      <c r="A851" s="81" t="s">
        <v>3094</v>
      </c>
      <c r="B851" s="80" t="s">
        <v>9514</v>
      </c>
    </row>
    <row r="852" spans="1:2" x14ac:dyDescent="0.25">
      <c r="A852" s="81" t="s">
        <v>3095</v>
      </c>
      <c r="B852" s="80" t="s">
        <v>9514</v>
      </c>
    </row>
    <row r="853" spans="1:2" x14ac:dyDescent="0.25">
      <c r="A853" s="81" t="s">
        <v>3096</v>
      </c>
      <c r="B853" s="80" t="s">
        <v>9514</v>
      </c>
    </row>
    <row r="854" spans="1:2" x14ac:dyDescent="0.25">
      <c r="A854" s="81" t="s">
        <v>3097</v>
      </c>
      <c r="B854" s="80" t="s">
        <v>9514</v>
      </c>
    </row>
    <row r="855" spans="1:2" x14ac:dyDescent="0.25">
      <c r="A855" s="81" t="s">
        <v>3098</v>
      </c>
      <c r="B855" s="80" t="s">
        <v>9514</v>
      </c>
    </row>
    <row r="856" spans="1:2" x14ac:dyDescent="0.25">
      <c r="A856" s="81" t="s">
        <v>3099</v>
      </c>
      <c r="B856" s="80" t="s">
        <v>9514</v>
      </c>
    </row>
    <row r="857" spans="1:2" x14ac:dyDescent="0.25">
      <c r="A857" s="81" t="s">
        <v>3100</v>
      </c>
      <c r="B857" s="80" t="s">
        <v>9514</v>
      </c>
    </row>
    <row r="858" spans="1:2" x14ac:dyDescent="0.25">
      <c r="A858" s="81" t="s">
        <v>3101</v>
      </c>
      <c r="B858" s="80" t="s">
        <v>9514</v>
      </c>
    </row>
    <row r="859" spans="1:2" x14ac:dyDescent="0.25">
      <c r="A859" s="81" t="s">
        <v>3102</v>
      </c>
      <c r="B859" s="80" t="s">
        <v>9514</v>
      </c>
    </row>
    <row r="860" spans="1:2" x14ac:dyDescent="0.25">
      <c r="A860" s="81" t="s">
        <v>3103</v>
      </c>
      <c r="B860" s="80" t="s">
        <v>9514</v>
      </c>
    </row>
    <row r="861" spans="1:2" x14ac:dyDescent="0.25">
      <c r="A861" s="81" t="s">
        <v>3104</v>
      </c>
      <c r="B861" s="80" t="s">
        <v>9514</v>
      </c>
    </row>
    <row r="862" spans="1:2" x14ac:dyDescent="0.25">
      <c r="A862" s="81" t="s">
        <v>3105</v>
      </c>
      <c r="B862" s="80" t="s">
        <v>9514</v>
      </c>
    </row>
    <row r="863" spans="1:2" x14ac:dyDescent="0.25">
      <c r="A863" s="81" t="s">
        <v>3106</v>
      </c>
      <c r="B863" s="80" t="s">
        <v>9514</v>
      </c>
    </row>
    <row r="864" spans="1:2" x14ac:dyDescent="0.25">
      <c r="A864" s="81" t="s">
        <v>3107</v>
      </c>
      <c r="B864" s="80" t="s">
        <v>9514</v>
      </c>
    </row>
    <row r="865" spans="1:2" x14ac:dyDescent="0.25">
      <c r="A865" s="81" t="s">
        <v>3108</v>
      </c>
      <c r="B865" s="80" t="s">
        <v>9514</v>
      </c>
    </row>
    <row r="866" spans="1:2" x14ac:dyDescent="0.25">
      <c r="A866" s="81" t="s">
        <v>3109</v>
      </c>
      <c r="B866" s="80" t="s">
        <v>9514</v>
      </c>
    </row>
    <row r="867" spans="1:2" x14ac:dyDescent="0.25">
      <c r="A867" s="81" t="s">
        <v>3110</v>
      </c>
      <c r="B867" s="80" t="s">
        <v>9514</v>
      </c>
    </row>
    <row r="868" spans="1:2" x14ac:dyDescent="0.25">
      <c r="A868" s="81" t="s">
        <v>3111</v>
      </c>
      <c r="B868" s="80" t="s">
        <v>9514</v>
      </c>
    </row>
    <row r="869" spans="1:2" x14ac:dyDescent="0.25">
      <c r="A869" s="81" t="s">
        <v>3112</v>
      </c>
      <c r="B869" s="80" t="s">
        <v>9514</v>
      </c>
    </row>
    <row r="870" spans="1:2" x14ac:dyDescent="0.25">
      <c r="A870" s="81" t="s">
        <v>1682</v>
      </c>
      <c r="B870" s="80" t="s">
        <v>9514</v>
      </c>
    </row>
    <row r="871" spans="1:2" x14ac:dyDescent="0.25">
      <c r="A871" s="81" t="s">
        <v>3113</v>
      </c>
      <c r="B871" s="80" t="s">
        <v>9514</v>
      </c>
    </row>
    <row r="872" spans="1:2" x14ac:dyDescent="0.25">
      <c r="A872" s="81" t="s">
        <v>3114</v>
      </c>
      <c r="B872" s="80" t="s">
        <v>9514</v>
      </c>
    </row>
    <row r="873" spans="1:2" x14ac:dyDescent="0.25">
      <c r="A873" s="81" t="s">
        <v>3115</v>
      </c>
      <c r="B873" s="80" t="s">
        <v>9514</v>
      </c>
    </row>
    <row r="874" spans="1:2" x14ac:dyDescent="0.25">
      <c r="A874" s="81" t="s">
        <v>3116</v>
      </c>
      <c r="B874" s="80" t="s">
        <v>9514</v>
      </c>
    </row>
    <row r="875" spans="1:2" x14ac:dyDescent="0.25">
      <c r="A875" s="81" t="s">
        <v>3117</v>
      </c>
      <c r="B875" s="80" t="s">
        <v>9514</v>
      </c>
    </row>
    <row r="876" spans="1:2" x14ac:dyDescent="0.25">
      <c r="A876" s="81" t="s">
        <v>3118</v>
      </c>
      <c r="B876" s="80" t="s">
        <v>9514</v>
      </c>
    </row>
    <row r="877" spans="1:2" x14ac:dyDescent="0.25">
      <c r="A877" s="81" t="s">
        <v>3119</v>
      </c>
      <c r="B877" s="80" t="s">
        <v>9514</v>
      </c>
    </row>
    <row r="878" spans="1:2" x14ac:dyDescent="0.25">
      <c r="A878" s="81" t="s">
        <v>3120</v>
      </c>
      <c r="B878" s="80" t="s">
        <v>9514</v>
      </c>
    </row>
    <row r="879" spans="1:2" x14ac:dyDescent="0.25">
      <c r="A879" s="81" t="s">
        <v>3121</v>
      </c>
      <c r="B879" s="80" t="s">
        <v>9514</v>
      </c>
    </row>
    <row r="880" spans="1:2" x14ac:dyDescent="0.25">
      <c r="A880" s="81" t="s">
        <v>3122</v>
      </c>
      <c r="B880" s="80" t="s">
        <v>9514</v>
      </c>
    </row>
    <row r="881" spans="1:2" x14ac:dyDescent="0.25">
      <c r="A881" s="81" t="s">
        <v>3123</v>
      </c>
      <c r="B881" s="80" t="s">
        <v>9514</v>
      </c>
    </row>
    <row r="882" spans="1:2" x14ac:dyDescent="0.25">
      <c r="A882" s="81" t="s">
        <v>3124</v>
      </c>
      <c r="B882" s="80" t="s">
        <v>9514</v>
      </c>
    </row>
    <row r="883" spans="1:2" x14ac:dyDescent="0.25">
      <c r="A883" s="81" t="s">
        <v>2206</v>
      </c>
      <c r="B883" s="80" t="s">
        <v>9514</v>
      </c>
    </row>
    <row r="884" spans="1:2" x14ac:dyDescent="0.25">
      <c r="A884" s="81" t="s">
        <v>3125</v>
      </c>
      <c r="B884" s="80" t="s">
        <v>9514</v>
      </c>
    </row>
    <row r="885" spans="1:2" x14ac:dyDescent="0.25">
      <c r="A885" s="81" t="s">
        <v>3126</v>
      </c>
      <c r="B885" s="80" t="s">
        <v>9514</v>
      </c>
    </row>
    <row r="886" spans="1:2" x14ac:dyDescent="0.25">
      <c r="A886" s="81" t="s">
        <v>3127</v>
      </c>
      <c r="B886" s="80" t="s">
        <v>9514</v>
      </c>
    </row>
    <row r="887" spans="1:2" x14ac:dyDescent="0.25">
      <c r="A887" s="81" t="s">
        <v>3128</v>
      </c>
      <c r="B887" s="80" t="s">
        <v>9514</v>
      </c>
    </row>
    <row r="888" spans="1:2" x14ac:dyDescent="0.25">
      <c r="A888" s="81" t="s">
        <v>3129</v>
      </c>
      <c r="B888" s="80" t="s">
        <v>9514</v>
      </c>
    </row>
    <row r="889" spans="1:2" x14ac:dyDescent="0.25">
      <c r="A889" s="81" t="s">
        <v>3130</v>
      </c>
      <c r="B889" s="80" t="s">
        <v>9514</v>
      </c>
    </row>
    <row r="890" spans="1:2" x14ac:dyDescent="0.25">
      <c r="A890" s="81" t="s">
        <v>3131</v>
      </c>
      <c r="B890" s="80" t="s">
        <v>9514</v>
      </c>
    </row>
    <row r="891" spans="1:2" x14ac:dyDescent="0.25">
      <c r="A891" s="81" t="s">
        <v>3132</v>
      </c>
      <c r="B891" s="80" t="s">
        <v>9514</v>
      </c>
    </row>
    <row r="892" spans="1:2" x14ac:dyDescent="0.25">
      <c r="A892" s="81" t="s">
        <v>3133</v>
      </c>
      <c r="B892" s="80" t="s">
        <v>9514</v>
      </c>
    </row>
    <row r="893" spans="1:2" x14ac:dyDescent="0.25">
      <c r="A893" s="81" t="s">
        <v>3134</v>
      </c>
      <c r="B893" s="80" t="s">
        <v>9514</v>
      </c>
    </row>
    <row r="894" spans="1:2" x14ac:dyDescent="0.25">
      <c r="A894" s="81" t="s">
        <v>3135</v>
      </c>
      <c r="B894" s="80" t="s">
        <v>9514</v>
      </c>
    </row>
    <row r="895" spans="1:2" x14ac:dyDescent="0.25">
      <c r="A895" s="81" t="s">
        <v>3136</v>
      </c>
      <c r="B895" s="80" t="s">
        <v>9514</v>
      </c>
    </row>
    <row r="896" spans="1:2" x14ac:dyDescent="0.25">
      <c r="A896" s="81" t="s">
        <v>3137</v>
      </c>
      <c r="B896" s="80" t="s">
        <v>9514</v>
      </c>
    </row>
    <row r="897" spans="1:2" x14ac:dyDescent="0.25">
      <c r="A897" s="81" t="s">
        <v>3138</v>
      </c>
      <c r="B897" s="80" t="s">
        <v>9514</v>
      </c>
    </row>
    <row r="898" spans="1:2" x14ac:dyDescent="0.25">
      <c r="A898" s="81" t="s">
        <v>3139</v>
      </c>
      <c r="B898" s="80" t="s">
        <v>9514</v>
      </c>
    </row>
    <row r="899" spans="1:2" x14ac:dyDescent="0.25">
      <c r="A899" s="81" t="s">
        <v>3140</v>
      </c>
      <c r="B899" s="80" t="s">
        <v>9514</v>
      </c>
    </row>
    <row r="900" spans="1:2" x14ac:dyDescent="0.25">
      <c r="A900" s="81" t="s">
        <v>3141</v>
      </c>
      <c r="B900" s="80" t="s">
        <v>9514</v>
      </c>
    </row>
    <row r="901" spans="1:2" x14ac:dyDescent="0.25">
      <c r="A901" s="81" t="s">
        <v>3142</v>
      </c>
      <c r="B901" s="80" t="s">
        <v>9514</v>
      </c>
    </row>
    <row r="902" spans="1:2" x14ac:dyDescent="0.25">
      <c r="A902" s="81" t="s">
        <v>3143</v>
      </c>
      <c r="B902" s="80" t="s">
        <v>9514</v>
      </c>
    </row>
    <row r="903" spans="1:2" x14ac:dyDescent="0.25">
      <c r="A903" s="81" t="s">
        <v>3144</v>
      </c>
      <c r="B903" s="80" t="s">
        <v>9514</v>
      </c>
    </row>
    <row r="904" spans="1:2" x14ac:dyDescent="0.25">
      <c r="A904" s="81" t="s">
        <v>3145</v>
      </c>
      <c r="B904" s="80" t="s">
        <v>9514</v>
      </c>
    </row>
    <row r="905" spans="1:2" x14ac:dyDescent="0.25">
      <c r="A905" s="81" t="s">
        <v>3146</v>
      </c>
      <c r="B905" s="80" t="s">
        <v>9514</v>
      </c>
    </row>
    <row r="906" spans="1:2" x14ac:dyDescent="0.25">
      <c r="A906" s="81" t="s">
        <v>3147</v>
      </c>
      <c r="B906" s="80" t="s">
        <v>9514</v>
      </c>
    </row>
    <row r="907" spans="1:2" x14ac:dyDescent="0.25">
      <c r="A907" s="81" t="s">
        <v>3148</v>
      </c>
      <c r="B907" s="80" t="s">
        <v>9514</v>
      </c>
    </row>
    <row r="908" spans="1:2" x14ac:dyDescent="0.25">
      <c r="A908" s="81" t="s">
        <v>3149</v>
      </c>
      <c r="B908" s="80" t="s">
        <v>9514</v>
      </c>
    </row>
    <row r="909" spans="1:2" x14ac:dyDescent="0.25">
      <c r="A909" s="81" t="s">
        <v>3150</v>
      </c>
      <c r="B909" s="80" t="s">
        <v>9514</v>
      </c>
    </row>
    <row r="910" spans="1:2" x14ac:dyDescent="0.25">
      <c r="A910" s="81" t="s">
        <v>3151</v>
      </c>
      <c r="B910" s="80" t="s">
        <v>9514</v>
      </c>
    </row>
    <row r="911" spans="1:2" x14ac:dyDescent="0.25">
      <c r="A911" s="81" t="s">
        <v>3152</v>
      </c>
      <c r="B911" s="80" t="s">
        <v>9514</v>
      </c>
    </row>
    <row r="912" spans="1:2" x14ac:dyDescent="0.25">
      <c r="A912" s="81" t="s">
        <v>3153</v>
      </c>
      <c r="B912" s="80" t="s">
        <v>9514</v>
      </c>
    </row>
    <row r="913" spans="1:2" x14ac:dyDescent="0.25">
      <c r="A913" s="81" t="s">
        <v>3154</v>
      </c>
      <c r="B913" s="80" t="s">
        <v>9514</v>
      </c>
    </row>
    <row r="914" spans="1:2" x14ac:dyDescent="0.25">
      <c r="A914" s="81" t="s">
        <v>3155</v>
      </c>
      <c r="B914" s="80" t="s">
        <v>9514</v>
      </c>
    </row>
    <row r="915" spans="1:2" x14ac:dyDescent="0.25">
      <c r="A915" s="81" t="s">
        <v>3156</v>
      </c>
      <c r="B915" s="80" t="s">
        <v>9514</v>
      </c>
    </row>
    <row r="916" spans="1:2" x14ac:dyDescent="0.25">
      <c r="A916" s="81" t="s">
        <v>3157</v>
      </c>
      <c r="B916" s="80" t="s">
        <v>9514</v>
      </c>
    </row>
    <row r="917" spans="1:2" x14ac:dyDescent="0.25">
      <c r="A917" s="81" t="s">
        <v>3158</v>
      </c>
      <c r="B917" s="80" t="s">
        <v>9514</v>
      </c>
    </row>
    <row r="918" spans="1:2" x14ac:dyDescent="0.25">
      <c r="A918" s="81" t="s">
        <v>3159</v>
      </c>
      <c r="B918" s="80" t="s">
        <v>9514</v>
      </c>
    </row>
    <row r="919" spans="1:2" x14ac:dyDescent="0.25">
      <c r="A919" s="81" t="s">
        <v>3160</v>
      </c>
      <c r="B919" s="80" t="s">
        <v>9514</v>
      </c>
    </row>
    <row r="920" spans="1:2" x14ac:dyDescent="0.25">
      <c r="A920" s="81" t="s">
        <v>3161</v>
      </c>
      <c r="B920" s="80" t="s">
        <v>9514</v>
      </c>
    </row>
    <row r="921" spans="1:2" x14ac:dyDescent="0.25">
      <c r="A921" s="81" t="s">
        <v>3162</v>
      </c>
      <c r="B921" s="80" t="s">
        <v>9514</v>
      </c>
    </row>
    <row r="922" spans="1:2" x14ac:dyDescent="0.25">
      <c r="A922" s="81" t="s">
        <v>3163</v>
      </c>
      <c r="B922" s="80" t="s">
        <v>9514</v>
      </c>
    </row>
    <row r="923" spans="1:2" x14ac:dyDescent="0.25">
      <c r="A923" s="81" t="s">
        <v>3164</v>
      </c>
      <c r="B923" s="80" t="s">
        <v>9514</v>
      </c>
    </row>
    <row r="924" spans="1:2" x14ac:dyDescent="0.25">
      <c r="A924" s="81" t="s">
        <v>3165</v>
      </c>
      <c r="B924" s="80" t="s">
        <v>9514</v>
      </c>
    </row>
    <row r="925" spans="1:2" x14ac:dyDescent="0.25">
      <c r="A925" s="81" t="s">
        <v>3166</v>
      </c>
      <c r="B925" s="80" t="s">
        <v>9514</v>
      </c>
    </row>
    <row r="926" spans="1:2" x14ac:dyDescent="0.25">
      <c r="A926" s="81" t="s">
        <v>3167</v>
      </c>
      <c r="B926" s="80" t="s">
        <v>9514</v>
      </c>
    </row>
    <row r="927" spans="1:2" x14ac:dyDescent="0.25">
      <c r="A927" s="81" t="s">
        <v>3168</v>
      </c>
      <c r="B927" s="80" t="s">
        <v>9514</v>
      </c>
    </row>
    <row r="928" spans="1:2" x14ac:dyDescent="0.25">
      <c r="A928" s="81" t="s">
        <v>3169</v>
      </c>
      <c r="B928" s="80" t="s">
        <v>9514</v>
      </c>
    </row>
    <row r="929" spans="1:2" x14ac:dyDescent="0.25">
      <c r="A929" s="81" t="s">
        <v>3170</v>
      </c>
      <c r="B929" s="80" t="s">
        <v>9514</v>
      </c>
    </row>
    <row r="930" spans="1:2" x14ac:dyDescent="0.25">
      <c r="A930" s="81" t="s">
        <v>3171</v>
      </c>
      <c r="B930" s="80" t="s">
        <v>9514</v>
      </c>
    </row>
    <row r="931" spans="1:2" x14ac:dyDescent="0.25">
      <c r="A931" s="81" t="s">
        <v>3172</v>
      </c>
      <c r="B931" s="80" t="s">
        <v>9514</v>
      </c>
    </row>
    <row r="932" spans="1:2" x14ac:dyDescent="0.25">
      <c r="A932" s="81" t="s">
        <v>3173</v>
      </c>
      <c r="B932" s="80" t="s">
        <v>9514</v>
      </c>
    </row>
    <row r="933" spans="1:2" x14ac:dyDescent="0.25">
      <c r="A933" s="81" t="s">
        <v>3174</v>
      </c>
      <c r="B933" s="80" t="s">
        <v>9514</v>
      </c>
    </row>
    <row r="934" spans="1:2" x14ac:dyDescent="0.25">
      <c r="A934" s="81" t="s">
        <v>3175</v>
      </c>
      <c r="B934" s="80" t="s">
        <v>9514</v>
      </c>
    </row>
    <row r="935" spans="1:2" x14ac:dyDescent="0.25">
      <c r="A935" s="81" t="s">
        <v>3176</v>
      </c>
      <c r="B935" s="80" t="s">
        <v>9514</v>
      </c>
    </row>
    <row r="936" spans="1:2" x14ac:dyDescent="0.25">
      <c r="A936" s="81" t="s">
        <v>3177</v>
      </c>
      <c r="B936" s="80" t="s">
        <v>9514</v>
      </c>
    </row>
    <row r="937" spans="1:2" x14ac:dyDescent="0.25">
      <c r="A937" s="81" t="s">
        <v>3178</v>
      </c>
      <c r="B937" s="80" t="s">
        <v>9514</v>
      </c>
    </row>
    <row r="938" spans="1:2" x14ac:dyDescent="0.25">
      <c r="A938" s="81" t="s">
        <v>3179</v>
      </c>
      <c r="B938" s="80" t="s">
        <v>9514</v>
      </c>
    </row>
    <row r="939" spans="1:2" x14ac:dyDescent="0.25">
      <c r="A939" s="81" t="s">
        <v>3180</v>
      </c>
      <c r="B939" s="80" t="s">
        <v>9514</v>
      </c>
    </row>
    <row r="940" spans="1:2" x14ac:dyDescent="0.25">
      <c r="A940" s="81" t="s">
        <v>3181</v>
      </c>
      <c r="B940" s="80" t="s">
        <v>9514</v>
      </c>
    </row>
    <row r="941" spans="1:2" x14ac:dyDescent="0.25">
      <c r="A941" s="81" t="s">
        <v>3182</v>
      </c>
      <c r="B941" s="80" t="s">
        <v>9514</v>
      </c>
    </row>
    <row r="942" spans="1:2" x14ac:dyDescent="0.25">
      <c r="A942" s="81" t="s">
        <v>3183</v>
      </c>
      <c r="B942" s="80" t="s">
        <v>9514</v>
      </c>
    </row>
    <row r="943" spans="1:2" x14ac:dyDescent="0.25">
      <c r="A943" s="81" t="s">
        <v>3184</v>
      </c>
      <c r="B943" s="80" t="s">
        <v>9514</v>
      </c>
    </row>
    <row r="944" spans="1:2" x14ac:dyDescent="0.25">
      <c r="A944" s="81" t="s">
        <v>3185</v>
      </c>
      <c r="B944" s="80" t="s">
        <v>9514</v>
      </c>
    </row>
    <row r="945" spans="1:2" x14ac:dyDescent="0.25">
      <c r="A945" s="81" t="s">
        <v>3186</v>
      </c>
      <c r="B945" s="80" t="s">
        <v>9514</v>
      </c>
    </row>
    <row r="946" spans="1:2" x14ac:dyDescent="0.25">
      <c r="A946" s="81" t="s">
        <v>3187</v>
      </c>
      <c r="B946" s="80" t="s">
        <v>9514</v>
      </c>
    </row>
    <row r="947" spans="1:2" x14ac:dyDescent="0.25">
      <c r="A947" s="81" t="s">
        <v>3188</v>
      </c>
      <c r="B947" s="80" t="s">
        <v>9514</v>
      </c>
    </row>
    <row r="948" spans="1:2" x14ac:dyDescent="0.25">
      <c r="A948" s="81" t="s">
        <v>3189</v>
      </c>
      <c r="B948" s="80" t="s">
        <v>9514</v>
      </c>
    </row>
    <row r="949" spans="1:2" x14ac:dyDescent="0.25">
      <c r="A949" s="81" t="s">
        <v>3190</v>
      </c>
      <c r="B949" s="80" t="s">
        <v>9514</v>
      </c>
    </row>
    <row r="950" spans="1:2" x14ac:dyDescent="0.25">
      <c r="A950" s="81" t="s">
        <v>3191</v>
      </c>
      <c r="B950" s="80" t="s">
        <v>9514</v>
      </c>
    </row>
    <row r="951" spans="1:2" x14ac:dyDescent="0.25">
      <c r="A951" s="81" t="s">
        <v>3192</v>
      </c>
      <c r="B951" s="80" t="s">
        <v>9514</v>
      </c>
    </row>
    <row r="952" spans="1:2" x14ac:dyDescent="0.25">
      <c r="A952" s="81" t="s">
        <v>3193</v>
      </c>
      <c r="B952" s="80" t="s">
        <v>9514</v>
      </c>
    </row>
    <row r="953" spans="1:2" x14ac:dyDescent="0.25">
      <c r="A953" s="81" t="s">
        <v>3194</v>
      </c>
      <c r="B953" s="80" t="s">
        <v>9514</v>
      </c>
    </row>
    <row r="954" spans="1:2" x14ac:dyDescent="0.25">
      <c r="A954" s="81" t="s">
        <v>3195</v>
      </c>
      <c r="B954" s="80" t="s">
        <v>9514</v>
      </c>
    </row>
    <row r="955" spans="1:2" x14ac:dyDescent="0.25">
      <c r="A955" s="81" t="s">
        <v>3196</v>
      </c>
      <c r="B955" s="80" t="s">
        <v>9514</v>
      </c>
    </row>
    <row r="956" spans="1:2" x14ac:dyDescent="0.25">
      <c r="A956" s="81" t="s">
        <v>3197</v>
      </c>
      <c r="B956" s="80" t="s">
        <v>9514</v>
      </c>
    </row>
    <row r="957" spans="1:2" x14ac:dyDescent="0.25">
      <c r="A957" s="81" t="s">
        <v>3198</v>
      </c>
      <c r="B957" s="80" t="s">
        <v>9514</v>
      </c>
    </row>
    <row r="958" spans="1:2" x14ac:dyDescent="0.25">
      <c r="A958" s="81" t="s">
        <v>3199</v>
      </c>
      <c r="B958" s="80" t="s">
        <v>9514</v>
      </c>
    </row>
    <row r="959" spans="1:2" x14ac:dyDescent="0.25">
      <c r="A959" s="81" t="s">
        <v>3200</v>
      </c>
      <c r="B959" s="80" t="s">
        <v>9514</v>
      </c>
    </row>
    <row r="960" spans="1:2" x14ac:dyDescent="0.25">
      <c r="A960" s="81" t="s">
        <v>3201</v>
      </c>
      <c r="B960" s="80" t="s">
        <v>9514</v>
      </c>
    </row>
    <row r="961" spans="1:2" x14ac:dyDescent="0.25">
      <c r="A961" s="81" t="s">
        <v>3202</v>
      </c>
      <c r="B961" s="80" t="s">
        <v>9514</v>
      </c>
    </row>
    <row r="962" spans="1:2" x14ac:dyDescent="0.25">
      <c r="A962" s="81" t="s">
        <v>3203</v>
      </c>
      <c r="B962" s="80" t="s">
        <v>9514</v>
      </c>
    </row>
    <row r="963" spans="1:2" x14ac:dyDescent="0.25">
      <c r="A963" s="81" t="s">
        <v>3204</v>
      </c>
      <c r="B963" s="80" t="s">
        <v>9514</v>
      </c>
    </row>
    <row r="964" spans="1:2" x14ac:dyDescent="0.25">
      <c r="A964" s="81" t="s">
        <v>3205</v>
      </c>
      <c r="B964" s="80" t="s">
        <v>9514</v>
      </c>
    </row>
    <row r="965" spans="1:2" x14ac:dyDescent="0.25">
      <c r="A965" s="81" t="s">
        <v>3206</v>
      </c>
      <c r="B965" s="80" t="s">
        <v>9514</v>
      </c>
    </row>
    <row r="966" spans="1:2" x14ac:dyDescent="0.25">
      <c r="A966" s="81" t="s">
        <v>3207</v>
      </c>
      <c r="B966" s="80" t="s">
        <v>9514</v>
      </c>
    </row>
    <row r="967" spans="1:2" x14ac:dyDescent="0.25">
      <c r="A967" s="81" t="s">
        <v>3208</v>
      </c>
      <c r="B967" s="80" t="s">
        <v>9514</v>
      </c>
    </row>
    <row r="968" spans="1:2" x14ac:dyDescent="0.25">
      <c r="A968" s="81" t="s">
        <v>3209</v>
      </c>
      <c r="B968" s="80" t="s">
        <v>9514</v>
      </c>
    </row>
    <row r="969" spans="1:2" x14ac:dyDescent="0.25">
      <c r="A969" s="81" t="s">
        <v>3210</v>
      </c>
      <c r="B969" s="80" t="s">
        <v>9514</v>
      </c>
    </row>
    <row r="970" spans="1:2" x14ac:dyDescent="0.25">
      <c r="A970" s="81" t="s">
        <v>3211</v>
      </c>
      <c r="B970" s="80" t="s">
        <v>9514</v>
      </c>
    </row>
    <row r="971" spans="1:2" x14ac:dyDescent="0.25">
      <c r="A971" s="81" t="s">
        <v>3212</v>
      </c>
      <c r="B971" s="80" t="s">
        <v>9514</v>
      </c>
    </row>
    <row r="972" spans="1:2" x14ac:dyDescent="0.25">
      <c r="A972" s="81" t="s">
        <v>3213</v>
      </c>
      <c r="B972" s="80" t="s">
        <v>9514</v>
      </c>
    </row>
    <row r="973" spans="1:2" x14ac:dyDescent="0.25">
      <c r="A973" s="81" t="s">
        <v>3214</v>
      </c>
      <c r="B973" s="80" t="s">
        <v>9514</v>
      </c>
    </row>
    <row r="974" spans="1:2" x14ac:dyDescent="0.25">
      <c r="A974" s="81" t="s">
        <v>3215</v>
      </c>
      <c r="B974" s="80" t="s">
        <v>9514</v>
      </c>
    </row>
    <row r="975" spans="1:2" x14ac:dyDescent="0.25">
      <c r="A975" s="81" t="s">
        <v>3216</v>
      </c>
      <c r="B975" s="80" t="s">
        <v>9514</v>
      </c>
    </row>
    <row r="976" spans="1:2" x14ac:dyDescent="0.25">
      <c r="A976" s="81" t="s">
        <v>3217</v>
      </c>
      <c r="B976" s="80" t="s">
        <v>9514</v>
      </c>
    </row>
    <row r="977" spans="1:2" x14ac:dyDescent="0.25">
      <c r="A977" s="81" t="s">
        <v>3218</v>
      </c>
      <c r="B977" s="80" t="s">
        <v>9514</v>
      </c>
    </row>
    <row r="978" spans="1:2" x14ac:dyDescent="0.25">
      <c r="A978" s="81" t="s">
        <v>3219</v>
      </c>
      <c r="B978" s="80" t="s">
        <v>9514</v>
      </c>
    </row>
    <row r="979" spans="1:2" x14ac:dyDescent="0.25">
      <c r="A979" s="81" t="s">
        <v>3220</v>
      </c>
      <c r="B979" s="80" t="s">
        <v>9514</v>
      </c>
    </row>
    <row r="980" spans="1:2" x14ac:dyDescent="0.25">
      <c r="A980" s="81" t="s">
        <v>3221</v>
      </c>
      <c r="B980" s="80" t="s">
        <v>9514</v>
      </c>
    </row>
    <row r="981" spans="1:2" x14ac:dyDescent="0.25">
      <c r="A981" s="81" t="s">
        <v>3222</v>
      </c>
      <c r="B981" s="80" t="s">
        <v>9514</v>
      </c>
    </row>
    <row r="982" spans="1:2" x14ac:dyDescent="0.25">
      <c r="A982" s="81" t="s">
        <v>3223</v>
      </c>
      <c r="B982" s="80" t="s">
        <v>9514</v>
      </c>
    </row>
    <row r="983" spans="1:2" x14ac:dyDescent="0.25">
      <c r="A983" s="81" t="s">
        <v>3224</v>
      </c>
      <c r="B983" s="80" t="s">
        <v>9514</v>
      </c>
    </row>
    <row r="984" spans="1:2" x14ac:dyDescent="0.25">
      <c r="A984" s="81" t="s">
        <v>3225</v>
      </c>
      <c r="B984" s="80" t="s">
        <v>9514</v>
      </c>
    </row>
    <row r="985" spans="1:2" x14ac:dyDescent="0.25">
      <c r="A985" s="81" t="s">
        <v>3226</v>
      </c>
      <c r="B985" s="80" t="s">
        <v>9514</v>
      </c>
    </row>
    <row r="986" spans="1:2" x14ac:dyDescent="0.25">
      <c r="A986" s="81" t="s">
        <v>3227</v>
      </c>
      <c r="B986" s="80" t="s">
        <v>9514</v>
      </c>
    </row>
    <row r="987" spans="1:2" x14ac:dyDescent="0.25">
      <c r="A987" s="81" t="s">
        <v>3228</v>
      </c>
      <c r="B987" s="80" t="s">
        <v>9514</v>
      </c>
    </row>
    <row r="988" spans="1:2" x14ac:dyDescent="0.25">
      <c r="A988" s="81" t="s">
        <v>3229</v>
      </c>
      <c r="B988" s="80" t="s">
        <v>9514</v>
      </c>
    </row>
    <row r="989" spans="1:2" x14ac:dyDescent="0.25">
      <c r="A989" s="81" t="s">
        <v>3230</v>
      </c>
      <c r="B989" s="80" t="s">
        <v>9514</v>
      </c>
    </row>
    <row r="990" spans="1:2" x14ac:dyDescent="0.25">
      <c r="A990" s="81" t="s">
        <v>3231</v>
      </c>
      <c r="B990" s="80" t="s">
        <v>9514</v>
      </c>
    </row>
    <row r="991" spans="1:2" x14ac:dyDescent="0.25">
      <c r="A991" s="81" t="s">
        <v>3232</v>
      </c>
      <c r="B991" s="80" t="s">
        <v>9514</v>
      </c>
    </row>
    <row r="992" spans="1:2" x14ac:dyDescent="0.25">
      <c r="A992" s="81" t="s">
        <v>3233</v>
      </c>
      <c r="B992" s="80" t="s">
        <v>9514</v>
      </c>
    </row>
    <row r="993" spans="1:2" x14ac:dyDescent="0.25">
      <c r="A993" s="81" t="s">
        <v>3234</v>
      </c>
      <c r="B993" s="80" t="s">
        <v>9514</v>
      </c>
    </row>
    <row r="994" spans="1:2" x14ac:dyDescent="0.25">
      <c r="A994" s="81" t="s">
        <v>3235</v>
      </c>
      <c r="B994" s="80" t="s">
        <v>9514</v>
      </c>
    </row>
    <row r="995" spans="1:2" x14ac:dyDescent="0.25">
      <c r="A995" s="81" t="s">
        <v>3236</v>
      </c>
      <c r="B995" s="80" t="s">
        <v>9514</v>
      </c>
    </row>
    <row r="996" spans="1:2" x14ac:dyDescent="0.25">
      <c r="A996" s="81" t="s">
        <v>3237</v>
      </c>
      <c r="B996" s="80" t="s">
        <v>9514</v>
      </c>
    </row>
    <row r="997" spans="1:2" x14ac:dyDescent="0.25">
      <c r="A997" s="81" t="s">
        <v>3238</v>
      </c>
      <c r="B997" s="80" t="s">
        <v>9514</v>
      </c>
    </row>
    <row r="998" spans="1:2" x14ac:dyDescent="0.25">
      <c r="A998" s="81" t="s">
        <v>3239</v>
      </c>
      <c r="B998" s="80" t="s">
        <v>9514</v>
      </c>
    </row>
    <row r="999" spans="1:2" x14ac:dyDescent="0.25">
      <c r="A999" s="81" t="s">
        <v>3240</v>
      </c>
      <c r="B999" s="80" t="s">
        <v>9514</v>
      </c>
    </row>
    <row r="1000" spans="1:2" x14ac:dyDescent="0.25">
      <c r="A1000" s="81" t="s">
        <v>3241</v>
      </c>
      <c r="B1000" s="80" t="s">
        <v>9514</v>
      </c>
    </row>
    <row r="1001" spans="1:2" x14ac:dyDescent="0.25">
      <c r="A1001" s="81" t="s">
        <v>3242</v>
      </c>
      <c r="B1001" s="80" t="s">
        <v>9514</v>
      </c>
    </row>
    <row r="1002" spans="1:2" x14ac:dyDescent="0.25">
      <c r="A1002" s="81" t="s">
        <v>3243</v>
      </c>
      <c r="B1002" s="80" t="s">
        <v>9514</v>
      </c>
    </row>
    <row r="1003" spans="1:2" x14ac:dyDescent="0.25">
      <c r="A1003" s="81" t="s">
        <v>3244</v>
      </c>
      <c r="B1003" s="80" t="s">
        <v>9514</v>
      </c>
    </row>
    <row r="1004" spans="1:2" x14ac:dyDescent="0.25">
      <c r="A1004" s="81" t="s">
        <v>3245</v>
      </c>
      <c r="B1004" s="80" t="s">
        <v>9514</v>
      </c>
    </row>
    <row r="1005" spans="1:2" x14ac:dyDescent="0.25">
      <c r="A1005" s="81" t="s">
        <v>3246</v>
      </c>
      <c r="B1005" s="80" t="s">
        <v>9514</v>
      </c>
    </row>
    <row r="1006" spans="1:2" x14ac:dyDescent="0.25">
      <c r="A1006" s="81" t="s">
        <v>3247</v>
      </c>
      <c r="B1006" s="80" t="s">
        <v>9514</v>
      </c>
    </row>
    <row r="1007" spans="1:2" x14ac:dyDescent="0.25">
      <c r="A1007" s="81" t="s">
        <v>3248</v>
      </c>
      <c r="B1007" s="80" t="s">
        <v>9514</v>
      </c>
    </row>
    <row r="1008" spans="1:2" x14ac:dyDescent="0.25">
      <c r="A1008" s="81" t="s">
        <v>3249</v>
      </c>
      <c r="B1008" s="80" t="s">
        <v>9514</v>
      </c>
    </row>
    <row r="1009" spans="1:2" x14ac:dyDescent="0.25">
      <c r="A1009" s="81" t="s">
        <v>3250</v>
      </c>
      <c r="B1009" s="80" t="s">
        <v>9514</v>
      </c>
    </row>
    <row r="1010" spans="1:2" x14ac:dyDescent="0.25">
      <c r="A1010" s="81" t="s">
        <v>3251</v>
      </c>
      <c r="B1010" s="80" t="s">
        <v>9514</v>
      </c>
    </row>
    <row r="1011" spans="1:2" x14ac:dyDescent="0.25">
      <c r="A1011" s="81" t="s">
        <v>3252</v>
      </c>
      <c r="B1011" s="80" t="s">
        <v>9514</v>
      </c>
    </row>
    <row r="1012" spans="1:2" x14ac:dyDescent="0.25">
      <c r="A1012" s="81" t="s">
        <v>3253</v>
      </c>
      <c r="B1012" s="80" t="s">
        <v>9514</v>
      </c>
    </row>
    <row r="1013" spans="1:2" x14ac:dyDescent="0.25">
      <c r="A1013" s="81" t="s">
        <v>3254</v>
      </c>
      <c r="B1013" s="80" t="s">
        <v>9514</v>
      </c>
    </row>
    <row r="1014" spans="1:2" x14ac:dyDescent="0.25">
      <c r="A1014" s="81" t="s">
        <v>3255</v>
      </c>
      <c r="B1014" s="80" t="s">
        <v>9514</v>
      </c>
    </row>
    <row r="1015" spans="1:2" x14ac:dyDescent="0.25">
      <c r="A1015" s="81" t="s">
        <v>3256</v>
      </c>
      <c r="B1015" s="80" t="s">
        <v>9514</v>
      </c>
    </row>
    <row r="1016" spans="1:2" x14ac:dyDescent="0.25">
      <c r="A1016" s="81" t="s">
        <v>3257</v>
      </c>
      <c r="B1016" s="80" t="s">
        <v>9514</v>
      </c>
    </row>
    <row r="1017" spans="1:2" x14ac:dyDescent="0.25">
      <c r="A1017" s="81" t="s">
        <v>3258</v>
      </c>
      <c r="B1017" s="80" t="s">
        <v>9514</v>
      </c>
    </row>
    <row r="1018" spans="1:2" x14ac:dyDescent="0.25">
      <c r="A1018" s="81" t="s">
        <v>3259</v>
      </c>
      <c r="B1018" s="80" t="s">
        <v>9514</v>
      </c>
    </row>
    <row r="1019" spans="1:2" x14ac:dyDescent="0.25">
      <c r="A1019" s="81" t="s">
        <v>3260</v>
      </c>
      <c r="B1019" s="80" t="s">
        <v>9514</v>
      </c>
    </row>
    <row r="1020" spans="1:2" x14ac:dyDescent="0.25">
      <c r="A1020" s="81" t="s">
        <v>3261</v>
      </c>
      <c r="B1020" s="80" t="s">
        <v>9514</v>
      </c>
    </row>
    <row r="1021" spans="1:2" x14ac:dyDescent="0.25">
      <c r="A1021" s="81" t="s">
        <v>3262</v>
      </c>
      <c r="B1021" s="80" t="s">
        <v>9514</v>
      </c>
    </row>
    <row r="1022" spans="1:2" x14ac:dyDescent="0.25">
      <c r="A1022" s="81" t="s">
        <v>3263</v>
      </c>
      <c r="B1022" s="80" t="s">
        <v>9514</v>
      </c>
    </row>
    <row r="1023" spans="1:2" x14ac:dyDescent="0.25">
      <c r="A1023" s="81" t="s">
        <v>3264</v>
      </c>
      <c r="B1023" s="80" t="s">
        <v>9514</v>
      </c>
    </row>
    <row r="1024" spans="1:2" x14ac:dyDescent="0.25">
      <c r="A1024" s="81" t="s">
        <v>3265</v>
      </c>
      <c r="B1024" s="80" t="s">
        <v>9514</v>
      </c>
    </row>
    <row r="1025" spans="1:2" x14ac:dyDescent="0.25">
      <c r="A1025" s="81" t="s">
        <v>3266</v>
      </c>
      <c r="B1025" s="80" t="s">
        <v>9514</v>
      </c>
    </row>
    <row r="1026" spans="1:2" x14ac:dyDescent="0.25">
      <c r="A1026" s="81" t="s">
        <v>3267</v>
      </c>
      <c r="B1026" s="80" t="s">
        <v>9514</v>
      </c>
    </row>
    <row r="1027" spans="1:2" x14ac:dyDescent="0.25">
      <c r="A1027" s="81" t="s">
        <v>3268</v>
      </c>
      <c r="B1027" s="80" t="s">
        <v>9514</v>
      </c>
    </row>
    <row r="1028" spans="1:2" x14ac:dyDescent="0.25">
      <c r="A1028" s="81" t="s">
        <v>3269</v>
      </c>
      <c r="B1028" s="80" t="s">
        <v>9514</v>
      </c>
    </row>
    <row r="1029" spans="1:2" x14ac:dyDescent="0.25">
      <c r="A1029" s="81" t="s">
        <v>3270</v>
      </c>
      <c r="B1029" s="80" t="s">
        <v>9514</v>
      </c>
    </row>
    <row r="1030" spans="1:2" x14ac:dyDescent="0.25">
      <c r="A1030" s="81" t="s">
        <v>3271</v>
      </c>
      <c r="B1030" s="80" t="s">
        <v>9514</v>
      </c>
    </row>
    <row r="1031" spans="1:2" x14ac:dyDescent="0.25">
      <c r="A1031" s="81" t="s">
        <v>3272</v>
      </c>
      <c r="B1031" s="80" t="s">
        <v>9514</v>
      </c>
    </row>
    <row r="1032" spans="1:2" x14ac:dyDescent="0.25">
      <c r="A1032" s="81" t="s">
        <v>3273</v>
      </c>
      <c r="B1032" s="80" t="s">
        <v>9514</v>
      </c>
    </row>
    <row r="1033" spans="1:2" x14ac:dyDescent="0.25">
      <c r="A1033" s="81" t="s">
        <v>3274</v>
      </c>
      <c r="B1033" s="80" t="s">
        <v>9514</v>
      </c>
    </row>
    <row r="1034" spans="1:2" x14ac:dyDescent="0.25">
      <c r="A1034" s="81" t="s">
        <v>3275</v>
      </c>
      <c r="B1034" s="80" t="s">
        <v>9514</v>
      </c>
    </row>
    <row r="1035" spans="1:2" x14ac:dyDescent="0.25">
      <c r="A1035" s="81" t="s">
        <v>3276</v>
      </c>
      <c r="B1035" s="80" t="s">
        <v>9514</v>
      </c>
    </row>
    <row r="1036" spans="1:2" x14ac:dyDescent="0.25">
      <c r="A1036" s="81" t="s">
        <v>3277</v>
      </c>
      <c r="B1036" s="80" t="s">
        <v>9514</v>
      </c>
    </row>
    <row r="1037" spans="1:2" x14ac:dyDescent="0.25">
      <c r="A1037" s="81" t="s">
        <v>3278</v>
      </c>
      <c r="B1037" s="80" t="s">
        <v>9514</v>
      </c>
    </row>
    <row r="1038" spans="1:2" x14ac:dyDescent="0.25">
      <c r="A1038" s="81" t="s">
        <v>3279</v>
      </c>
      <c r="B1038" s="80" t="s">
        <v>9514</v>
      </c>
    </row>
    <row r="1039" spans="1:2" x14ac:dyDescent="0.25">
      <c r="A1039" s="81" t="s">
        <v>3280</v>
      </c>
      <c r="B1039" s="80" t="s">
        <v>9514</v>
      </c>
    </row>
    <row r="1040" spans="1:2" x14ac:dyDescent="0.25">
      <c r="A1040" s="81" t="s">
        <v>3281</v>
      </c>
      <c r="B1040" s="80" t="s">
        <v>9514</v>
      </c>
    </row>
    <row r="1041" spans="1:2" x14ac:dyDescent="0.25">
      <c r="A1041" s="81" t="s">
        <v>3282</v>
      </c>
      <c r="B1041" s="80" t="s">
        <v>9514</v>
      </c>
    </row>
    <row r="1042" spans="1:2" x14ac:dyDescent="0.25">
      <c r="A1042" s="81" t="s">
        <v>3283</v>
      </c>
      <c r="B1042" s="80" t="s">
        <v>9514</v>
      </c>
    </row>
    <row r="1043" spans="1:2" x14ac:dyDescent="0.25">
      <c r="A1043" s="81" t="s">
        <v>3284</v>
      </c>
      <c r="B1043" s="80" t="s">
        <v>9514</v>
      </c>
    </row>
    <row r="1044" spans="1:2" x14ac:dyDescent="0.25">
      <c r="A1044" s="81" t="s">
        <v>3285</v>
      </c>
      <c r="B1044" s="80" t="s">
        <v>9514</v>
      </c>
    </row>
    <row r="1045" spans="1:2" x14ac:dyDescent="0.25">
      <c r="A1045" s="81" t="s">
        <v>3286</v>
      </c>
      <c r="B1045" s="80" t="s">
        <v>9514</v>
      </c>
    </row>
    <row r="1046" spans="1:2" x14ac:dyDescent="0.25">
      <c r="A1046" s="81" t="s">
        <v>3287</v>
      </c>
      <c r="B1046" s="80" t="s">
        <v>9514</v>
      </c>
    </row>
    <row r="1047" spans="1:2" x14ac:dyDescent="0.25">
      <c r="A1047" s="81" t="s">
        <v>3288</v>
      </c>
      <c r="B1047" s="80" t="s">
        <v>9514</v>
      </c>
    </row>
    <row r="1048" spans="1:2" x14ac:dyDescent="0.25">
      <c r="A1048" s="81" t="s">
        <v>3289</v>
      </c>
      <c r="B1048" s="80" t="s">
        <v>9514</v>
      </c>
    </row>
    <row r="1049" spans="1:2" x14ac:dyDescent="0.25">
      <c r="A1049" s="81" t="s">
        <v>3290</v>
      </c>
      <c r="B1049" s="80" t="s">
        <v>9514</v>
      </c>
    </row>
    <row r="1050" spans="1:2" x14ac:dyDescent="0.25">
      <c r="A1050" s="81" t="s">
        <v>3291</v>
      </c>
      <c r="B1050" s="80" t="s">
        <v>9514</v>
      </c>
    </row>
    <row r="1051" spans="1:2" x14ac:dyDescent="0.25">
      <c r="A1051" s="81" t="s">
        <v>1740</v>
      </c>
      <c r="B1051" s="80" t="s">
        <v>9514</v>
      </c>
    </row>
    <row r="1052" spans="1:2" x14ac:dyDescent="0.25">
      <c r="A1052" s="81" t="s">
        <v>3292</v>
      </c>
      <c r="B1052" s="80" t="s">
        <v>9514</v>
      </c>
    </row>
    <row r="1053" spans="1:2" x14ac:dyDescent="0.25">
      <c r="A1053" s="81" t="s">
        <v>3293</v>
      </c>
      <c r="B1053" s="80" t="s">
        <v>9514</v>
      </c>
    </row>
    <row r="1054" spans="1:2" x14ac:dyDescent="0.25">
      <c r="A1054" s="81" t="s">
        <v>3294</v>
      </c>
      <c r="B1054" s="80" t="s">
        <v>9514</v>
      </c>
    </row>
    <row r="1055" spans="1:2" x14ac:dyDescent="0.25">
      <c r="A1055" s="81" t="s">
        <v>3295</v>
      </c>
      <c r="B1055" s="80" t="s">
        <v>9514</v>
      </c>
    </row>
    <row r="1056" spans="1:2" x14ac:dyDescent="0.25">
      <c r="A1056" s="81" t="s">
        <v>3296</v>
      </c>
      <c r="B1056" s="80" t="s">
        <v>9514</v>
      </c>
    </row>
    <row r="1057" spans="1:2" x14ac:dyDescent="0.25">
      <c r="A1057" s="81" t="s">
        <v>3297</v>
      </c>
      <c r="B1057" s="80" t="s">
        <v>9514</v>
      </c>
    </row>
    <row r="1058" spans="1:2" x14ac:dyDescent="0.25">
      <c r="A1058" s="81" t="s">
        <v>3298</v>
      </c>
      <c r="B1058" s="80" t="s">
        <v>9514</v>
      </c>
    </row>
    <row r="1059" spans="1:2" x14ac:dyDescent="0.25">
      <c r="A1059" s="81" t="s">
        <v>3299</v>
      </c>
      <c r="B1059" s="80" t="s">
        <v>9514</v>
      </c>
    </row>
    <row r="1060" spans="1:2" x14ac:dyDescent="0.25">
      <c r="A1060" s="81" t="s">
        <v>3300</v>
      </c>
      <c r="B1060" s="80" t="s">
        <v>9514</v>
      </c>
    </row>
    <row r="1061" spans="1:2" x14ac:dyDescent="0.25">
      <c r="A1061" s="81" t="s">
        <v>3301</v>
      </c>
      <c r="B1061" s="80" t="s">
        <v>9514</v>
      </c>
    </row>
    <row r="1062" spans="1:2" x14ac:dyDescent="0.25">
      <c r="A1062" s="81" t="s">
        <v>3302</v>
      </c>
      <c r="B1062" s="80" t="s">
        <v>9514</v>
      </c>
    </row>
    <row r="1063" spans="1:2" x14ac:dyDescent="0.25">
      <c r="A1063" s="81" t="s">
        <v>3303</v>
      </c>
      <c r="B1063" s="80" t="s">
        <v>9514</v>
      </c>
    </row>
    <row r="1064" spans="1:2" x14ac:dyDescent="0.25">
      <c r="A1064" s="81" t="s">
        <v>3304</v>
      </c>
      <c r="B1064" s="80" t="s">
        <v>9514</v>
      </c>
    </row>
    <row r="1065" spans="1:2" x14ac:dyDescent="0.25">
      <c r="A1065" s="81" t="s">
        <v>3305</v>
      </c>
      <c r="B1065" s="80" t="s">
        <v>9514</v>
      </c>
    </row>
    <row r="1066" spans="1:2" x14ac:dyDescent="0.25">
      <c r="A1066" s="81" t="s">
        <v>3306</v>
      </c>
      <c r="B1066" s="80" t="s">
        <v>9514</v>
      </c>
    </row>
    <row r="1067" spans="1:2" x14ac:dyDescent="0.25">
      <c r="A1067" s="81" t="s">
        <v>3307</v>
      </c>
      <c r="B1067" s="80" t="s">
        <v>9514</v>
      </c>
    </row>
    <row r="1068" spans="1:2" x14ac:dyDescent="0.25">
      <c r="A1068" s="81" t="s">
        <v>3308</v>
      </c>
      <c r="B1068" s="80" t="s">
        <v>9514</v>
      </c>
    </row>
    <row r="1069" spans="1:2" x14ac:dyDescent="0.25">
      <c r="A1069" s="81" t="s">
        <v>3309</v>
      </c>
      <c r="B1069" s="80" t="s">
        <v>9514</v>
      </c>
    </row>
    <row r="1070" spans="1:2" x14ac:dyDescent="0.25">
      <c r="A1070" s="81" t="s">
        <v>3310</v>
      </c>
      <c r="B1070" s="80" t="s">
        <v>9514</v>
      </c>
    </row>
    <row r="1071" spans="1:2" x14ac:dyDescent="0.25">
      <c r="A1071" s="81" t="s">
        <v>3311</v>
      </c>
      <c r="B1071" s="80" t="s">
        <v>9514</v>
      </c>
    </row>
    <row r="1072" spans="1:2" x14ac:dyDescent="0.25">
      <c r="A1072" s="81" t="s">
        <v>3312</v>
      </c>
      <c r="B1072" s="80" t="s">
        <v>9514</v>
      </c>
    </row>
    <row r="1073" spans="1:2" x14ac:dyDescent="0.25">
      <c r="A1073" s="81" t="s">
        <v>3313</v>
      </c>
      <c r="B1073" s="80" t="s">
        <v>9514</v>
      </c>
    </row>
    <row r="1074" spans="1:2" x14ac:dyDescent="0.25">
      <c r="A1074" s="81" t="s">
        <v>3314</v>
      </c>
      <c r="B1074" s="80" t="s">
        <v>9514</v>
      </c>
    </row>
    <row r="1075" spans="1:2" x14ac:dyDescent="0.25">
      <c r="A1075" s="81" t="s">
        <v>3315</v>
      </c>
      <c r="B1075" s="80" t="s">
        <v>9514</v>
      </c>
    </row>
    <row r="1076" spans="1:2" x14ac:dyDescent="0.25">
      <c r="A1076" s="81" t="s">
        <v>3316</v>
      </c>
      <c r="B1076" s="80" t="s">
        <v>9514</v>
      </c>
    </row>
    <row r="1077" spans="1:2" x14ac:dyDescent="0.25">
      <c r="A1077" s="81" t="s">
        <v>3317</v>
      </c>
      <c r="B1077" s="80" t="s">
        <v>9514</v>
      </c>
    </row>
    <row r="1078" spans="1:2" x14ac:dyDescent="0.25">
      <c r="A1078" s="81" t="s">
        <v>3318</v>
      </c>
      <c r="B1078" s="80" t="s">
        <v>9514</v>
      </c>
    </row>
    <row r="1079" spans="1:2" x14ac:dyDescent="0.25">
      <c r="A1079" s="81" t="s">
        <v>3319</v>
      </c>
      <c r="B1079" s="80" t="s">
        <v>9514</v>
      </c>
    </row>
    <row r="1080" spans="1:2" x14ac:dyDescent="0.25">
      <c r="A1080" s="81" t="s">
        <v>3320</v>
      </c>
      <c r="B1080" s="80" t="s">
        <v>9514</v>
      </c>
    </row>
    <row r="1081" spans="1:2" x14ac:dyDescent="0.25">
      <c r="A1081" s="81" t="s">
        <v>3321</v>
      </c>
      <c r="B1081" s="80" t="s">
        <v>9514</v>
      </c>
    </row>
    <row r="1082" spans="1:2" x14ac:dyDescent="0.25">
      <c r="A1082" s="81" t="s">
        <v>3322</v>
      </c>
      <c r="B1082" s="80" t="s">
        <v>9514</v>
      </c>
    </row>
    <row r="1083" spans="1:2" x14ac:dyDescent="0.25">
      <c r="A1083" s="81" t="s">
        <v>3323</v>
      </c>
      <c r="B1083" s="80" t="s">
        <v>9514</v>
      </c>
    </row>
    <row r="1084" spans="1:2" x14ac:dyDescent="0.25">
      <c r="A1084" s="81" t="s">
        <v>3324</v>
      </c>
      <c r="B1084" s="80" t="s">
        <v>9514</v>
      </c>
    </row>
    <row r="1085" spans="1:2" x14ac:dyDescent="0.25">
      <c r="A1085" s="81" t="s">
        <v>3325</v>
      </c>
      <c r="B1085" s="80" t="s">
        <v>9514</v>
      </c>
    </row>
    <row r="1086" spans="1:2" x14ac:dyDescent="0.25">
      <c r="A1086" s="81" t="s">
        <v>3326</v>
      </c>
      <c r="B1086" s="80" t="s">
        <v>9514</v>
      </c>
    </row>
    <row r="1087" spans="1:2" x14ac:dyDescent="0.25">
      <c r="A1087" s="81" t="s">
        <v>3327</v>
      </c>
      <c r="B1087" s="80" t="s">
        <v>9514</v>
      </c>
    </row>
    <row r="1088" spans="1:2" x14ac:dyDescent="0.25">
      <c r="A1088" s="81" t="s">
        <v>3328</v>
      </c>
      <c r="B1088" s="80" t="s">
        <v>9514</v>
      </c>
    </row>
    <row r="1089" spans="1:2" x14ac:dyDescent="0.25">
      <c r="A1089" s="81" t="s">
        <v>3329</v>
      </c>
      <c r="B1089" s="80" t="s">
        <v>9514</v>
      </c>
    </row>
    <row r="1090" spans="1:2" x14ac:dyDescent="0.25">
      <c r="A1090" s="81" t="s">
        <v>3330</v>
      </c>
      <c r="B1090" s="80" t="s">
        <v>9514</v>
      </c>
    </row>
    <row r="1091" spans="1:2" x14ac:dyDescent="0.25">
      <c r="A1091" s="81" t="s">
        <v>3331</v>
      </c>
      <c r="B1091" s="80" t="s">
        <v>9514</v>
      </c>
    </row>
    <row r="1092" spans="1:2" x14ac:dyDescent="0.25">
      <c r="A1092" s="81" t="s">
        <v>3332</v>
      </c>
      <c r="B1092" s="80" t="s">
        <v>9514</v>
      </c>
    </row>
    <row r="1093" spans="1:2" x14ac:dyDescent="0.25">
      <c r="A1093" s="81" t="s">
        <v>3333</v>
      </c>
      <c r="B1093" s="80" t="s">
        <v>9514</v>
      </c>
    </row>
    <row r="1094" spans="1:2" x14ac:dyDescent="0.25">
      <c r="A1094" s="81" t="s">
        <v>3334</v>
      </c>
      <c r="B1094" s="80" t="s">
        <v>9514</v>
      </c>
    </row>
    <row r="1095" spans="1:2" x14ac:dyDescent="0.25">
      <c r="A1095" s="81" t="s">
        <v>3335</v>
      </c>
      <c r="B1095" s="80" t="s">
        <v>9514</v>
      </c>
    </row>
    <row r="1096" spans="1:2" x14ac:dyDescent="0.25">
      <c r="A1096" s="81" t="s">
        <v>3336</v>
      </c>
      <c r="B1096" s="80" t="s">
        <v>9514</v>
      </c>
    </row>
    <row r="1097" spans="1:2" x14ac:dyDescent="0.25">
      <c r="A1097" s="81" t="s">
        <v>3337</v>
      </c>
      <c r="B1097" s="80" t="s">
        <v>9514</v>
      </c>
    </row>
    <row r="1098" spans="1:2" x14ac:dyDescent="0.25">
      <c r="A1098" s="81" t="s">
        <v>3338</v>
      </c>
      <c r="B1098" s="80" t="s">
        <v>9514</v>
      </c>
    </row>
    <row r="1099" spans="1:2" x14ac:dyDescent="0.25">
      <c r="A1099" s="81" t="s">
        <v>3339</v>
      </c>
      <c r="B1099" s="80" t="s">
        <v>9514</v>
      </c>
    </row>
    <row r="1100" spans="1:2" x14ac:dyDescent="0.25">
      <c r="A1100" s="81" t="s">
        <v>3340</v>
      </c>
      <c r="B1100" s="80" t="s">
        <v>9514</v>
      </c>
    </row>
    <row r="1101" spans="1:2" x14ac:dyDescent="0.25">
      <c r="A1101" s="81" t="s">
        <v>3341</v>
      </c>
      <c r="B1101" s="80" t="s">
        <v>9514</v>
      </c>
    </row>
    <row r="1102" spans="1:2" x14ac:dyDescent="0.25">
      <c r="A1102" s="81" t="s">
        <v>3342</v>
      </c>
      <c r="B1102" s="80" t="s">
        <v>9514</v>
      </c>
    </row>
    <row r="1103" spans="1:2" x14ac:dyDescent="0.25">
      <c r="A1103" s="81" t="s">
        <v>3343</v>
      </c>
      <c r="B1103" s="80" t="s">
        <v>9514</v>
      </c>
    </row>
    <row r="1104" spans="1:2" x14ac:dyDescent="0.25">
      <c r="A1104" s="81" t="s">
        <v>3344</v>
      </c>
      <c r="B1104" s="80" t="s">
        <v>9514</v>
      </c>
    </row>
    <row r="1105" spans="1:2" x14ac:dyDescent="0.25">
      <c r="A1105" s="81" t="s">
        <v>3345</v>
      </c>
      <c r="B1105" s="80" t="s">
        <v>9514</v>
      </c>
    </row>
    <row r="1106" spans="1:2" x14ac:dyDescent="0.25">
      <c r="A1106" s="81" t="s">
        <v>3346</v>
      </c>
      <c r="B1106" s="80" t="s">
        <v>9514</v>
      </c>
    </row>
    <row r="1107" spans="1:2" x14ac:dyDescent="0.25">
      <c r="A1107" s="81" t="s">
        <v>3347</v>
      </c>
      <c r="B1107" s="80" t="s">
        <v>9514</v>
      </c>
    </row>
    <row r="1108" spans="1:2" x14ac:dyDescent="0.25">
      <c r="A1108" s="81" t="s">
        <v>3348</v>
      </c>
      <c r="B1108" s="80" t="s">
        <v>9514</v>
      </c>
    </row>
    <row r="1109" spans="1:2" x14ac:dyDescent="0.25">
      <c r="A1109" s="81" t="s">
        <v>3349</v>
      </c>
      <c r="B1109" s="80" t="s">
        <v>9514</v>
      </c>
    </row>
    <row r="1110" spans="1:2" x14ac:dyDescent="0.25">
      <c r="A1110" s="81" t="s">
        <v>3350</v>
      </c>
      <c r="B1110" s="80" t="s">
        <v>9514</v>
      </c>
    </row>
    <row r="1111" spans="1:2" x14ac:dyDescent="0.25">
      <c r="A1111" s="81" t="s">
        <v>3351</v>
      </c>
      <c r="B1111" s="80" t="s">
        <v>9514</v>
      </c>
    </row>
    <row r="1112" spans="1:2" x14ac:dyDescent="0.25">
      <c r="A1112" s="81" t="s">
        <v>3352</v>
      </c>
      <c r="B1112" s="80" t="s">
        <v>9514</v>
      </c>
    </row>
    <row r="1113" spans="1:2" x14ac:dyDescent="0.25">
      <c r="A1113" s="81" t="s">
        <v>3353</v>
      </c>
      <c r="B1113" s="80" t="s">
        <v>9514</v>
      </c>
    </row>
    <row r="1114" spans="1:2" x14ac:dyDescent="0.25">
      <c r="A1114" s="81" t="s">
        <v>3354</v>
      </c>
      <c r="B1114" s="80" t="s">
        <v>9514</v>
      </c>
    </row>
    <row r="1115" spans="1:2" x14ac:dyDescent="0.25">
      <c r="A1115" s="81" t="s">
        <v>3355</v>
      </c>
      <c r="B1115" s="80" t="s">
        <v>9514</v>
      </c>
    </row>
    <row r="1116" spans="1:2" x14ac:dyDescent="0.25">
      <c r="A1116" s="81" t="s">
        <v>3356</v>
      </c>
      <c r="B1116" s="80" t="s">
        <v>9514</v>
      </c>
    </row>
    <row r="1117" spans="1:2" x14ac:dyDescent="0.25">
      <c r="A1117" s="81" t="s">
        <v>3357</v>
      </c>
      <c r="B1117" s="80" t="s">
        <v>9514</v>
      </c>
    </row>
    <row r="1118" spans="1:2" x14ac:dyDescent="0.25">
      <c r="A1118" s="81" t="s">
        <v>3358</v>
      </c>
      <c r="B1118" s="80" t="s">
        <v>9514</v>
      </c>
    </row>
    <row r="1119" spans="1:2" x14ac:dyDescent="0.25">
      <c r="A1119" s="81" t="s">
        <v>3359</v>
      </c>
      <c r="B1119" s="80" t="s">
        <v>9514</v>
      </c>
    </row>
    <row r="1120" spans="1:2" x14ac:dyDescent="0.25">
      <c r="A1120" s="81" t="s">
        <v>3360</v>
      </c>
      <c r="B1120" s="80" t="s">
        <v>9514</v>
      </c>
    </row>
    <row r="1121" spans="1:2" x14ac:dyDescent="0.25">
      <c r="A1121" s="81" t="s">
        <v>3361</v>
      </c>
      <c r="B1121" s="80" t="s">
        <v>9514</v>
      </c>
    </row>
    <row r="1122" spans="1:2" x14ac:dyDescent="0.25">
      <c r="A1122" s="81" t="s">
        <v>3362</v>
      </c>
      <c r="B1122" s="80" t="s">
        <v>9514</v>
      </c>
    </row>
    <row r="1123" spans="1:2" x14ac:dyDescent="0.25">
      <c r="A1123" s="81" t="s">
        <v>3363</v>
      </c>
      <c r="B1123" s="80" t="s">
        <v>9514</v>
      </c>
    </row>
    <row r="1124" spans="1:2" x14ac:dyDescent="0.25">
      <c r="A1124" s="81" t="s">
        <v>3364</v>
      </c>
      <c r="B1124" s="80" t="s">
        <v>9514</v>
      </c>
    </row>
    <row r="1125" spans="1:2" x14ac:dyDescent="0.25">
      <c r="A1125" s="81" t="s">
        <v>3365</v>
      </c>
      <c r="B1125" s="80" t="s">
        <v>9514</v>
      </c>
    </row>
    <row r="1126" spans="1:2" x14ac:dyDescent="0.25">
      <c r="A1126" s="81" t="s">
        <v>3366</v>
      </c>
      <c r="B1126" s="80" t="s">
        <v>9514</v>
      </c>
    </row>
    <row r="1127" spans="1:2" x14ac:dyDescent="0.25">
      <c r="A1127" s="81" t="s">
        <v>3367</v>
      </c>
      <c r="B1127" s="80" t="s">
        <v>9514</v>
      </c>
    </row>
    <row r="1128" spans="1:2" x14ac:dyDescent="0.25">
      <c r="A1128" s="81" t="s">
        <v>3368</v>
      </c>
      <c r="B1128" s="80" t="s">
        <v>9514</v>
      </c>
    </row>
    <row r="1129" spans="1:2" x14ac:dyDescent="0.25">
      <c r="A1129" s="81" t="s">
        <v>3369</v>
      </c>
      <c r="B1129" s="80" t="s">
        <v>9514</v>
      </c>
    </row>
    <row r="1130" spans="1:2" x14ac:dyDescent="0.25">
      <c r="A1130" s="81" t="s">
        <v>3370</v>
      </c>
      <c r="B1130" s="80" t="s">
        <v>9514</v>
      </c>
    </row>
    <row r="1131" spans="1:2" x14ac:dyDescent="0.25">
      <c r="A1131" s="81" t="s">
        <v>3371</v>
      </c>
      <c r="B1131" s="80" t="s">
        <v>9514</v>
      </c>
    </row>
    <row r="1132" spans="1:2" x14ac:dyDescent="0.25">
      <c r="A1132" s="81" t="s">
        <v>3372</v>
      </c>
      <c r="B1132" s="80" t="s">
        <v>9514</v>
      </c>
    </row>
    <row r="1133" spans="1:2" x14ac:dyDescent="0.25">
      <c r="A1133" s="81" t="s">
        <v>3373</v>
      </c>
      <c r="B1133" s="80" t="s">
        <v>9514</v>
      </c>
    </row>
    <row r="1134" spans="1:2" x14ac:dyDescent="0.25">
      <c r="A1134" s="81" t="s">
        <v>3374</v>
      </c>
      <c r="B1134" s="80" t="s">
        <v>9514</v>
      </c>
    </row>
    <row r="1135" spans="1:2" x14ac:dyDescent="0.25">
      <c r="A1135" s="81" t="s">
        <v>3375</v>
      </c>
      <c r="B1135" s="80" t="s">
        <v>9514</v>
      </c>
    </row>
    <row r="1136" spans="1:2" x14ac:dyDescent="0.25">
      <c r="A1136" s="81" t="s">
        <v>3376</v>
      </c>
      <c r="B1136" s="80" t="s">
        <v>9514</v>
      </c>
    </row>
    <row r="1137" spans="1:2" x14ac:dyDescent="0.25">
      <c r="A1137" s="81" t="s">
        <v>3377</v>
      </c>
      <c r="B1137" s="80" t="s">
        <v>9514</v>
      </c>
    </row>
    <row r="1138" spans="1:2" x14ac:dyDescent="0.25">
      <c r="A1138" s="81" t="s">
        <v>3378</v>
      </c>
      <c r="B1138" s="80" t="s">
        <v>9514</v>
      </c>
    </row>
    <row r="1139" spans="1:2" x14ac:dyDescent="0.25">
      <c r="A1139" s="81" t="s">
        <v>3379</v>
      </c>
      <c r="B1139" s="80" t="s">
        <v>9514</v>
      </c>
    </row>
    <row r="1140" spans="1:2" x14ac:dyDescent="0.25">
      <c r="A1140" s="81" t="s">
        <v>3380</v>
      </c>
      <c r="B1140" s="80" t="s">
        <v>9514</v>
      </c>
    </row>
    <row r="1141" spans="1:2" x14ac:dyDescent="0.25">
      <c r="A1141" s="81" t="s">
        <v>3381</v>
      </c>
      <c r="B1141" s="80" t="s">
        <v>9514</v>
      </c>
    </row>
    <row r="1142" spans="1:2" x14ac:dyDescent="0.25">
      <c r="A1142" s="81" t="s">
        <v>3382</v>
      </c>
      <c r="B1142" s="80" t="s">
        <v>9514</v>
      </c>
    </row>
    <row r="1143" spans="1:2" x14ac:dyDescent="0.25">
      <c r="A1143" s="81" t="s">
        <v>3383</v>
      </c>
      <c r="B1143" s="80" t="s">
        <v>9514</v>
      </c>
    </row>
    <row r="1144" spans="1:2" x14ac:dyDescent="0.25">
      <c r="A1144" s="81" t="s">
        <v>3384</v>
      </c>
      <c r="B1144" s="80" t="s">
        <v>9514</v>
      </c>
    </row>
    <row r="1145" spans="1:2" x14ac:dyDescent="0.25">
      <c r="A1145" s="81" t="s">
        <v>3385</v>
      </c>
      <c r="B1145" s="80" t="s">
        <v>9514</v>
      </c>
    </row>
    <row r="1146" spans="1:2" x14ac:dyDescent="0.25">
      <c r="A1146" s="81" t="s">
        <v>3386</v>
      </c>
      <c r="B1146" s="80" t="s">
        <v>9514</v>
      </c>
    </row>
    <row r="1147" spans="1:2" x14ac:dyDescent="0.25">
      <c r="A1147" s="81" t="s">
        <v>3387</v>
      </c>
      <c r="B1147" s="80" t="s">
        <v>9514</v>
      </c>
    </row>
    <row r="1148" spans="1:2" x14ac:dyDescent="0.25">
      <c r="A1148" s="81" t="s">
        <v>3388</v>
      </c>
      <c r="B1148" s="80" t="s">
        <v>9514</v>
      </c>
    </row>
    <row r="1149" spans="1:2" x14ac:dyDescent="0.25">
      <c r="A1149" s="81" t="s">
        <v>3389</v>
      </c>
      <c r="B1149" s="80" t="s">
        <v>9514</v>
      </c>
    </row>
    <row r="1150" spans="1:2" x14ac:dyDescent="0.25">
      <c r="A1150" s="81" t="s">
        <v>3390</v>
      </c>
      <c r="B1150" s="80" t="s">
        <v>9514</v>
      </c>
    </row>
    <row r="1151" spans="1:2" x14ac:dyDescent="0.25">
      <c r="A1151" s="81" t="s">
        <v>3391</v>
      </c>
      <c r="B1151" s="80" t="s">
        <v>9514</v>
      </c>
    </row>
    <row r="1152" spans="1:2" x14ac:dyDescent="0.25">
      <c r="A1152" s="81" t="s">
        <v>3392</v>
      </c>
      <c r="B1152" s="80" t="s">
        <v>9514</v>
      </c>
    </row>
    <row r="1153" spans="1:2" x14ac:dyDescent="0.25">
      <c r="A1153" s="81" t="s">
        <v>3393</v>
      </c>
      <c r="B1153" s="80" t="s">
        <v>9514</v>
      </c>
    </row>
    <row r="1154" spans="1:2" x14ac:dyDescent="0.25">
      <c r="A1154" s="81" t="s">
        <v>1886</v>
      </c>
      <c r="B1154" s="80" t="s">
        <v>9514</v>
      </c>
    </row>
    <row r="1155" spans="1:2" x14ac:dyDescent="0.25">
      <c r="A1155" s="81" t="s">
        <v>3394</v>
      </c>
      <c r="B1155" s="80" t="s">
        <v>9514</v>
      </c>
    </row>
    <row r="1156" spans="1:2" x14ac:dyDescent="0.25">
      <c r="A1156" s="81" t="s">
        <v>3395</v>
      </c>
      <c r="B1156" s="80" t="s">
        <v>9514</v>
      </c>
    </row>
    <row r="1157" spans="1:2" x14ac:dyDescent="0.25">
      <c r="A1157" s="81" t="s">
        <v>3396</v>
      </c>
      <c r="B1157" s="80" t="s">
        <v>9514</v>
      </c>
    </row>
    <row r="1158" spans="1:2" x14ac:dyDescent="0.25">
      <c r="A1158" s="81" t="s">
        <v>3397</v>
      </c>
      <c r="B1158" s="80" t="s">
        <v>9514</v>
      </c>
    </row>
    <row r="1159" spans="1:2" x14ac:dyDescent="0.25">
      <c r="A1159" s="81" t="s">
        <v>3398</v>
      </c>
      <c r="B1159" s="80" t="s">
        <v>9514</v>
      </c>
    </row>
    <row r="1160" spans="1:2" x14ac:dyDescent="0.25">
      <c r="A1160" s="81" t="s">
        <v>3399</v>
      </c>
      <c r="B1160" s="80" t="s">
        <v>9514</v>
      </c>
    </row>
    <row r="1161" spans="1:2" x14ac:dyDescent="0.25">
      <c r="A1161" s="81" t="s">
        <v>3400</v>
      </c>
      <c r="B1161" s="80" t="s">
        <v>9514</v>
      </c>
    </row>
    <row r="1162" spans="1:2" x14ac:dyDescent="0.25">
      <c r="A1162" s="81" t="s">
        <v>1898</v>
      </c>
      <c r="B1162" s="80" t="s">
        <v>9514</v>
      </c>
    </row>
    <row r="1163" spans="1:2" x14ac:dyDescent="0.25">
      <c r="A1163" s="81" t="s">
        <v>3401</v>
      </c>
      <c r="B1163" s="80" t="s">
        <v>9514</v>
      </c>
    </row>
    <row r="1164" spans="1:2" x14ac:dyDescent="0.25">
      <c r="A1164" s="81" t="s">
        <v>3402</v>
      </c>
      <c r="B1164" s="80" t="s">
        <v>9514</v>
      </c>
    </row>
    <row r="1165" spans="1:2" x14ac:dyDescent="0.25">
      <c r="A1165" s="81" t="s">
        <v>3403</v>
      </c>
      <c r="B1165" s="80" t="s">
        <v>9514</v>
      </c>
    </row>
    <row r="1166" spans="1:2" x14ac:dyDescent="0.25">
      <c r="A1166" s="81" t="s">
        <v>3404</v>
      </c>
      <c r="B1166" s="80" t="s">
        <v>9514</v>
      </c>
    </row>
    <row r="1167" spans="1:2" x14ac:dyDescent="0.25">
      <c r="A1167" s="81" t="s">
        <v>3405</v>
      </c>
      <c r="B1167" s="80" t="s">
        <v>9514</v>
      </c>
    </row>
    <row r="1168" spans="1:2" x14ac:dyDescent="0.25">
      <c r="A1168" s="81" t="s">
        <v>3406</v>
      </c>
      <c r="B1168" s="80" t="s">
        <v>9514</v>
      </c>
    </row>
    <row r="1169" spans="1:2" x14ac:dyDescent="0.25">
      <c r="A1169" s="81" t="s">
        <v>3407</v>
      </c>
      <c r="B1169" s="80" t="s">
        <v>9514</v>
      </c>
    </row>
    <row r="1170" spans="1:2" x14ac:dyDescent="0.25">
      <c r="A1170" s="81" t="s">
        <v>3408</v>
      </c>
      <c r="B1170" s="80" t="s">
        <v>9514</v>
      </c>
    </row>
    <row r="1171" spans="1:2" x14ac:dyDescent="0.25">
      <c r="A1171" s="81" t="s">
        <v>3409</v>
      </c>
      <c r="B1171" s="80" t="s">
        <v>9514</v>
      </c>
    </row>
    <row r="1172" spans="1:2" x14ac:dyDescent="0.25">
      <c r="A1172" s="81" t="s">
        <v>3410</v>
      </c>
      <c r="B1172" s="80" t="s">
        <v>9514</v>
      </c>
    </row>
    <row r="1173" spans="1:2" x14ac:dyDescent="0.25">
      <c r="A1173" s="81" t="s">
        <v>3411</v>
      </c>
      <c r="B1173" s="80" t="s">
        <v>9514</v>
      </c>
    </row>
    <row r="1174" spans="1:2" x14ac:dyDescent="0.25">
      <c r="A1174" s="81" t="s">
        <v>3412</v>
      </c>
      <c r="B1174" s="80" t="s">
        <v>9514</v>
      </c>
    </row>
    <row r="1175" spans="1:2" x14ac:dyDescent="0.25">
      <c r="A1175" s="81" t="s">
        <v>3413</v>
      </c>
      <c r="B1175" s="80" t="s">
        <v>9514</v>
      </c>
    </row>
    <row r="1176" spans="1:2" x14ac:dyDescent="0.25">
      <c r="A1176" s="81" t="s">
        <v>3414</v>
      </c>
      <c r="B1176" s="80" t="s">
        <v>9514</v>
      </c>
    </row>
    <row r="1177" spans="1:2" x14ac:dyDescent="0.25">
      <c r="A1177" s="81" t="s">
        <v>3415</v>
      </c>
      <c r="B1177" s="80" t="s">
        <v>9514</v>
      </c>
    </row>
    <row r="1178" spans="1:2" x14ac:dyDescent="0.25">
      <c r="A1178" s="81" t="s">
        <v>3416</v>
      </c>
      <c r="B1178" s="80" t="s">
        <v>9514</v>
      </c>
    </row>
    <row r="1179" spans="1:2" x14ac:dyDescent="0.25">
      <c r="A1179" s="81" t="s">
        <v>3417</v>
      </c>
      <c r="B1179" s="80" t="s">
        <v>9514</v>
      </c>
    </row>
    <row r="1180" spans="1:2" x14ac:dyDescent="0.25">
      <c r="A1180" s="81" t="s">
        <v>3418</v>
      </c>
      <c r="B1180" s="80" t="s">
        <v>9514</v>
      </c>
    </row>
    <row r="1181" spans="1:2" x14ac:dyDescent="0.25">
      <c r="A1181" s="81" t="s">
        <v>3419</v>
      </c>
      <c r="B1181" s="80" t="s">
        <v>9514</v>
      </c>
    </row>
    <row r="1182" spans="1:2" x14ac:dyDescent="0.25">
      <c r="A1182" s="81" t="s">
        <v>3420</v>
      </c>
      <c r="B1182" s="80" t="s">
        <v>9514</v>
      </c>
    </row>
    <row r="1183" spans="1:2" x14ac:dyDescent="0.25">
      <c r="A1183" s="81" t="s">
        <v>3421</v>
      </c>
      <c r="B1183" s="80" t="s">
        <v>9514</v>
      </c>
    </row>
    <row r="1184" spans="1:2" x14ac:dyDescent="0.25">
      <c r="A1184" s="81" t="s">
        <v>3422</v>
      </c>
      <c r="B1184" s="80" t="s">
        <v>9514</v>
      </c>
    </row>
    <row r="1185" spans="1:2" x14ac:dyDescent="0.25">
      <c r="A1185" s="81" t="s">
        <v>3423</v>
      </c>
      <c r="B1185" s="80" t="s">
        <v>9514</v>
      </c>
    </row>
    <row r="1186" spans="1:2" x14ac:dyDescent="0.25">
      <c r="A1186" s="81" t="s">
        <v>3424</v>
      </c>
      <c r="B1186" s="80" t="s">
        <v>9514</v>
      </c>
    </row>
    <row r="1187" spans="1:2" x14ac:dyDescent="0.25">
      <c r="A1187" s="81" t="s">
        <v>3425</v>
      </c>
      <c r="B1187" s="80" t="s">
        <v>9514</v>
      </c>
    </row>
    <row r="1188" spans="1:2" x14ac:dyDescent="0.25">
      <c r="A1188" s="81" t="s">
        <v>3426</v>
      </c>
      <c r="B1188" s="80" t="s">
        <v>9514</v>
      </c>
    </row>
    <row r="1189" spans="1:2" x14ac:dyDescent="0.25">
      <c r="A1189" s="81" t="s">
        <v>3427</v>
      </c>
      <c r="B1189" s="80" t="s">
        <v>9514</v>
      </c>
    </row>
    <row r="1190" spans="1:2" x14ac:dyDescent="0.25">
      <c r="A1190" s="81" t="s">
        <v>3428</v>
      </c>
      <c r="B1190" s="80" t="s">
        <v>9514</v>
      </c>
    </row>
    <row r="1191" spans="1:2" x14ac:dyDescent="0.25">
      <c r="A1191" s="81" t="s">
        <v>3429</v>
      </c>
      <c r="B1191" s="80" t="s">
        <v>9514</v>
      </c>
    </row>
    <row r="1192" spans="1:2" x14ac:dyDescent="0.25">
      <c r="A1192" s="81" t="s">
        <v>3430</v>
      </c>
      <c r="B1192" s="80" t="s">
        <v>9514</v>
      </c>
    </row>
    <row r="1193" spans="1:2" x14ac:dyDescent="0.25">
      <c r="A1193" s="81" t="s">
        <v>3431</v>
      </c>
      <c r="B1193" s="80" t="s">
        <v>9514</v>
      </c>
    </row>
    <row r="1194" spans="1:2" x14ac:dyDescent="0.25">
      <c r="A1194" s="81" t="s">
        <v>3432</v>
      </c>
      <c r="B1194" s="80" t="s">
        <v>9514</v>
      </c>
    </row>
    <row r="1195" spans="1:2" x14ac:dyDescent="0.25">
      <c r="A1195" s="81" t="s">
        <v>3433</v>
      </c>
      <c r="B1195" s="80" t="s">
        <v>9514</v>
      </c>
    </row>
    <row r="1196" spans="1:2" x14ac:dyDescent="0.25">
      <c r="A1196" s="81" t="s">
        <v>3434</v>
      </c>
      <c r="B1196" s="80" t="s">
        <v>9514</v>
      </c>
    </row>
    <row r="1197" spans="1:2" x14ac:dyDescent="0.25">
      <c r="A1197" s="81" t="s">
        <v>3435</v>
      </c>
      <c r="B1197" s="80" t="s">
        <v>9514</v>
      </c>
    </row>
    <row r="1198" spans="1:2" x14ac:dyDescent="0.25">
      <c r="A1198" s="81" t="s">
        <v>3436</v>
      </c>
      <c r="B1198" s="80" t="s">
        <v>9514</v>
      </c>
    </row>
    <row r="1199" spans="1:2" x14ac:dyDescent="0.25">
      <c r="A1199" s="81" t="s">
        <v>3437</v>
      </c>
      <c r="B1199" s="80" t="s">
        <v>9514</v>
      </c>
    </row>
    <row r="1200" spans="1:2" x14ac:dyDescent="0.25">
      <c r="A1200" s="81" t="s">
        <v>3438</v>
      </c>
      <c r="B1200" s="80" t="s">
        <v>9514</v>
      </c>
    </row>
    <row r="1201" spans="1:2" x14ac:dyDescent="0.25">
      <c r="A1201" s="81" t="s">
        <v>3439</v>
      </c>
      <c r="B1201" s="80" t="s">
        <v>9514</v>
      </c>
    </row>
    <row r="1202" spans="1:2" x14ac:dyDescent="0.25">
      <c r="A1202" s="81" t="s">
        <v>3440</v>
      </c>
      <c r="B1202" s="80" t="s">
        <v>9514</v>
      </c>
    </row>
    <row r="1203" spans="1:2" x14ac:dyDescent="0.25">
      <c r="A1203" s="81" t="s">
        <v>3441</v>
      </c>
      <c r="B1203" s="80" t="s">
        <v>9514</v>
      </c>
    </row>
    <row r="1204" spans="1:2" x14ac:dyDescent="0.25">
      <c r="A1204" s="81" t="s">
        <v>3442</v>
      </c>
      <c r="B1204" s="80" t="s">
        <v>9514</v>
      </c>
    </row>
    <row r="1205" spans="1:2" x14ac:dyDescent="0.25">
      <c r="A1205" s="81" t="s">
        <v>3443</v>
      </c>
      <c r="B1205" s="80" t="s">
        <v>9514</v>
      </c>
    </row>
    <row r="1206" spans="1:2" x14ac:dyDescent="0.25">
      <c r="A1206" s="81" t="s">
        <v>3444</v>
      </c>
      <c r="B1206" s="80" t="s">
        <v>9514</v>
      </c>
    </row>
    <row r="1207" spans="1:2" x14ac:dyDescent="0.25">
      <c r="A1207" s="81" t="s">
        <v>3445</v>
      </c>
      <c r="B1207" s="80" t="s">
        <v>9514</v>
      </c>
    </row>
    <row r="1208" spans="1:2" x14ac:dyDescent="0.25">
      <c r="A1208" s="81" t="s">
        <v>3446</v>
      </c>
      <c r="B1208" s="80" t="s">
        <v>9514</v>
      </c>
    </row>
    <row r="1209" spans="1:2" x14ac:dyDescent="0.25">
      <c r="A1209" s="81" t="s">
        <v>3447</v>
      </c>
      <c r="B1209" s="80" t="s">
        <v>9514</v>
      </c>
    </row>
    <row r="1210" spans="1:2" x14ac:dyDescent="0.25">
      <c r="A1210" s="81" t="s">
        <v>3448</v>
      </c>
      <c r="B1210" s="80" t="s">
        <v>9514</v>
      </c>
    </row>
    <row r="1211" spans="1:2" x14ac:dyDescent="0.25">
      <c r="A1211" s="81" t="s">
        <v>3449</v>
      </c>
      <c r="B1211" s="80" t="s">
        <v>9514</v>
      </c>
    </row>
    <row r="1212" spans="1:2" x14ac:dyDescent="0.25">
      <c r="A1212" s="81" t="s">
        <v>3450</v>
      </c>
      <c r="B1212" s="80" t="s">
        <v>9514</v>
      </c>
    </row>
    <row r="1213" spans="1:2" x14ac:dyDescent="0.25">
      <c r="A1213" s="81" t="s">
        <v>3451</v>
      </c>
      <c r="B1213" s="80" t="s">
        <v>9514</v>
      </c>
    </row>
    <row r="1214" spans="1:2" x14ac:dyDescent="0.25">
      <c r="A1214" s="81" t="s">
        <v>3452</v>
      </c>
      <c r="B1214" s="80" t="s">
        <v>9514</v>
      </c>
    </row>
    <row r="1215" spans="1:2" x14ac:dyDescent="0.25">
      <c r="A1215" s="81" t="s">
        <v>3453</v>
      </c>
      <c r="B1215" s="80" t="s">
        <v>9514</v>
      </c>
    </row>
    <row r="1216" spans="1:2" x14ac:dyDescent="0.25">
      <c r="A1216" s="81" t="s">
        <v>3454</v>
      </c>
      <c r="B1216" s="80" t="s">
        <v>9514</v>
      </c>
    </row>
    <row r="1217" spans="1:2" x14ac:dyDescent="0.25">
      <c r="A1217" s="81" t="s">
        <v>3455</v>
      </c>
      <c r="B1217" s="80" t="s">
        <v>9514</v>
      </c>
    </row>
    <row r="1218" spans="1:2" x14ac:dyDescent="0.25">
      <c r="A1218" s="81" t="s">
        <v>3456</v>
      </c>
      <c r="B1218" s="80" t="s">
        <v>9514</v>
      </c>
    </row>
    <row r="1219" spans="1:2" x14ac:dyDescent="0.25">
      <c r="A1219" s="81" t="s">
        <v>3457</v>
      </c>
      <c r="B1219" s="80" t="s">
        <v>9514</v>
      </c>
    </row>
    <row r="1220" spans="1:2" x14ac:dyDescent="0.25">
      <c r="A1220" s="81" t="s">
        <v>3458</v>
      </c>
      <c r="B1220" s="80" t="s">
        <v>9514</v>
      </c>
    </row>
    <row r="1221" spans="1:2" x14ac:dyDescent="0.25">
      <c r="A1221" s="81" t="s">
        <v>3459</v>
      </c>
      <c r="B1221" s="80" t="s">
        <v>9514</v>
      </c>
    </row>
    <row r="1222" spans="1:2" x14ac:dyDescent="0.25">
      <c r="A1222" s="81" t="s">
        <v>3460</v>
      </c>
      <c r="B1222" s="80" t="s">
        <v>9514</v>
      </c>
    </row>
    <row r="1223" spans="1:2" x14ac:dyDescent="0.25">
      <c r="A1223" s="81" t="s">
        <v>3461</v>
      </c>
      <c r="B1223" s="80" t="s">
        <v>9514</v>
      </c>
    </row>
    <row r="1224" spans="1:2" x14ac:dyDescent="0.25">
      <c r="A1224" s="81" t="s">
        <v>3462</v>
      </c>
      <c r="B1224" s="80" t="s">
        <v>9514</v>
      </c>
    </row>
    <row r="1225" spans="1:2" x14ac:dyDescent="0.25">
      <c r="A1225" s="81" t="s">
        <v>3463</v>
      </c>
      <c r="B1225" s="80" t="s">
        <v>9514</v>
      </c>
    </row>
    <row r="1226" spans="1:2" x14ac:dyDescent="0.25">
      <c r="A1226" s="81" t="s">
        <v>3464</v>
      </c>
      <c r="B1226" s="80" t="s">
        <v>9514</v>
      </c>
    </row>
    <row r="1227" spans="1:2" x14ac:dyDescent="0.25">
      <c r="A1227" s="81" t="s">
        <v>3465</v>
      </c>
      <c r="B1227" s="80" t="s">
        <v>9514</v>
      </c>
    </row>
    <row r="1228" spans="1:2" x14ac:dyDescent="0.25">
      <c r="A1228" s="81" t="s">
        <v>3466</v>
      </c>
      <c r="B1228" s="80" t="s">
        <v>9514</v>
      </c>
    </row>
    <row r="1229" spans="1:2" x14ac:dyDescent="0.25">
      <c r="A1229" s="81" t="s">
        <v>3467</v>
      </c>
      <c r="B1229" s="80" t="s">
        <v>9514</v>
      </c>
    </row>
    <row r="1230" spans="1:2" x14ac:dyDescent="0.25">
      <c r="A1230" s="81" t="s">
        <v>3468</v>
      </c>
      <c r="B1230" s="80" t="s">
        <v>9514</v>
      </c>
    </row>
    <row r="1231" spans="1:2" x14ac:dyDescent="0.25">
      <c r="A1231" s="81" t="s">
        <v>3469</v>
      </c>
      <c r="B1231" s="80" t="s">
        <v>9514</v>
      </c>
    </row>
    <row r="1232" spans="1:2" x14ac:dyDescent="0.25">
      <c r="A1232" s="81" t="s">
        <v>3470</v>
      </c>
      <c r="B1232" s="80" t="s">
        <v>9514</v>
      </c>
    </row>
    <row r="1233" spans="1:2" x14ac:dyDescent="0.25">
      <c r="A1233" s="81" t="s">
        <v>3471</v>
      </c>
      <c r="B1233" s="80" t="s">
        <v>9514</v>
      </c>
    </row>
    <row r="1234" spans="1:2" x14ac:dyDescent="0.25">
      <c r="A1234" s="81" t="s">
        <v>3472</v>
      </c>
      <c r="B1234" s="80" t="s">
        <v>9514</v>
      </c>
    </row>
    <row r="1235" spans="1:2" x14ac:dyDescent="0.25">
      <c r="A1235" s="81" t="s">
        <v>3473</v>
      </c>
      <c r="B1235" s="80" t="s">
        <v>9514</v>
      </c>
    </row>
    <row r="1236" spans="1:2" x14ac:dyDescent="0.25">
      <c r="A1236" s="81" t="s">
        <v>3474</v>
      </c>
      <c r="B1236" s="80" t="s">
        <v>9514</v>
      </c>
    </row>
    <row r="1237" spans="1:2" x14ac:dyDescent="0.25">
      <c r="A1237" s="81" t="s">
        <v>3475</v>
      </c>
      <c r="B1237" s="80" t="s">
        <v>9514</v>
      </c>
    </row>
    <row r="1238" spans="1:2" x14ac:dyDescent="0.25">
      <c r="A1238" s="81" t="s">
        <v>3476</v>
      </c>
      <c r="B1238" s="80" t="s">
        <v>9514</v>
      </c>
    </row>
    <row r="1239" spans="1:2" x14ac:dyDescent="0.25">
      <c r="A1239" s="81" t="s">
        <v>3477</v>
      </c>
      <c r="B1239" s="80" t="s">
        <v>9514</v>
      </c>
    </row>
    <row r="1240" spans="1:2" x14ac:dyDescent="0.25">
      <c r="A1240" s="81" t="s">
        <v>3478</v>
      </c>
      <c r="B1240" s="80" t="s">
        <v>9514</v>
      </c>
    </row>
    <row r="1241" spans="1:2" x14ac:dyDescent="0.25">
      <c r="A1241" s="81" t="s">
        <v>3479</v>
      </c>
      <c r="B1241" s="80" t="s">
        <v>9514</v>
      </c>
    </row>
    <row r="1242" spans="1:2" x14ac:dyDescent="0.25">
      <c r="A1242" s="81" t="s">
        <v>3480</v>
      </c>
      <c r="B1242" s="80" t="s">
        <v>9514</v>
      </c>
    </row>
    <row r="1243" spans="1:2" x14ac:dyDescent="0.25">
      <c r="A1243" s="81" t="s">
        <v>3481</v>
      </c>
      <c r="B1243" s="80" t="s">
        <v>9514</v>
      </c>
    </row>
    <row r="1244" spans="1:2" x14ac:dyDescent="0.25">
      <c r="A1244" s="81" t="s">
        <v>3482</v>
      </c>
      <c r="B1244" s="80" t="s">
        <v>9514</v>
      </c>
    </row>
    <row r="1245" spans="1:2" x14ac:dyDescent="0.25">
      <c r="A1245" s="81" t="s">
        <v>3483</v>
      </c>
      <c r="B1245" s="80" t="s">
        <v>9514</v>
      </c>
    </row>
    <row r="1246" spans="1:2" x14ac:dyDescent="0.25">
      <c r="A1246" s="81" t="s">
        <v>3484</v>
      </c>
      <c r="B1246" s="80" t="s">
        <v>9514</v>
      </c>
    </row>
    <row r="1247" spans="1:2" x14ac:dyDescent="0.25">
      <c r="A1247" s="81" t="s">
        <v>3485</v>
      </c>
      <c r="B1247" s="80" t="s">
        <v>9514</v>
      </c>
    </row>
    <row r="1248" spans="1:2" x14ac:dyDescent="0.25">
      <c r="A1248" s="81" t="s">
        <v>3486</v>
      </c>
      <c r="B1248" s="80" t="s">
        <v>9514</v>
      </c>
    </row>
    <row r="1249" spans="1:2" x14ac:dyDescent="0.25">
      <c r="A1249" s="81" t="s">
        <v>3487</v>
      </c>
      <c r="B1249" s="80" t="s">
        <v>9514</v>
      </c>
    </row>
    <row r="1250" spans="1:2" x14ac:dyDescent="0.25">
      <c r="A1250" s="81" t="s">
        <v>3488</v>
      </c>
      <c r="B1250" s="80" t="s">
        <v>9514</v>
      </c>
    </row>
    <row r="1251" spans="1:2" x14ac:dyDescent="0.25">
      <c r="A1251" s="81" t="s">
        <v>3489</v>
      </c>
      <c r="B1251" s="80" t="s">
        <v>9514</v>
      </c>
    </row>
    <row r="1252" spans="1:2" x14ac:dyDescent="0.25">
      <c r="A1252" s="81" t="s">
        <v>3490</v>
      </c>
      <c r="B1252" s="80" t="s">
        <v>9514</v>
      </c>
    </row>
    <row r="1253" spans="1:2" x14ac:dyDescent="0.25">
      <c r="A1253" s="81" t="s">
        <v>3491</v>
      </c>
      <c r="B1253" s="80" t="s">
        <v>9514</v>
      </c>
    </row>
    <row r="1254" spans="1:2" x14ac:dyDescent="0.25">
      <c r="A1254" s="81" t="s">
        <v>3492</v>
      </c>
      <c r="B1254" s="80" t="s">
        <v>9514</v>
      </c>
    </row>
    <row r="1255" spans="1:2" x14ac:dyDescent="0.25">
      <c r="A1255" s="81" t="s">
        <v>3493</v>
      </c>
      <c r="B1255" s="80" t="s">
        <v>9514</v>
      </c>
    </row>
    <row r="1256" spans="1:2" x14ac:dyDescent="0.25">
      <c r="A1256" s="81" t="s">
        <v>3494</v>
      </c>
      <c r="B1256" s="80" t="s">
        <v>9514</v>
      </c>
    </row>
    <row r="1257" spans="1:2" x14ac:dyDescent="0.25">
      <c r="A1257" s="81" t="s">
        <v>3495</v>
      </c>
      <c r="B1257" s="80" t="s">
        <v>9514</v>
      </c>
    </row>
    <row r="1258" spans="1:2" x14ac:dyDescent="0.25">
      <c r="A1258" s="81" t="s">
        <v>3496</v>
      </c>
      <c r="B1258" s="80" t="s">
        <v>9514</v>
      </c>
    </row>
    <row r="1259" spans="1:2" x14ac:dyDescent="0.25">
      <c r="A1259" s="81" t="s">
        <v>3497</v>
      </c>
      <c r="B1259" s="80" t="s">
        <v>9514</v>
      </c>
    </row>
    <row r="1260" spans="1:2" x14ac:dyDescent="0.25">
      <c r="A1260" s="81" t="s">
        <v>3498</v>
      </c>
      <c r="B1260" s="80" t="s">
        <v>9514</v>
      </c>
    </row>
    <row r="1261" spans="1:2" x14ac:dyDescent="0.25">
      <c r="A1261" s="81" t="s">
        <v>3499</v>
      </c>
      <c r="B1261" s="80" t="s">
        <v>9514</v>
      </c>
    </row>
    <row r="1262" spans="1:2" x14ac:dyDescent="0.25">
      <c r="A1262" s="81" t="s">
        <v>3500</v>
      </c>
      <c r="B1262" s="80" t="s">
        <v>9514</v>
      </c>
    </row>
    <row r="1263" spans="1:2" x14ac:dyDescent="0.25">
      <c r="A1263" s="81" t="s">
        <v>3501</v>
      </c>
      <c r="B1263" s="80" t="s">
        <v>9514</v>
      </c>
    </row>
    <row r="1264" spans="1:2" x14ac:dyDescent="0.25">
      <c r="A1264" s="81" t="s">
        <v>3502</v>
      </c>
      <c r="B1264" s="80" t="s">
        <v>9514</v>
      </c>
    </row>
    <row r="1265" spans="1:2" x14ac:dyDescent="0.25">
      <c r="A1265" s="81" t="s">
        <v>3503</v>
      </c>
      <c r="B1265" s="80" t="s">
        <v>9514</v>
      </c>
    </row>
    <row r="1266" spans="1:2" x14ac:dyDescent="0.25">
      <c r="A1266" s="81" t="s">
        <v>3504</v>
      </c>
      <c r="B1266" s="80" t="s">
        <v>9514</v>
      </c>
    </row>
    <row r="1267" spans="1:2" x14ac:dyDescent="0.25">
      <c r="A1267" s="81" t="s">
        <v>3505</v>
      </c>
      <c r="B1267" s="80" t="s">
        <v>9514</v>
      </c>
    </row>
    <row r="1268" spans="1:2" x14ac:dyDescent="0.25">
      <c r="A1268" s="81" t="s">
        <v>3506</v>
      </c>
      <c r="B1268" s="80" t="s">
        <v>9514</v>
      </c>
    </row>
    <row r="1269" spans="1:2" x14ac:dyDescent="0.25">
      <c r="A1269" s="81" t="s">
        <v>3507</v>
      </c>
      <c r="B1269" s="80" t="s">
        <v>9514</v>
      </c>
    </row>
    <row r="1270" spans="1:2" x14ac:dyDescent="0.25">
      <c r="A1270" s="81" t="s">
        <v>3508</v>
      </c>
      <c r="B1270" s="80" t="s">
        <v>9514</v>
      </c>
    </row>
    <row r="1271" spans="1:2" x14ac:dyDescent="0.25">
      <c r="A1271" s="81" t="s">
        <v>3509</v>
      </c>
      <c r="B1271" s="80" t="s">
        <v>9514</v>
      </c>
    </row>
    <row r="1272" spans="1:2" x14ac:dyDescent="0.25">
      <c r="A1272" s="81" t="s">
        <v>3510</v>
      </c>
      <c r="B1272" s="80" t="s">
        <v>9514</v>
      </c>
    </row>
    <row r="1273" spans="1:2" x14ac:dyDescent="0.25">
      <c r="A1273" s="81" t="s">
        <v>3511</v>
      </c>
      <c r="B1273" s="80" t="s">
        <v>9514</v>
      </c>
    </row>
    <row r="1274" spans="1:2" x14ac:dyDescent="0.25">
      <c r="A1274" s="81" t="s">
        <v>3512</v>
      </c>
      <c r="B1274" s="80" t="s">
        <v>9514</v>
      </c>
    </row>
    <row r="1275" spans="1:2" x14ac:dyDescent="0.25">
      <c r="A1275" s="81" t="s">
        <v>3513</v>
      </c>
      <c r="B1275" s="80" t="s">
        <v>9514</v>
      </c>
    </row>
    <row r="1276" spans="1:2" x14ac:dyDescent="0.25">
      <c r="A1276" s="81" t="s">
        <v>3514</v>
      </c>
      <c r="B1276" s="80" t="s">
        <v>9514</v>
      </c>
    </row>
    <row r="1277" spans="1:2" x14ac:dyDescent="0.25">
      <c r="A1277" s="81" t="s">
        <v>3515</v>
      </c>
      <c r="B1277" s="80" t="s">
        <v>9514</v>
      </c>
    </row>
    <row r="1278" spans="1:2" x14ac:dyDescent="0.25">
      <c r="A1278" s="81" t="s">
        <v>3516</v>
      </c>
      <c r="B1278" s="80" t="s">
        <v>9514</v>
      </c>
    </row>
    <row r="1279" spans="1:2" x14ac:dyDescent="0.25">
      <c r="A1279" s="81" t="s">
        <v>3517</v>
      </c>
      <c r="B1279" s="80" t="s">
        <v>9514</v>
      </c>
    </row>
    <row r="1280" spans="1:2" x14ac:dyDescent="0.25">
      <c r="A1280" s="81" t="s">
        <v>3518</v>
      </c>
      <c r="B1280" s="80" t="s">
        <v>9514</v>
      </c>
    </row>
    <row r="1281" spans="1:2" x14ac:dyDescent="0.25">
      <c r="A1281" s="81" t="s">
        <v>3519</v>
      </c>
      <c r="B1281" s="80" t="s">
        <v>9514</v>
      </c>
    </row>
    <row r="1282" spans="1:2" x14ac:dyDescent="0.25">
      <c r="A1282" s="81" t="s">
        <v>3520</v>
      </c>
      <c r="B1282" s="80" t="s">
        <v>9514</v>
      </c>
    </row>
    <row r="1283" spans="1:2" x14ac:dyDescent="0.25">
      <c r="A1283" s="81" t="s">
        <v>3521</v>
      </c>
      <c r="B1283" s="80" t="s">
        <v>9514</v>
      </c>
    </row>
    <row r="1284" spans="1:2" x14ac:dyDescent="0.25">
      <c r="A1284" s="81" t="s">
        <v>3522</v>
      </c>
      <c r="B1284" s="80" t="s">
        <v>9514</v>
      </c>
    </row>
    <row r="1285" spans="1:2" x14ac:dyDescent="0.25">
      <c r="A1285" s="81" t="s">
        <v>3523</v>
      </c>
      <c r="B1285" s="80" t="s">
        <v>9514</v>
      </c>
    </row>
    <row r="1286" spans="1:2" x14ac:dyDescent="0.25">
      <c r="A1286" s="81" t="s">
        <v>3524</v>
      </c>
      <c r="B1286" s="80" t="s">
        <v>9514</v>
      </c>
    </row>
    <row r="1287" spans="1:2" x14ac:dyDescent="0.25">
      <c r="A1287" s="81" t="s">
        <v>3525</v>
      </c>
      <c r="B1287" s="80" t="s">
        <v>9514</v>
      </c>
    </row>
    <row r="1288" spans="1:2" x14ac:dyDescent="0.25">
      <c r="A1288" s="81" t="s">
        <v>3526</v>
      </c>
      <c r="B1288" s="80" t="s">
        <v>9514</v>
      </c>
    </row>
    <row r="1289" spans="1:2" x14ac:dyDescent="0.25">
      <c r="A1289" s="81" t="s">
        <v>3527</v>
      </c>
      <c r="B1289" s="80" t="s">
        <v>9514</v>
      </c>
    </row>
    <row r="1290" spans="1:2" x14ac:dyDescent="0.25">
      <c r="A1290" s="81" t="s">
        <v>3528</v>
      </c>
      <c r="B1290" s="80" t="s">
        <v>9514</v>
      </c>
    </row>
    <row r="1291" spans="1:2" x14ac:dyDescent="0.25">
      <c r="A1291" s="81" t="s">
        <v>3529</v>
      </c>
      <c r="B1291" s="80" t="s">
        <v>9514</v>
      </c>
    </row>
    <row r="1292" spans="1:2" x14ac:dyDescent="0.25">
      <c r="A1292" s="81" t="s">
        <v>3530</v>
      </c>
      <c r="B1292" s="80" t="s">
        <v>9514</v>
      </c>
    </row>
    <row r="1293" spans="1:2" x14ac:dyDescent="0.25">
      <c r="A1293" s="81" t="s">
        <v>3531</v>
      </c>
      <c r="B1293" s="80" t="s">
        <v>9514</v>
      </c>
    </row>
    <row r="1294" spans="1:2" x14ac:dyDescent="0.25">
      <c r="A1294" s="81" t="s">
        <v>1742</v>
      </c>
      <c r="B1294" s="80" t="s">
        <v>9514</v>
      </c>
    </row>
    <row r="1295" spans="1:2" x14ac:dyDescent="0.25">
      <c r="A1295" s="81" t="s">
        <v>3532</v>
      </c>
      <c r="B1295" s="80" t="s">
        <v>9514</v>
      </c>
    </row>
    <row r="1296" spans="1:2" x14ac:dyDescent="0.25">
      <c r="A1296" s="81" t="s">
        <v>3533</v>
      </c>
      <c r="B1296" s="80" t="s">
        <v>9514</v>
      </c>
    </row>
    <row r="1297" spans="1:2" x14ac:dyDescent="0.25">
      <c r="A1297" s="81" t="s">
        <v>3534</v>
      </c>
      <c r="B1297" s="80" t="s">
        <v>9514</v>
      </c>
    </row>
    <row r="1298" spans="1:2" x14ac:dyDescent="0.25">
      <c r="A1298" s="81" t="s">
        <v>3535</v>
      </c>
      <c r="B1298" s="80" t="s">
        <v>9514</v>
      </c>
    </row>
    <row r="1299" spans="1:2" x14ac:dyDescent="0.25">
      <c r="A1299" s="81" t="s">
        <v>3536</v>
      </c>
      <c r="B1299" s="80" t="s">
        <v>9514</v>
      </c>
    </row>
    <row r="1300" spans="1:2" x14ac:dyDescent="0.25">
      <c r="A1300" s="81" t="s">
        <v>3537</v>
      </c>
      <c r="B1300" s="80" t="s">
        <v>9514</v>
      </c>
    </row>
    <row r="1301" spans="1:2" x14ac:dyDescent="0.25">
      <c r="A1301" s="81" t="s">
        <v>3538</v>
      </c>
      <c r="B1301" s="80" t="s">
        <v>9514</v>
      </c>
    </row>
    <row r="1302" spans="1:2" x14ac:dyDescent="0.25">
      <c r="A1302" s="81" t="s">
        <v>3539</v>
      </c>
      <c r="B1302" s="80" t="s">
        <v>9514</v>
      </c>
    </row>
    <row r="1303" spans="1:2" x14ac:dyDescent="0.25">
      <c r="A1303" s="81" t="s">
        <v>3540</v>
      </c>
      <c r="B1303" s="80" t="s">
        <v>9514</v>
      </c>
    </row>
    <row r="1304" spans="1:2" x14ac:dyDescent="0.25">
      <c r="A1304" s="81" t="s">
        <v>3541</v>
      </c>
      <c r="B1304" s="80" t="s">
        <v>9514</v>
      </c>
    </row>
    <row r="1305" spans="1:2" x14ac:dyDescent="0.25">
      <c r="A1305" s="81" t="s">
        <v>3542</v>
      </c>
      <c r="B1305" s="80" t="s">
        <v>9514</v>
      </c>
    </row>
    <row r="1306" spans="1:2" x14ac:dyDescent="0.25">
      <c r="A1306" s="81" t="s">
        <v>3543</v>
      </c>
      <c r="B1306" s="80" t="s">
        <v>9514</v>
      </c>
    </row>
    <row r="1307" spans="1:2" x14ac:dyDescent="0.25">
      <c r="A1307" s="81" t="s">
        <v>3544</v>
      </c>
      <c r="B1307" s="80" t="s">
        <v>9514</v>
      </c>
    </row>
    <row r="1308" spans="1:2" x14ac:dyDescent="0.25">
      <c r="A1308" s="81" t="s">
        <v>3545</v>
      </c>
      <c r="B1308" s="80" t="s">
        <v>9514</v>
      </c>
    </row>
    <row r="1309" spans="1:2" x14ac:dyDescent="0.25">
      <c r="A1309" s="81" t="s">
        <v>3546</v>
      </c>
      <c r="B1309" s="80" t="s">
        <v>9514</v>
      </c>
    </row>
    <row r="1310" spans="1:2" x14ac:dyDescent="0.25">
      <c r="A1310" s="81" t="s">
        <v>3547</v>
      </c>
      <c r="B1310" s="80" t="s">
        <v>9514</v>
      </c>
    </row>
    <row r="1311" spans="1:2" x14ac:dyDescent="0.25">
      <c r="A1311" s="81" t="s">
        <v>3548</v>
      </c>
      <c r="B1311" s="80" t="s">
        <v>9514</v>
      </c>
    </row>
    <row r="1312" spans="1:2" x14ac:dyDescent="0.25">
      <c r="A1312" s="81" t="s">
        <v>3549</v>
      </c>
      <c r="B1312" s="80" t="s">
        <v>9514</v>
      </c>
    </row>
    <row r="1313" spans="1:2" x14ac:dyDescent="0.25">
      <c r="A1313" s="81" t="s">
        <v>3550</v>
      </c>
      <c r="B1313" s="80" t="s">
        <v>9514</v>
      </c>
    </row>
    <row r="1314" spans="1:2" x14ac:dyDescent="0.25">
      <c r="A1314" s="81" t="s">
        <v>3551</v>
      </c>
      <c r="B1314" s="80" t="s">
        <v>9514</v>
      </c>
    </row>
    <row r="1315" spans="1:2" x14ac:dyDescent="0.25">
      <c r="A1315" s="81" t="s">
        <v>3552</v>
      </c>
      <c r="B1315" s="80" t="s">
        <v>9514</v>
      </c>
    </row>
    <row r="1316" spans="1:2" x14ac:dyDescent="0.25">
      <c r="A1316" s="81" t="s">
        <v>3553</v>
      </c>
      <c r="B1316" s="80" t="s">
        <v>9514</v>
      </c>
    </row>
    <row r="1317" spans="1:2" x14ac:dyDescent="0.25">
      <c r="A1317" s="81" t="s">
        <v>3554</v>
      </c>
      <c r="B1317" s="80" t="s">
        <v>9514</v>
      </c>
    </row>
    <row r="1318" spans="1:2" x14ac:dyDescent="0.25">
      <c r="A1318" s="81" t="s">
        <v>3555</v>
      </c>
      <c r="B1318" s="80" t="s">
        <v>9514</v>
      </c>
    </row>
    <row r="1319" spans="1:2" x14ac:dyDescent="0.25">
      <c r="A1319" s="81" t="s">
        <v>3556</v>
      </c>
      <c r="B1319" s="80" t="s">
        <v>9514</v>
      </c>
    </row>
    <row r="1320" spans="1:2" x14ac:dyDescent="0.25">
      <c r="A1320" s="81" t="s">
        <v>3557</v>
      </c>
      <c r="B1320" s="80" t="s">
        <v>9514</v>
      </c>
    </row>
    <row r="1321" spans="1:2" x14ac:dyDescent="0.25">
      <c r="A1321" s="81" t="s">
        <v>3558</v>
      </c>
      <c r="B1321" s="80" t="s">
        <v>9514</v>
      </c>
    </row>
    <row r="1322" spans="1:2" x14ac:dyDescent="0.25">
      <c r="A1322" s="81" t="s">
        <v>3559</v>
      </c>
      <c r="B1322" s="80" t="s">
        <v>9514</v>
      </c>
    </row>
    <row r="1323" spans="1:2" x14ac:dyDescent="0.25">
      <c r="A1323" s="81" t="s">
        <v>3560</v>
      </c>
      <c r="B1323" s="80" t="s">
        <v>9514</v>
      </c>
    </row>
    <row r="1324" spans="1:2" x14ac:dyDescent="0.25">
      <c r="A1324" s="81" t="s">
        <v>3561</v>
      </c>
      <c r="B1324" s="80" t="s">
        <v>9514</v>
      </c>
    </row>
    <row r="1325" spans="1:2" x14ac:dyDescent="0.25">
      <c r="A1325" s="81" t="s">
        <v>3562</v>
      </c>
      <c r="B1325" s="80" t="s">
        <v>9514</v>
      </c>
    </row>
    <row r="1326" spans="1:2" x14ac:dyDescent="0.25">
      <c r="A1326" s="81" t="s">
        <v>3563</v>
      </c>
      <c r="B1326" s="80" t="s">
        <v>9514</v>
      </c>
    </row>
    <row r="1327" spans="1:2" x14ac:dyDescent="0.25">
      <c r="A1327" s="81" t="s">
        <v>3564</v>
      </c>
      <c r="B1327" s="80" t="s">
        <v>9514</v>
      </c>
    </row>
    <row r="1328" spans="1:2" x14ac:dyDescent="0.25">
      <c r="A1328" s="81" t="s">
        <v>3565</v>
      </c>
      <c r="B1328" s="80" t="s">
        <v>9514</v>
      </c>
    </row>
    <row r="1329" spans="1:2" x14ac:dyDescent="0.25">
      <c r="A1329" s="81" t="s">
        <v>3566</v>
      </c>
      <c r="B1329" s="80" t="s">
        <v>9514</v>
      </c>
    </row>
    <row r="1330" spans="1:2" x14ac:dyDescent="0.25">
      <c r="A1330" s="81" t="s">
        <v>3567</v>
      </c>
      <c r="B1330" s="80" t="s">
        <v>9514</v>
      </c>
    </row>
    <row r="1331" spans="1:2" x14ac:dyDescent="0.25">
      <c r="A1331" s="81" t="s">
        <v>3568</v>
      </c>
      <c r="B1331" s="80" t="s">
        <v>9514</v>
      </c>
    </row>
    <row r="1332" spans="1:2" x14ac:dyDescent="0.25">
      <c r="A1332" s="81" t="s">
        <v>3569</v>
      </c>
      <c r="B1332" s="80" t="s">
        <v>9514</v>
      </c>
    </row>
    <row r="1333" spans="1:2" x14ac:dyDescent="0.25">
      <c r="A1333" s="81" t="s">
        <v>3570</v>
      </c>
      <c r="B1333" s="80" t="s">
        <v>9514</v>
      </c>
    </row>
    <row r="1334" spans="1:2" x14ac:dyDescent="0.25">
      <c r="A1334" s="81" t="s">
        <v>3571</v>
      </c>
      <c r="B1334" s="80" t="s">
        <v>9514</v>
      </c>
    </row>
    <row r="1335" spans="1:2" x14ac:dyDescent="0.25">
      <c r="A1335" s="81" t="s">
        <v>3572</v>
      </c>
      <c r="B1335" s="80" t="s">
        <v>9514</v>
      </c>
    </row>
    <row r="1336" spans="1:2" x14ac:dyDescent="0.25">
      <c r="A1336" s="81" t="s">
        <v>3573</v>
      </c>
      <c r="B1336" s="80" t="s">
        <v>9514</v>
      </c>
    </row>
    <row r="1337" spans="1:2" x14ac:dyDescent="0.25">
      <c r="A1337" s="81" t="s">
        <v>3574</v>
      </c>
      <c r="B1337" s="80" t="s">
        <v>9514</v>
      </c>
    </row>
    <row r="1338" spans="1:2" x14ac:dyDescent="0.25">
      <c r="A1338" s="81" t="s">
        <v>3575</v>
      </c>
      <c r="B1338" s="80" t="s">
        <v>9514</v>
      </c>
    </row>
    <row r="1339" spans="1:2" x14ac:dyDescent="0.25">
      <c r="A1339" s="81" t="s">
        <v>3576</v>
      </c>
      <c r="B1339" s="80" t="s">
        <v>9514</v>
      </c>
    </row>
    <row r="1340" spans="1:2" x14ac:dyDescent="0.25">
      <c r="A1340" s="81" t="s">
        <v>3577</v>
      </c>
      <c r="B1340" s="80" t="s">
        <v>9514</v>
      </c>
    </row>
    <row r="1341" spans="1:2" x14ac:dyDescent="0.25">
      <c r="A1341" s="81" t="s">
        <v>3578</v>
      </c>
      <c r="B1341" s="80" t="s">
        <v>9514</v>
      </c>
    </row>
    <row r="1342" spans="1:2" x14ac:dyDescent="0.25">
      <c r="A1342" s="81" t="s">
        <v>3579</v>
      </c>
      <c r="B1342" s="80" t="s">
        <v>9514</v>
      </c>
    </row>
    <row r="1343" spans="1:2" x14ac:dyDescent="0.25">
      <c r="A1343" s="81" t="s">
        <v>3580</v>
      </c>
      <c r="B1343" s="80" t="s">
        <v>9514</v>
      </c>
    </row>
    <row r="1344" spans="1:2" x14ac:dyDescent="0.25">
      <c r="A1344" s="81" t="s">
        <v>3581</v>
      </c>
      <c r="B1344" s="80" t="s">
        <v>9514</v>
      </c>
    </row>
    <row r="1345" spans="1:2" x14ac:dyDescent="0.25">
      <c r="A1345" s="81" t="s">
        <v>3582</v>
      </c>
      <c r="B1345" s="80" t="s">
        <v>9514</v>
      </c>
    </row>
    <row r="1346" spans="1:2" x14ac:dyDescent="0.25">
      <c r="A1346" s="81" t="s">
        <v>3583</v>
      </c>
      <c r="B1346" s="80" t="s">
        <v>9514</v>
      </c>
    </row>
    <row r="1347" spans="1:2" x14ac:dyDescent="0.25">
      <c r="A1347" s="81" t="s">
        <v>3584</v>
      </c>
      <c r="B1347" s="80" t="s">
        <v>9514</v>
      </c>
    </row>
    <row r="1348" spans="1:2" x14ac:dyDescent="0.25">
      <c r="A1348" s="81" t="s">
        <v>3585</v>
      </c>
      <c r="B1348" s="80" t="s">
        <v>9514</v>
      </c>
    </row>
    <row r="1349" spans="1:2" x14ac:dyDescent="0.25">
      <c r="A1349" s="81" t="s">
        <v>3586</v>
      </c>
      <c r="B1349" s="80" t="s">
        <v>9514</v>
      </c>
    </row>
    <row r="1350" spans="1:2" x14ac:dyDescent="0.25">
      <c r="A1350" s="81" t="s">
        <v>3587</v>
      </c>
      <c r="B1350" s="80" t="s">
        <v>9514</v>
      </c>
    </row>
    <row r="1351" spans="1:2" x14ac:dyDescent="0.25">
      <c r="A1351" s="81" t="s">
        <v>3588</v>
      </c>
      <c r="B1351" s="80" t="s">
        <v>9514</v>
      </c>
    </row>
    <row r="1352" spans="1:2" x14ac:dyDescent="0.25">
      <c r="A1352" s="81" t="s">
        <v>3589</v>
      </c>
      <c r="B1352" s="80" t="s">
        <v>9514</v>
      </c>
    </row>
    <row r="1353" spans="1:2" x14ac:dyDescent="0.25">
      <c r="A1353" s="81" t="s">
        <v>3590</v>
      </c>
      <c r="B1353" s="80" t="s">
        <v>9514</v>
      </c>
    </row>
    <row r="1354" spans="1:2" x14ac:dyDescent="0.25">
      <c r="A1354" s="81" t="s">
        <v>3591</v>
      </c>
      <c r="B1354" s="80" t="s">
        <v>9514</v>
      </c>
    </row>
    <row r="1355" spans="1:2" x14ac:dyDescent="0.25">
      <c r="A1355" s="81" t="s">
        <v>3592</v>
      </c>
      <c r="B1355" s="80" t="s">
        <v>9514</v>
      </c>
    </row>
    <row r="1356" spans="1:2" x14ac:dyDescent="0.25">
      <c r="A1356" s="81" t="s">
        <v>3593</v>
      </c>
      <c r="B1356" s="80" t="s">
        <v>9514</v>
      </c>
    </row>
    <row r="1357" spans="1:2" x14ac:dyDescent="0.25">
      <c r="A1357" s="81" t="s">
        <v>3594</v>
      </c>
      <c r="B1357" s="80" t="s">
        <v>9514</v>
      </c>
    </row>
    <row r="1358" spans="1:2" x14ac:dyDescent="0.25">
      <c r="A1358" s="81" t="s">
        <v>3595</v>
      </c>
      <c r="B1358" s="80" t="s">
        <v>9514</v>
      </c>
    </row>
    <row r="1359" spans="1:2" x14ac:dyDescent="0.25">
      <c r="A1359" s="81" t="s">
        <v>3596</v>
      </c>
      <c r="B1359" s="80" t="s">
        <v>9514</v>
      </c>
    </row>
    <row r="1360" spans="1:2" x14ac:dyDescent="0.25">
      <c r="A1360" s="81" t="s">
        <v>3597</v>
      </c>
      <c r="B1360" s="80" t="s">
        <v>9514</v>
      </c>
    </row>
    <row r="1361" spans="1:2" x14ac:dyDescent="0.25">
      <c r="A1361" s="81" t="s">
        <v>3598</v>
      </c>
      <c r="B1361" s="80" t="s">
        <v>9514</v>
      </c>
    </row>
    <row r="1362" spans="1:2" x14ac:dyDescent="0.25">
      <c r="A1362" s="81" t="s">
        <v>1666</v>
      </c>
      <c r="B1362" s="80" t="s">
        <v>9514</v>
      </c>
    </row>
    <row r="1363" spans="1:2" x14ac:dyDescent="0.25">
      <c r="A1363" s="81" t="s">
        <v>3599</v>
      </c>
      <c r="B1363" s="80" t="s">
        <v>9514</v>
      </c>
    </row>
    <row r="1364" spans="1:2" x14ac:dyDescent="0.25">
      <c r="A1364" s="81" t="s">
        <v>3600</v>
      </c>
      <c r="B1364" s="80" t="s">
        <v>9514</v>
      </c>
    </row>
    <row r="1365" spans="1:2" x14ac:dyDescent="0.25">
      <c r="A1365" s="81" t="s">
        <v>3601</v>
      </c>
      <c r="B1365" s="80" t="s">
        <v>9514</v>
      </c>
    </row>
    <row r="1366" spans="1:2" x14ac:dyDescent="0.25">
      <c r="A1366" s="81" t="s">
        <v>3602</v>
      </c>
      <c r="B1366" s="80" t="s">
        <v>9514</v>
      </c>
    </row>
    <row r="1367" spans="1:2" x14ac:dyDescent="0.25">
      <c r="A1367" s="81" t="s">
        <v>3603</v>
      </c>
      <c r="B1367" s="80" t="s">
        <v>9514</v>
      </c>
    </row>
    <row r="1368" spans="1:2" x14ac:dyDescent="0.25">
      <c r="A1368" s="81" t="s">
        <v>3604</v>
      </c>
      <c r="B1368" s="80" t="s">
        <v>9514</v>
      </c>
    </row>
    <row r="1369" spans="1:2" x14ac:dyDescent="0.25">
      <c r="A1369" s="81" t="s">
        <v>3605</v>
      </c>
      <c r="B1369" s="80" t="s">
        <v>9514</v>
      </c>
    </row>
    <row r="1370" spans="1:2" x14ac:dyDescent="0.25">
      <c r="A1370" s="81" t="s">
        <v>3606</v>
      </c>
      <c r="B1370" s="80" t="s">
        <v>9514</v>
      </c>
    </row>
    <row r="1371" spans="1:2" x14ac:dyDescent="0.25">
      <c r="A1371" s="81" t="s">
        <v>3607</v>
      </c>
      <c r="B1371" s="80" t="s">
        <v>9514</v>
      </c>
    </row>
    <row r="1372" spans="1:2" x14ac:dyDescent="0.25">
      <c r="A1372" s="81" t="s">
        <v>3608</v>
      </c>
      <c r="B1372" s="80" t="s">
        <v>9514</v>
      </c>
    </row>
    <row r="1373" spans="1:2" x14ac:dyDescent="0.25">
      <c r="A1373" s="81" t="s">
        <v>3609</v>
      </c>
      <c r="B1373" s="80" t="s">
        <v>9514</v>
      </c>
    </row>
    <row r="1374" spans="1:2" x14ac:dyDescent="0.25">
      <c r="A1374" s="81" t="s">
        <v>3610</v>
      </c>
      <c r="B1374" s="80" t="s">
        <v>9514</v>
      </c>
    </row>
    <row r="1375" spans="1:2" x14ac:dyDescent="0.25">
      <c r="A1375" s="81" t="s">
        <v>3611</v>
      </c>
      <c r="B1375" s="80" t="s">
        <v>9514</v>
      </c>
    </row>
    <row r="1376" spans="1:2" x14ac:dyDescent="0.25">
      <c r="A1376" s="81" t="s">
        <v>2103</v>
      </c>
      <c r="B1376" s="80" t="s">
        <v>9514</v>
      </c>
    </row>
    <row r="1377" spans="1:2" x14ac:dyDescent="0.25">
      <c r="A1377" s="81" t="s">
        <v>3612</v>
      </c>
      <c r="B1377" s="80" t="s">
        <v>9514</v>
      </c>
    </row>
    <row r="1378" spans="1:2" x14ac:dyDescent="0.25">
      <c r="A1378" s="81" t="s">
        <v>3613</v>
      </c>
      <c r="B1378" s="80" t="s">
        <v>9514</v>
      </c>
    </row>
    <row r="1379" spans="1:2" x14ac:dyDescent="0.25">
      <c r="A1379" s="81" t="s">
        <v>3614</v>
      </c>
      <c r="B1379" s="80" t="s">
        <v>9514</v>
      </c>
    </row>
    <row r="1380" spans="1:2" x14ac:dyDescent="0.25">
      <c r="A1380" s="81" t="s">
        <v>2074</v>
      </c>
      <c r="B1380" s="80" t="s">
        <v>9514</v>
      </c>
    </row>
    <row r="1381" spans="1:2" x14ac:dyDescent="0.25">
      <c r="A1381" s="81" t="s">
        <v>3615</v>
      </c>
      <c r="B1381" s="80" t="s">
        <v>9514</v>
      </c>
    </row>
    <row r="1382" spans="1:2" x14ac:dyDescent="0.25">
      <c r="A1382" s="81" t="s">
        <v>3616</v>
      </c>
      <c r="B1382" s="80" t="s">
        <v>9514</v>
      </c>
    </row>
    <row r="1383" spans="1:2" x14ac:dyDescent="0.25">
      <c r="A1383" s="81" t="s">
        <v>3617</v>
      </c>
      <c r="B1383" s="80" t="s">
        <v>9514</v>
      </c>
    </row>
    <row r="1384" spans="1:2" x14ac:dyDescent="0.25">
      <c r="A1384" s="81" t="s">
        <v>3618</v>
      </c>
      <c r="B1384" s="80" t="s">
        <v>9514</v>
      </c>
    </row>
    <row r="1385" spans="1:2" x14ac:dyDescent="0.25">
      <c r="A1385" s="81" t="s">
        <v>3619</v>
      </c>
      <c r="B1385" s="80" t="s">
        <v>9514</v>
      </c>
    </row>
    <row r="1386" spans="1:2" x14ac:dyDescent="0.25">
      <c r="A1386" s="81" t="s">
        <v>338</v>
      </c>
      <c r="B1386" s="80" t="s">
        <v>9514</v>
      </c>
    </row>
    <row r="1387" spans="1:2" x14ac:dyDescent="0.25">
      <c r="A1387" s="81" t="s">
        <v>1684</v>
      </c>
      <c r="B1387" s="80" t="s">
        <v>9514</v>
      </c>
    </row>
    <row r="1388" spans="1:2" x14ac:dyDescent="0.25">
      <c r="A1388" s="81" t="s">
        <v>3620</v>
      </c>
      <c r="B1388" s="80" t="s">
        <v>9514</v>
      </c>
    </row>
    <row r="1389" spans="1:2" x14ac:dyDescent="0.25">
      <c r="A1389" s="81" t="s">
        <v>3621</v>
      </c>
      <c r="B1389" s="80" t="s">
        <v>9514</v>
      </c>
    </row>
    <row r="1390" spans="1:2" x14ac:dyDescent="0.25">
      <c r="A1390" s="81" t="s">
        <v>3622</v>
      </c>
      <c r="B1390" s="80" t="s">
        <v>9514</v>
      </c>
    </row>
    <row r="1391" spans="1:2" x14ac:dyDescent="0.25">
      <c r="A1391" s="81" t="s">
        <v>3623</v>
      </c>
      <c r="B1391" s="80" t="s">
        <v>9514</v>
      </c>
    </row>
    <row r="1392" spans="1:2" x14ac:dyDescent="0.25">
      <c r="A1392" s="81" t="s">
        <v>3624</v>
      </c>
      <c r="B1392" s="80" t="s">
        <v>9514</v>
      </c>
    </row>
    <row r="1393" spans="1:2" x14ac:dyDescent="0.25">
      <c r="A1393" s="81" t="s">
        <v>3625</v>
      </c>
      <c r="B1393" s="80" t="s">
        <v>9514</v>
      </c>
    </row>
    <row r="1394" spans="1:2" x14ac:dyDescent="0.25">
      <c r="A1394" s="81" t="s">
        <v>3626</v>
      </c>
      <c r="B1394" s="80" t="s">
        <v>9514</v>
      </c>
    </row>
    <row r="1395" spans="1:2" x14ac:dyDescent="0.25">
      <c r="A1395" s="81" t="s">
        <v>3627</v>
      </c>
      <c r="B1395" s="80" t="s">
        <v>9514</v>
      </c>
    </row>
    <row r="1396" spans="1:2" x14ac:dyDescent="0.25">
      <c r="A1396" s="81" t="s">
        <v>3628</v>
      </c>
      <c r="B1396" s="80" t="s">
        <v>9514</v>
      </c>
    </row>
    <row r="1397" spans="1:2" x14ac:dyDescent="0.25">
      <c r="A1397" s="81" t="s">
        <v>3629</v>
      </c>
      <c r="B1397" s="80" t="s">
        <v>9514</v>
      </c>
    </row>
    <row r="1398" spans="1:2" x14ac:dyDescent="0.25">
      <c r="A1398" s="81" t="s">
        <v>3630</v>
      </c>
      <c r="B1398" s="80" t="s">
        <v>9514</v>
      </c>
    </row>
    <row r="1399" spans="1:2" x14ac:dyDescent="0.25">
      <c r="A1399" s="81" t="s">
        <v>3631</v>
      </c>
      <c r="B1399" s="80" t="s">
        <v>9514</v>
      </c>
    </row>
    <row r="1400" spans="1:2" x14ac:dyDescent="0.25">
      <c r="A1400" s="81" t="s">
        <v>3632</v>
      </c>
      <c r="B1400" s="80" t="s">
        <v>9514</v>
      </c>
    </row>
    <row r="1401" spans="1:2" x14ac:dyDescent="0.25">
      <c r="A1401" s="81" t="s">
        <v>3633</v>
      </c>
      <c r="B1401" s="80" t="s">
        <v>9514</v>
      </c>
    </row>
    <row r="1402" spans="1:2" x14ac:dyDescent="0.25">
      <c r="A1402" s="81" t="s">
        <v>3634</v>
      </c>
      <c r="B1402" s="80" t="s">
        <v>9514</v>
      </c>
    </row>
    <row r="1403" spans="1:2" x14ac:dyDescent="0.25">
      <c r="A1403" s="81" t="s">
        <v>3635</v>
      </c>
      <c r="B1403" s="80" t="s">
        <v>9514</v>
      </c>
    </row>
    <row r="1404" spans="1:2" x14ac:dyDescent="0.25">
      <c r="A1404" s="81" t="s">
        <v>3636</v>
      </c>
      <c r="B1404" s="80" t="s">
        <v>9514</v>
      </c>
    </row>
    <row r="1405" spans="1:2" x14ac:dyDescent="0.25">
      <c r="A1405" s="81" t="s">
        <v>3637</v>
      </c>
      <c r="B1405" s="80" t="s">
        <v>9514</v>
      </c>
    </row>
    <row r="1406" spans="1:2" x14ac:dyDescent="0.25">
      <c r="A1406" s="81" t="s">
        <v>3638</v>
      </c>
      <c r="B1406" s="80" t="s">
        <v>9514</v>
      </c>
    </row>
    <row r="1407" spans="1:2" x14ac:dyDescent="0.25">
      <c r="A1407" s="81" t="s">
        <v>3639</v>
      </c>
      <c r="B1407" s="80" t="s">
        <v>9514</v>
      </c>
    </row>
    <row r="1408" spans="1:2" x14ac:dyDescent="0.25">
      <c r="A1408" s="81" t="s">
        <v>3640</v>
      </c>
      <c r="B1408" s="80" t="s">
        <v>9514</v>
      </c>
    </row>
    <row r="1409" spans="1:2" x14ac:dyDescent="0.25">
      <c r="A1409" s="81" t="s">
        <v>3641</v>
      </c>
      <c r="B1409" s="80" t="s">
        <v>9514</v>
      </c>
    </row>
    <row r="1410" spans="1:2" x14ac:dyDescent="0.25">
      <c r="A1410" s="81" t="s">
        <v>3642</v>
      </c>
      <c r="B1410" s="80" t="s">
        <v>9514</v>
      </c>
    </row>
    <row r="1411" spans="1:2" x14ac:dyDescent="0.25">
      <c r="A1411" s="81" t="s">
        <v>3643</v>
      </c>
      <c r="B1411" s="80" t="s">
        <v>9514</v>
      </c>
    </row>
    <row r="1412" spans="1:2" x14ac:dyDescent="0.25">
      <c r="A1412" s="81" t="s">
        <v>3644</v>
      </c>
      <c r="B1412" s="80" t="s">
        <v>9514</v>
      </c>
    </row>
    <row r="1413" spans="1:2" x14ac:dyDescent="0.25">
      <c r="A1413" s="81" t="s">
        <v>3645</v>
      </c>
      <c r="B1413" s="80" t="s">
        <v>9514</v>
      </c>
    </row>
    <row r="1414" spans="1:2" x14ac:dyDescent="0.25">
      <c r="A1414" s="81" t="s">
        <v>1654</v>
      </c>
      <c r="B1414" s="80" t="s">
        <v>9514</v>
      </c>
    </row>
    <row r="1415" spans="1:2" x14ac:dyDescent="0.25">
      <c r="A1415" s="81" t="s">
        <v>3646</v>
      </c>
      <c r="B1415" s="80" t="s">
        <v>9514</v>
      </c>
    </row>
    <row r="1416" spans="1:2" x14ac:dyDescent="0.25">
      <c r="A1416" s="81" t="s">
        <v>3647</v>
      </c>
      <c r="B1416" s="80" t="s">
        <v>9514</v>
      </c>
    </row>
    <row r="1417" spans="1:2" x14ac:dyDescent="0.25">
      <c r="A1417" s="81" t="s">
        <v>3648</v>
      </c>
      <c r="B1417" s="80" t="s">
        <v>9514</v>
      </c>
    </row>
    <row r="1418" spans="1:2" x14ac:dyDescent="0.25">
      <c r="A1418" s="81" t="s">
        <v>3649</v>
      </c>
      <c r="B1418" s="80" t="s">
        <v>9514</v>
      </c>
    </row>
    <row r="1419" spans="1:2" x14ac:dyDescent="0.25">
      <c r="A1419" s="81" t="s">
        <v>3650</v>
      </c>
      <c r="B1419" s="80" t="s">
        <v>9514</v>
      </c>
    </row>
    <row r="1420" spans="1:2" x14ac:dyDescent="0.25">
      <c r="A1420" s="81" t="s">
        <v>3651</v>
      </c>
      <c r="B1420" s="80" t="s">
        <v>9514</v>
      </c>
    </row>
    <row r="1421" spans="1:2" x14ac:dyDescent="0.25">
      <c r="A1421" s="81" t="s">
        <v>3652</v>
      </c>
      <c r="B1421" s="80" t="s">
        <v>9514</v>
      </c>
    </row>
    <row r="1422" spans="1:2" x14ac:dyDescent="0.25">
      <c r="A1422" s="81" t="s">
        <v>3653</v>
      </c>
      <c r="B1422" s="80" t="s">
        <v>9514</v>
      </c>
    </row>
    <row r="1423" spans="1:2" x14ac:dyDescent="0.25">
      <c r="A1423" s="81" t="s">
        <v>3654</v>
      </c>
      <c r="B1423" s="80" t="s">
        <v>9514</v>
      </c>
    </row>
    <row r="1424" spans="1:2" x14ac:dyDescent="0.25">
      <c r="A1424" s="81" t="s">
        <v>3655</v>
      </c>
      <c r="B1424" s="80" t="s">
        <v>9514</v>
      </c>
    </row>
    <row r="1425" spans="1:2" x14ac:dyDescent="0.25">
      <c r="A1425" s="81" t="s">
        <v>3656</v>
      </c>
      <c r="B1425" s="80" t="s">
        <v>9514</v>
      </c>
    </row>
    <row r="1426" spans="1:2" x14ac:dyDescent="0.25">
      <c r="A1426" s="81" t="s">
        <v>3657</v>
      </c>
      <c r="B1426" s="80" t="s">
        <v>9514</v>
      </c>
    </row>
    <row r="1427" spans="1:2" x14ac:dyDescent="0.25">
      <c r="A1427" s="81" t="s">
        <v>3658</v>
      </c>
      <c r="B1427" s="80" t="s">
        <v>9514</v>
      </c>
    </row>
    <row r="1428" spans="1:2" x14ac:dyDescent="0.25">
      <c r="A1428" s="81" t="s">
        <v>3659</v>
      </c>
      <c r="B1428" s="80" t="s">
        <v>9514</v>
      </c>
    </row>
    <row r="1429" spans="1:2" x14ac:dyDescent="0.25">
      <c r="A1429" s="81" t="s">
        <v>3660</v>
      </c>
      <c r="B1429" s="80" t="s">
        <v>9514</v>
      </c>
    </row>
    <row r="1430" spans="1:2" x14ac:dyDescent="0.25">
      <c r="A1430" s="81" t="s">
        <v>3661</v>
      </c>
      <c r="B1430" s="80" t="s">
        <v>9514</v>
      </c>
    </row>
    <row r="1431" spans="1:2" x14ac:dyDescent="0.25">
      <c r="A1431" s="81" t="s">
        <v>3662</v>
      </c>
      <c r="B1431" s="80" t="s">
        <v>9514</v>
      </c>
    </row>
    <row r="1432" spans="1:2" x14ac:dyDescent="0.25">
      <c r="A1432" s="81" t="s">
        <v>3663</v>
      </c>
      <c r="B1432" s="80" t="s">
        <v>9514</v>
      </c>
    </row>
    <row r="1433" spans="1:2" x14ac:dyDescent="0.25">
      <c r="A1433" s="81" t="s">
        <v>3664</v>
      </c>
      <c r="B1433" s="80" t="s">
        <v>9514</v>
      </c>
    </row>
    <row r="1434" spans="1:2" x14ac:dyDescent="0.25">
      <c r="A1434" s="81" t="s">
        <v>3665</v>
      </c>
      <c r="B1434" s="80" t="s">
        <v>9514</v>
      </c>
    </row>
    <row r="1435" spans="1:2" x14ac:dyDescent="0.25">
      <c r="A1435" s="81" t="s">
        <v>3666</v>
      </c>
      <c r="B1435" s="80" t="s">
        <v>9514</v>
      </c>
    </row>
    <row r="1436" spans="1:2" x14ac:dyDescent="0.25">
      <c r="A1436" s="81" t="s">
        <v>3667</v>
      </c>
      <c r="B1436" s="80" t="s">
        <v>9514</v>
      </c>
    </row>
    <row r="1437" spans="1:2" x14ac:dyDescent="0.25">
      <c r="A1437" s="81" t="s">
        <v>3668</v>
      </c>
      <c r="B1437" s="80" t="s">
        <v>9514</v>
      </c>
    </row>
    <row r="1438" spans="1:2" x14ac:dyDescent="0.25">
      <c r="A1438" s="81" t="s">
        <v>3669</v>
      </c>
      <c r="B1438" s="80" t="s">
        <v>9514</v>
      </c>
    </row>
    <row r="1439" spans="1:2" x14ac:dyDescent="0.25">
      <c r="A1439" s="81" t="s">
        <v>3670</v>
      </c>
      <c r="B1439" s="80" t="s">
        <v>9514</v>
      </c>
    </row>
    <row r="1440" spans="1:2" x14ac:dyDescent="0.25">
      <c r="A1440" s="81" t="s">
        <v>3671</v>
      </c>
      <c r="B1440" s="80" t="s">
        <v>9514</v>
      </c>
    </row>
    <row r="1441" spans="1:2" x14ac:dyDescent="0.25">
      <c r="A1441" s="81" t="s">
        <v>3672</v>
      </c>
      <c r="B1441" s="80" t="s">
        <v>9514</v>
      </c>
    </row>
    <row r="1442" spans="1:2" x14ac:dyDescent="0.25">
      <c r="A1442" s="81" t="s">
        <v>3673</v>
      </c>
      <c r="B1442" s="80" t="s">
        <v>9514</v>
      </c>
    </row>
    <row r="1443" spans="1:2" x14ac:dyDescent="0.25">
      <c r="A1443" s="81" t="s">
        <v>3674</v>
      </c>
      <c r="B1443" s="80" t="s">
        <v>9514</v>
      </c>
    </row>
    <row r="1444" spans="1:2" x14ac:dyDescent="0.25">
      <c r="A1444" s="81" t="s">
        <v>3675</v>
      </c>
      <c r="B1444" s="80" t="s">
        <v>9514</v>
      </c>
    </row>
    <row r="1445" spans="1:2" x14ac:dyDescent="0.25">
      <c r="A1445" s="81" t="s">
        <v>3676</v>
      </c>
      <c r="B1445" s="80" t="s">
        <v>9514</v>
      </c>
    </row>
    <row r="1446" spans="1:2" x14ac:dyDescent="0.25">
      <c r="A1446" s="81" t="s">
        <v>3677</v>
      </c>
      <c r="B1446" s="80" t="s">
        <v>9514</v>
      </c>
    </row>
    <row r="1447" spans="1:2" x14ac:dyDescent="0.25">
      <c r="A1447" s="81" t="s">
        <v>3678</v>
      </c>
      <c r="B1447" s="80" t="s">
        <v>9514</v>
      </c>
    </row>
    <row r="1448" spans="1:2" x14ac:dyDescent="0.25">
      <c r="A1448" s="81" t="s">
        <v>3679</v>
      </c>
      <c r="B1448" s="80" t="s">
        <v>9514</v>
      </c>
    </row>
    <row r="1449" spans="1:2" x14ac:dyDescent="0.25">
      <c r="A1449" s="81" t="s">
        <v>3680</v>
      </c>
      <c r="B1449" s="80" t="s">
        <v>9514</v>
      </c>
    </row>
    <row r="1450" spans="1:2" x14ac:dyDescent="0.25">
      <c r="A1450" s="81" t="s">
        <v>2012</v>
      </c>
      <c r="B1450" s="80" t="s">
        <v>9514</v>
      </c>
    </row>
    <row r="1451" spans="1:2" x14ac:dyDescent="0.25">
      <c r="A1451" s="81" t="s">
        <v>3681</v>
      </c>
      <c r="B1451" s="80" t="s">
        <v>9514</v>
      </c>
    </row>
    <row r="1452" spans="1:2" x14ac:dyDescent="0.25">
      <c r="A1452" s="81" t="s">
        <v>1829</v>
      </c>
      <c r="B1452" s="80" t="s">
        <v>9514</v>
      </c>
    </row>
    <row r="1453" spans="1:2" x14ac:dyDescent="0.25">
      <c r="A1453" s="81" t="s">
        <v>3682</v>
      </c>
      <c r="B1453" s="80" t="s">
        <v>9514</v>
      </c>
    </row>
    <row r="1454" spans="1:2" x14ac:dyDescent="0.25">
      <c r="A1454" s="81" t="s">
        <v>3683</v>
      </c>
      <c r="B1454" s="80" t="s">
        <v>9514</v>
      </c>
    </row>
    <row r="1455" spans="1:2" x14ac:dyDescent="0.25">
      <c r="A1455" s="81" t="s">
        <v>3684</v>
      </c>
      <c r="B1455" s="80" t="s">
        <v>9514</v>
      </c>
    </row>
    <row r="1456" spans="1:2" x14ac:dyDescent="0.25">
      <c r="A1456" s="81" t="s">
        <v>3685</v>
      </c>
      <c r="B1456" s="80" t="s">
        <v>9514</v>
      </c>
    </row>
    <row r="1457" spans="1:2" x14ac:dyDescent="0.25">
      <c r="A1457" s="81" t="s">
        <v>1788</v>
      </c>
      <c r="B1457" s="80" t="s">
        <v>9514</v>
      </c>
    </row>
    <row r="1458" spans="1:2" x14ac:dyDescent="0.25">
      <c r="A1458" s="81" t="s">
        <v>3686</v>
      </c>
      <c r="B1458" s="80" t="s">
        <v>9514</v>
      </c>
    </row>
    <row r="1459" spans="1:2" x14ac:dyDescent="0.25">
      <c r="A1459" s="81" t="s">
        <v>3687</v>
      </c>
      <c r="B1459" s="80" t="s">
        <v>9514</v>
      </c>
    </row>
    <row r="1460" spans="1:2" x14ac:dyDescent="0.25">
      <c r="A1460" s="81" t="s">
        <v>3688</v>
      </c>
      <c r="B1460" s="80" t="s">
        <v>9514</v>
      </c>
    </row>
    <row r="1461" spans="1:2" x14ac:dyDescent="0.25">
      <c r="A1461" s="81" t="s">
        <v>3689</v>
      </c>
      <c r="B1461" s="80" t="s">
        <v>9514</v>
      </c>
    </row>
    <row r="1462" spans="1:2" x14ac:dyDescent="0.25">
      <c r="A1462" s="81" t="s">
        <v>3690</v>
      </c>
      <c r="B1462" s="80" t="s">
        <v>9514</v>
      </c>
    </row>
    <row r="1463" spans="1:2" x14ac:dyDescent="0.25">
      <c r="A1463" s="81" t="s">
        <v>3691</v>
      </c>
      <c r="B1463" s="80" t="s">
        <v>9514</v>
      </c>
    </row>
    <row r="1464" spans="1:2" x14ac:dyDescent="0.25">
      <c r="A1464" s="81" t="s">
        <v>3692</v>
      </c>
      <c r="B1464" s="80" t="s">
        <v>9514</v>
      </c>
    </row>
    <row r="1465" spans="1:2" x14ac:dyDescent="0.25">
      <c r="A1465" s="81" t="s">
        <v>3693</v>
      </c>
      <c r="B1465" s="80" t="s">
        <v>9514</v>
      </c>
    </row>
    <row r="1466" spans="1:2" x14ac:dyDescent="0.25">
      <c r="A1466" s="81" t="s">
        <v>3694</v>
      </c>
      <c r="B1466" s="80" t="s">
        <v>9514</v>
      </c>
    </row>
    <row r="1467" spans="1:2" x14ac:dyDescent="0.25">
      <c r="A1467" s="81" t="s">
        <v>3695</v>
      </c>
      <c r="B1467" s="80" t="s">
        <v>9514</v>
      </c>
    </row>
    <row r="1468" spans="1:2" x14ac:dyDescent="0.25">
      <c r="A1468" s="81" t="s">
        <v>3696</v>
      </c>
      <c r="B1468" s="80" t="s">
        <v>9514</v>
      </c>
    </row>
    <row r="1469" spans="1:2" x14ac:dyDescent="0.25">
      <c r="A1469" s="81" t="s">
        <v>3697</v>
      </c>
      <c r="B1469" s="80" t="s">
        <v>9514</v>
      </c>
    </row>
    <row r="1470" spans="1:2" x14ac:dyDescent="0.25">
      <c r="A1470" s="81" t="s">
        <v>3698</v>
      </c>
      <c r="B1470" s="80" t="s">
        <v>9514</v>
      </c>
    </row>
    <row r="1471" spans="1:2" x14ac:dyDescent="0.25">
      <c r="A1471" s="81" t="s">
        <v>3699</v>
      </c>
      <c r="B1471" s="80" t="s">
        <v>9514</v>
      </c>
    </row>
    <row r="1472" spans="1:2" x14ac:dyDescent="0.25">
      <c r="A1472" s="81" t="s">
        <v>3700</v>
      </c>
      <c r="B1472" s="80" t="s">
        <v>9514</v>
      </c>
    </row>
    <row r="1473" spans="1:2" x14ac:dyDescent="0.25">
      <c r="A1473" s="81" t="s">
        <v>3701</v>
      </c>
      <c r="B1473" s="80" t="s">
        <v>9514</v>
      </c>
    </row>
    <row r="1474" spans="1:2" x14ac:dyDescent="0.25">
      <c r="A1474" s="81" t="s">
        <v>3702</v>
      </c>
      <c r="B1474" s="80" t="s">
        <v>9514</v>
      </c>
    </row>
    <row r="1475" spans="1:2" x14ac:dyDescent="0.25">
      <c r="A1475" s="81" t="s">
        <v>3703</v>
      </c>
      <c r="B1475" s="80" t="s">
        <v>9514</v>
      </c>
    </row>
    <row r="1476" spans="1:2" x14ac:dyDescent="0.25">
      <c r="A1476" s="81" t="s">
        <v>3704</v>
      </c>
      <c r="B1476" s="80" t="s">
        <v>9514</v>
      </c>
    </row>
    <row r="1477" spans="1:2" x14ac:dyDescent="0.25">
      <c r="A1477" s="81" t="s">
        <v>3705</v>
      </c>
      <c r="B1477" s="80" t="s">
        <v>9514</v>
      </c>
    </row>
    <row r="1478" spans="1:2" x14ac:dyDescent="0.25">
      <c r="A1478" s="81" t="s">
        <v>3706</v>
      </c>
      <c r="B1478" s="80" t="s">
        <v>9514</v>
      </c>
    </row>
    <row r="1479" spans="1:2" x14ac:dyDescent="0.25">
      <c r="A1479" s="81" t="s">
        <v>3707</v>
      </c>
      <c r="B1479" s="80" t="s">
        <v>9514</v>
      </c>
    </row>
    <row r="1480" spans="1:2" x14ac:dyDescent="0.25">
      <c r="A1480" s="81" t="s">
        <v>3708</v>
      </c>
      <c r="B1480" s="80" t="s">
        <v>9514</v>
      </c>
    </row>
    <row r="1481" spans="1:2" x14ac:dyDescent="0.25">
      <c r="A1481" s="81" t="s">
        <v>3709</v>
      </c>
      <c r="B1481" s="80" t="s">
        <v>9514</v>
      </c>
    </row>
    <row r="1482" spans="1:2" x14ac:dyDescent="0.25">
      <c r="A1482" s="81" t="s">
        <v>3710</v>
      </c>
      <c r="B1482" s="80" t="s">
        <v>9514</v>
      </c>
    </row>
    <row r="1483" spans="1:2" x14ac:dyDescent="0.25">
      <c r="A1483" s="81" t="s">
        <v>3711</v>
      </c>
      <c r="B1483" s="80" t="s">
        <v>9514</v>
      </c>
    </row>
    <row r="1484" spans="1:2" x14ac:dyDescent="0.25">
      <c r="A1484" s="81" t="s">
        <v>3712</v>
      </c>
      <c r="B1484" s="80" t="s">
        <v>9514</v>
      </c>
    </row>
    <row r="1485" spans="1:2" x14ac:dyDescent="0.25">
      <c r="A1485" s="81" t="s">
        <v>3713</v>
      </c>
      <c r="B1485" s="80" t="s">
        <v>9514</v>
      </c>
    </row>
    <row r="1486" spans="1:2" x14ac:dyDescent="0.25">
      <c r="A1486" s="81" t="s">
        <v>3714</v>
      </c>
      <c r="B1486" s="80" t="s">
        <v>9514</v>
      </c>
    </row>
    <row r="1487" spans="1:2" x14ac:dyDescent="0.25">
      <c r="A1487" s="81" t="s">
        <v>3715</v>
      </c>
      <c r="B1487" s="80" t="s">
        <v>9514</v>
      </c>
    </row>
    <row r="1488" spans="1:2" x14ac:dyDescent="0.25">
      <c r="A1488" s="81" t="s">
        <v>3716</v>
      </c>
      <c r="B1488" s="80" t="s">
        <v>9514</v>
      </c>
    </row>
    <row r="1489" spans="1:2" x14ac:dyDescent="0.25">
      <c r="A1489" s="81" t="s">
        <v>3717</v>
      </c>
      <c r="B1489" s="80" t="s">
        <v>9514</v>
      </c>
    </row>
    <row r="1490" spans="1:2" x14ac:dyDescent="0.25">
      <c r="A1490" s="81" t="s">
        <v>3718</v>
      </c>
      <c r="B1490" s="80" t="s">
        <v>9514</v>
      </c>
    </row>
    <row r="1491" spans="1:2" x14ac:dyDescent="0.25">
      <c r="A1491" s="81" t="s">
        <v>3719</v>
      </c>
      <c r="B1491" s="80" t="s">
        <v>9514</v>
      </c>
    </row>
    <row r="1492" spans="1:2" x14ac:dyDescent="0.25">
      <c r="A1492" s="81" t="s">
        <v>3720</v>
      </c>
      <c r="B1492" s="80" t="s">
        <v>9514</v>
      </c>
    </row>
    <row r="1493" spans="1:2" x14ac:dyDescent="0.25">
      <c r="A1493" s="81" t="s">
        <v>3721</v>
      </c>
      <c r="B1493" s="80" t="s">
        <v>9514</v>
      </c>
    </row>
    <row r="1494" spans="1:2" x14ac:dyDescent="0.25">
      <c r="A1494" s="81" t="s">
        <v>3722</v>
      </c>
      <c r="B1494" s="80" t="s">
        <v>9514</v>
      </c>
    </row>
    <row r="1495" spans="1:2" x14ac:dyDescent="0.25">
      <c r="A1495" s="81" t="s">
        <v>3723</v>
      </c>
      <c r="B1495" s="80" t="s">
        <v>9514</v>
      </c>
    </row>
    <row r="1496" spans="1:2" x14ac:dyDescent="0.25">
      <c r="A1496" s="81" t="s">
        <v>3724</v>
      </c>
      <c r="B1496" s="80" t="s">
        <v>9514</v>
      </c>
    </row>
    <row r="1497" spans="1:2" x14ac:dyDescent="0.25">
      <c r="A1497" s="81" t="s">
        <v>3725</v>
      </c>
      <c r="B1497" s="80" t="s">
        <v>9514</v>
      </c>
    </row>
    <row r="1498" spans="1:2" x14ac:dyDescent="0.25">
      <c r="A1498" s="81" t="s">
        <v>3726</v>
      </c>
      <c r="B1498" s="80" t="s">
        <v>9514</v>
      </c>
    </row>
    <row r="1499" spans="1:2" x14ac:dyDescent="0.25">
      <c r="A1499" s="81" t="s">
        <v>3727</v>
      </c>
      <c r="B1499" s="80" t="s">
        <v>9514</v>
      </c>
    </row>
    <row r="1500" spans="1:2" x14ac:dyDescent="0.25">
      <c r="A1500" s="81" t="s">
        <v>3728</v>
      </c>
      <c r="B1500" s="80" t="s">
        <v>9514</v>
      </c>
    </row>
    <row r="1501" spans="1:2" x14ac:dyDescent="0.25">
      <c r="A1501" s="81" t="s">
        <v>3729</v>
      </c>
      <c r="B1501" s="80" t="s">
        <v>9514</v>
      </c>
    </row>
    <row r="1502" spans="1:2" x14ac:dyDescent="0.25">
      <c r="A1502" s="81" t="s">
        <v>3730</v>
      </c>
      <c r="B1502" s="80" t="s">
        <v>9514</v>
      </c>
    </row>
    <row r="1503" spans="1:2" x14ac:dyDescent="0.25">
      <c r="A1503" s="81" t="s">
        <v>3731</v>
      </c>
      <c r="B1503" s="80" t="s">
        <v>9514</v>
      </c>
    </row>
    <row r="1504" spans="1:2" x14ac:dyDescent="0.25">
      <c r="A1504" s="81" t="s">
        <v>3732</v>
      </c>
      <c r="B1504" s="80" t="s">
        <v>9514</v>
      </c>
    </row>
    <row r="1505" spans="1:2" x14ac:dyDescent="0.25">
      <c r="A1505" s="81" t="s">
        <v>3733</v>
      </c>
      <c r="B1505" s="80" t="s">
        <v>9514</v>
      </c>
    </row>
    <row r="1506" spans="1:2" x14ac:dyDescent="0.25">
      <c r="A1506" s="81" t="s">
        <v>3734</v>
      </c>
      <c r="B1506" s="80" t="s">
        <v>9514</v>
      </c>
    </row>
    <row r="1507" spans="1:2" x14ac:dyDescent="0.25">
      <c r="A1507" s="81" t="s">
        <v>1816</v>
      </c>
      <c r="B1507" s="80" t="s">
        <v>9514</v>
      </c>
    </row>
    <row r="1508" spans="1:2" x14ac:dyDescent="0.25">
      <c r="A1508" s="81" t="s">
        <v>3735</v>
      </c>
      <c r="B1508" s="80" t="s">
        <v>9514</v>
      </c>
    </row>
    <row r="1509" spans="1:2" x14ac:dyDescent="0.25">
      <c r="A1509" s="81" t="s">
        <v>3736</v>
      </c>
      <c r="B1509" s="80" t="s">
        <v>9514</v>
      </c>
    </row>
    <row r="1510" spans="1:2" x14ac:dyDescent="0.25">
      <c r="A1510" s="81" t="s">
        <v>3737</v>
      </c>
      <c r="B1510" s="80" t="s">
        <v>9514</v>
      </c>
    </row>
    <row r="1511" spans="1:2" x14ac:dyDescent="0.25">
      <c r="A1511" s="81" t="s">
        <v>3738</v>
      </c>
      <c r="B1511" s="80" t="s">
        <v>9514</v>
      </c>
    </row>
    <row r="1512" spans="1:2" x14ac:dyDescent="0.25">
      <c r="A1512" s="81" t="s">
        <v>3739</v>
      </c>
      <c r="B1512" s="80" t="s">
        <v>9514</v>
      </c>
    </row>
    <row r="1513" spans="1:2" x14ac:dyDescent="0.25">
      <c r="A1513" s="81" t="s">
        <v>3740</v>
      </c>
      <c r="B1513" s="80" t="s">
        <v>9514</v>
      </c>
    </row>
    <row r="1514" spans="1:2" x14ac:dyDescent="0.25">
      <c r="A1514" s="81" t="s">
        <v>3741</v>
      </c>
      <c r="B1514" s="80" t="s">
        <v>9514</v>
      </c>
    </row>
    <row r="1515" spans="1:2" x14ac:dyDescent="0.25">
      <c r="A1515" s="81" t="s">
        <v>3742</v>
      </c>
      <c r="B1515" s="80" t="s">
        <v>9514</v>
      </c>
    </row>
    <row r="1516" spans="1:2" x14ac:dyDescent="0.25">
      <c r="A1516" s="81" t="s">
        <v>3743</v>
      </c>
      <c r="B1516" s="80" t="s">
        <v>9514</v>
      </c>
    </row>
    <row r="1517" spans="1:2" x14ac:dyDescent="0.25">
      <c r="A1517" s="81" t="s">
        <v>3744</v>
      </c>
      <c r="B1517" s="80" t="s">
        <v>9514</v>
      </c>
    </row>
    <row r="1518" spans="1:2" x14ac:dyDescent="0.25">
      <c r="A1518" s="81" t="s">
        <v>3745</v>
      </c>
      <c r="B1518" s="80" t="s">
        <v>9514</v>
      </c>
    </row>
    <row r="1519" spans="1:2" x14ac:dyDescent="0.25">
      <c r="A1519" s="81" t="s">
        <v>3746</v>
      </c>
      <c r="B1519" s="80" t="s">
        <v>9514</v>
      </c>
    </row>
    <row r="1520" spans="1:2" x14ac:dyDescent="0.25">
      <c r="A1520" s="81" t="s">
        <v>3747</v>
      </c>
      <c r="B1520" s="80" t="s">
        <v>9514</v>
      </c>
    </row>
    <row r="1521" spans="1:2" x14ac:dyDescent="0.25">
      <c r="A1521" s="81" t="s">
        <v>3748</v>
      </c>
      <c r="B1521" s="80" t="s">
        <v>9514</v>
      </c>
    </row>
    <row r="1522" spans="1:2" x14ac:dyDescent="0.25">
      <c r="A1522" s="81" t="s">
        <v>3749</v>
      </c>
      <c r="B1522" s="80" t="s">
        <v>9514</v>
      </c>
    </row>
    <row r="1523" spans="1:2" x14ac:dyDescent="0.25">
      <c r="A1523" s="81" t="s">
        <v>3750</v>
      </c>
      <c r="B1523" s="80" t="s">
        <v>9514</v>
      </c>
    </row>
    <row r="1524" spans="1:2" x14ac:dyDescent="0.25">
      <c r="A1524" s="81" t="s">
        <v>3751</v>
      </c>
      <c r="B1524" s="80" t="s">
        <v>9514</v>
      </c>
    </row>
    <row r="1525" spans="1:2" x14ac:dyDescent="0.25">
      <c r="A1525" s="81" t="s">
        <v>3752</v>
      </c>
      <c r="B1525" s="80" t="s">
        <v>9514</v>
      </c>
    </row>
    <row r="1526" spans="1:2" x14ac:dyDescent="0.25">
      <c r="A1526" s="81" t="s">
        <v>3753</v>
      </c>
      <c r="B1526" s="80" t="s">
        <v>9514</v>
      </c>
    </row>
    <row r="1527" spans="1:2" x14ac:dyDescent="0.25">
      <c r="A1527" s="81" t="s">
        <v>3754</v>
      </c>
      <c r="B1527" s="80" t="s">
        <v>9514</v>
      </c>
    </row>
    <row r="1528" spans="1:2" x14ac:dyDescent="0.25">
      <c r="A1528" s="81" t="s">
        <v>3755</v>
      </c>
      <c r="B1528" s="80" t="s">
        <v>9514</v>
      </c>
    </row>
    <row r="1529" spans="1:2" x14ac:dyDescent="0.25">
      <c r="A1529" s="81" t="s">
        <v>3756</v>
      </c>
      <c r="B1529" s="80" t="s">
        <v>9514</v>
      </c>
    </row>
    <row r="1530" spans="1:2" x14ac:dyDescent="0.25">
      <c r="A1530" s="81" t="s">
        <v>3757</v>
      </c>
      <c r="B1530" s="80" t="s">
        <v>9514</v>
      </c>
    </row>
    <row r="1531" spans="1:2" x14ac:dyDescent="0.25">
      <c r="A1531" s="81" t="s">
        <v>3758</v>
      </c>
      <c r="B1531" s="80" t="s">
        <v>9514</v>
      </c>
    </row>
    <row r="1532" spans="1:2" x14ac:dyDescent="0.25">
      <c r="A1532" s="81" t="s">
        <v>3759</v>
      </c>
      <c r="B1532" s="80" t="s">
        <v>9514</v>
      </c>
    </row>
    <row r="1533" spans="1:2" x14ac:dyDescent="0.25">
      <c r="A1533" s="81" t="s">
        <v>3760</v>
      </c>
      <c r="B1533" s="80" t="s">
        <v>9514</v>
      </c>
    </row>
    <row r="1534" spans="1:2" x14ac:dyDescent="0.25">
      <c r="A1534" s="81" t="s">
        <v>3761</v>
      </c>
      <c r="B1534" s="80" t="s">
        <v>9514</v>
      </c>
    </row>
    <row r="1535" spans="1:2" x14ac:dyDescent="0.25">
      <c r="A1535" s="81" t="s">
        <v>3762</v>
      </c>
      <c r="B1535" s="80" t="s">
        <v>9514</v>
      </c>
    </row>
    <row r="1536" spans="1:2" x14ac:dyDescent="0.25">
      <c r="A1536" s="81" t="s">
        <v>3763</v>
      </c>
      <c r="B1536" s="80" t="s">
        <v>9514</v>
      </c>
    </row>
    <row r="1537" spans="1:2" x14ac:dyDescent="0.25">
      <c r="A1537" s="81" t="s">
        <v>3764</v>
      </c>
      <c r="B1537" s="80" t="s">
        <v>9514</v>
      </c>
    </row>
    <row r="1538" spans="1:2" x14ac:dyDescent="0.25">
      <c r="A1538" s="81" t="s">
        <v>3765</v>
      </c>
      <c r="B1538" s="80" t="s">
        <v>9514</v>
      </c>
    </row>
    <row r="1539" spans="1:2" x14ac:dyDescent="0.25">
      <c r="A1539" s="81" t="s">
        <v>3766</v>
      </c>
      <c r="B1539" s="80" t="s">
        <v>9514</v>
      </c>
    </row>
    <row r="1540" spans="1:2" x14ac:dyDescent="0.25">
      <c r="A1540" s="81" t="s">
        <v>2214</v>
      </c>
      <c r="B1540" s="80" t="s">
        <v>9514</v>
      </c>
    </row>
    <row r="1541" spans="1:2" x14ac:dyDescent="0.25">
      <c r="A1541" s="81" t="s">
        <v>3767</v>
      </c>
      <c r="B1541" s="80" t="s">
        <v>9514</v>
      </c>
    </row>
    <row r="1542" spans="1:2" x14ac:dyDescent="0.25">
      <c r="A1542" s="81" t="s">
        <v>3768</v>
      </c>
      <c r="B1542" s="80" t="s">
        <v>9514</v>
      </c>
    </row>
    <row r="1543" spans="1:2" x14ac:dyDescent="0.25">
      <c r="A1543" s="81" t="s">
        <v>3769</v>
      </c>
      <c r="B1543" s="80" t="s">
        <v>9514</v>
      </c>
    </row>
    <row r="1544" spans="1:2" x14ac:dyDescent="0.25">
      <c r="A1544" s="81" t="s">
        <v>3770</v>
      </c>
      <c r="B1544" s="80" t="s">
        <v>9514</v>
      </c>
    </row>
    <row r="1545" spans="1:2" x14ac:dyDescent="0.25">
      <c r="A1545" s="81" t="s">
        <v>3771</v>
      </c>
      <c r="B1545" s="80" t="s">
        <v>9514</v>
      </c>
    </row>
    <row r="1546" spans="1:2" x14ac:dyDescent="0.25">
      <c r="A1546" s="81" t="s">
        <v>3772</v>
      </c>
      <c r="B1546" s="80" t="s">
        <v>9514</v>
      </c>
    </row>
    <row r="1547" spans="1:2" x14ac:dyDescent="0.25">
      <c r="A1547" s="81" t="s">
        <v>3773</v>
      </c>
      <c r="B1547" s="80" t="s">
        <v>9514</v>
      </c>
    </row>
    <row r="1548" spans="1:2" x14ac:dyDescent="0.25">
      <c r="A1548" s="81" t="s">
        <v>3774</v>
      </c>
      <c r="B1548" s="80" t="s">
        <v>9514</v>
      </c>
    </row>
    <row r="1549" spans="1:2" x14ac:dyDescent="0.25">
      <c r="A1549" s="81" t="s">
        <v>3775</v>
      </c>
      <c r="B1549" s="80" t="s">
        <v>9514</v>
      </c>
    </row>
    <row r="1550" spans="1:2" x14ac:dyDescent="0.25">
      <c r="A1550" s="81" t="s">
        <v>3776</v>
      </c>
      <c r="B1550" s="80" t="s">
        <v>9514</v>
      </c>
    </row>
    <row r="1551" spans="1:2" x14ac:dyDescent="0.25">
      <c r="A1551" s="81" t="s">
        <v>3777</v>
      </c>
      <c r="B1551" s="80" t="s">
        <v>9514</v>
      </c>
    </row>
    <row r="1552" spans="1:2" x14ac:dyDescent="0.25">
      <c r="A1552" s="81" t="s">
        <v>3778</v>
      </c>
      <c r="B1552" s="80" t="s">
        <v>9514</v>
      </c>
    </row>
    <row r="1553" spans="1:2" x14ac:dyDescent="0.25">
      <c r="A1553" s="81" t="s">
        <v>3779</v>
      </c>
      <c r="B1553" s="80" t="s">
        <v>9514</v>
      </c>
    </row>
    <row r="1554" spans="1:2" x14ac:dyDescent="0.25">
      <c r="A1554" s="81" t="s">
        <v>3780</v>
      </c>
      <c r="B1554" s="80" t="s">
        <v>9514</v>
      </c>
    </row>
    <row r="1555" spans="1:2" x14ac:dyDescent="0.25">
      <c r="A1555" s="81" t="s">
        <v>3781</v>
      </c>
      <c r="B1555" s="80" t="s">
        <v>9514</v>
      </c>
    </row>
    <row r="1556" spans="1:2" x14ac:dyDescent="0.25">
      <c r="A1556" s="81" t="s">
        <v>3782</v>
      </c>
      <c r="B1556" s="80" t="s">
        <v>9514</v>
      </c>
    </row>
    <row r="1557" spans="1:2" x14ac:dyDescent="0.25">
      <c r="A1557" s="81" t="s">
        <v>3783</v>
      </c>
      <c r="B1557" s="80" t="s">
        <v>9514</v>
      </c>
    </row>
    <row r="1558" spans="1:2" x14ac:dyDescent="0.25">
      <c r="A1558" s="81" t="s">
        <v>3784</v>
      </c>
      <c r="B1558" s="80" t="s">
        <v>9514</v>
      </c>
    </row>
    <row r="1559" spans="1:2" x14ac:dyDescent="0.25">
      <c r="A1559" s="81" t="s">
        <v>3785</v>
      </c>
      <c r="B1559" s="80" t="s">
        <v>9514</v>
      </c>
    </row>
    <row r="1560" spans="1:2" x14ac:dyDescent="0.25">
      <c r="A1560" s="81" t="s">
        <v>3786</v>
      </c>
      <c r="B1560" s="80" t="s">
        <v>9514</v>
      </c>
    </row>
    <row r="1561" spans="1:2" x14ac:dyDescent="0.25">
      <c r="A1561" s="81" t="s">
        <v>3787</v>
      </c>
      <c r="B1561" s="80" t="s">
        <v>9514</v>
      </c>
    </row>
    <row r="1562" spans="1:2" x14ac:dyDescent="0.25">
      <c r="A1562" s="81" t="s">
        <v>3788</v>
      </c>
      <c r="B1562" s="80" t="s">
        <v>9514</v>
      </c>
    </row>
    <row r="1563" spans="1:2" x14ac:dyDescent="0.25">
      <c r="A1563" s="81" t="s">
        <v>3789</v>
      </c>
      <c r="B1563" s="80" t="s">
        <v>9514</v>
      </c>
    </row>
    <row r="1564" spans="1:2" x14ac:dyDescent="0.25">
      <c r="A1564" s="81" t="s">
        <v>3790</v>
      </c>
      <c r="B1564" s="80" t="s">
        <v>9514</v>
      </c>
    </row>
    <row r="1565" spans="1:2" x14ac:dyDescent="0.25">
      <c r="A1565" s="81" t="s">
        <v>3791</v>
      </c>
      <c r="B1565" s="80" t="s">
        <v>9514</v>
      </c>
    </row>
    <row r="1566" spans="1:2" x14ac:dyDescent="0.25">
      <c r="A1566" s="81" t="s">
        <v>3792</v>
      </c>
      <c r="B1566" s="80" t="s">
        <v>9514</v>
      </c>
    </row>
    <row r="1567" spans="1:2" x14ac:dyDescent="0.25">
      <c r="A1567" s="81" t="s">
        <v>3793</v>
      </c>
      <c r="B1567" s="80" t="s">
        <v>9514</v>
      </c>
    </row>
    <row r="1568" spans="1:2" x14ac:dyDescent="0.25">
      <c r="A1568" s="81" t="s">
        <v>3794</v>
      </c>
      <c r="B1568" s="80" t="s">
        <v>9514</v>
      </c>
    </row>
    <row r="1569" spans="1:2" x14ac:dyDescent="0.25">
      <c r="A1569" s="81" t="s">
        <v>3795</v>
      </c>
      <c r="B1569" s="80" t="s">
        <v>9514</v>
      </c>
    </row>
    <row r="1570" spans="1:2" x14ac:dyDescent="0.25">
      <c r="A1570" s="81" t="s">
        <v>3796</v>
      </c>
      <c r="B1570" s="80" t="s">
        <v>9514</v>
      </c>
    </row>
    <row r="1571" spans="1:2" x14ac:dyDescent="0.25">
      <c r="A1571" s="81" t="s">
        <v>3797</v>
      </c>
      <c r="B1571" s="80" t="s">
        <v>9514</v>
      </c>
    </row>
    <row r="1572" spans="1:2" x14ac:dyDescent="0.25">
      <c r="A1572" s="81" t="s">
        <v>3798</v>
      </c>
      <c r="B1572" s="80" t="s">
        <v>9514</v>
      </c>
    </row>
    <row r="1573" spans="1:2" x14ac:dyDescent="0.25">
      <c r="A1573" s="81" t="s">
        <v>3799</v>
      </c>
      <c r="B1573" s="80" t="s">
        <v>9514</v>
      </c>
    </row>
    <row r="1574" spans="1:2" x14ac:dyDescent="0.25">
      <c r="A1574" s="81" t="s">
        <v>3800</v>
      </c>
      <c r="B1574" s="80" t="s">
        <v>9514</v>
      </c>
    </row>
    <row r="1575" spans="1:2" x14ac:dyDescent="0.25">
      <c r="A1575" s="81" t="s">
        <v>3801</v>
      </c>
      <c r="B1575" s="80" t="s">
        <v>9514</v>
      </c>
    </row>
    <row r="1576" spans="1:2" x14ac:dyDescent="0.25">
      <c r="A1576" s="81" t="s">
        <v>3802</v>
      </c>
      <c r="B1576" s="80" t="s">
        <v>9514</v>
      </c>
    </row>
    <row r="1577" spans="1:2" x14ac:dyDescent="0.25">
      <c r="A1577" s="81" t="s">
        <v>3803</v>
      </c>
      <c r="B1577" s="80" t="s">
        <v>9514</v>
      </c>
    </row>
    <row r="1578" spans="1:2" x14ac:dyDescent="0.25">
      <c r="A1578" s="81" t="s">
        <v>3804</v>
      </c>
      <c r="B1578" s="80" t="s">
        <v>9514</v>
      </c>
    </row>
    <row r="1579" spans="1:2" x14ac:dyDescent="0.25">
      <c r="A1579" s="81" t="s">
        <v>3805</v>
      </c>
      <c r="B1579" s="80" t="s">
        <v>9514</v>
      </c>
    </row>
    <row r="1580" spans="1:2" x14ac:dyDescent="0.25">
      <c r="A1580" s="81" t="s">
        <v>3806</v>
      </c>
      <c r="B1580" s="80" t="s">
        <v>9514</v>
      </c>
    </row>
    <row r="1581" spans="1:2" x14ac:dyDescent="0.25">
      <c r="A1581" s="81" t="s">
        <v>3807</v>
      </c>
      <c r="B1581" s="80" t="s">
        <v>9514</v>
      </c>
    </row>
    <row r="1582" spans="1:2" x14ac:dyDescent="0.25">
      <c r="A1582" s="81" t="s">
        <v>3808</v>
      </c>
      <c r="B1582" s="80" t="s">
        <v>9514</v>
      </c>
    </row>
    <row r="1583" spans="1:2" x14ac:dyDescent="0.25">
      <c r="A1583" s="81" t="s">
        <v>3809</v>
      </c>
      <c r="B1583" s="80" t="s">
        <v>9514</v>
      </c>
    </row>
    <row r="1584" spans="1:2" x14ac:dyDescent="0.25">
      <c r="A1584" s="81" t="s">
        <v>3810</v>
      </c>
      <c r="B1584" s="80" t="s">
        <v>9514</v>
      </c>
    </row>
    <row r="1585" spans="1:2" x14ac:dyDescent="0.25">
      <c r="A1585" s="81" t="s">
        <v>3811</v>
      </c>
      <c r="B1585" s="80" t="s">
        <v>9514</v>
      </c>
    </row>
    <row r="1586" spans="1:2" x14ac:dyDescent="0.25">
      <c r="A1586" s="81" t="s">
        <v>3812</v>
      </c>
      <c r="B1586" s="80" t="s">
        <v>9514</v>
      </c>
    </row>
    <row r="1587" spans="1:2" x14ac:dyDescent="0.25">
      <c r="A1587" s="81" t="s">
        <v>3813</v>
      </c>
      <c r="B1587" s="80" t="s">
        <v>9514</v>
      </c>
    </row>
    <row r="1588" spans="1:2" x14ac:dyDescent="0.25">
      <c r="A1588" s="81" t="s">
        <v>3814</v>
      </c>
      <c r="B1588" s="80" t="s">
        <v>9514</v>
      </c>
    </row>
    <row r="1589" spans="1:2" x14ac:dyDescent="0.25">
      <c r="A1589" s="81" t="s">
        <v>3815</v>
      </c>
      <c r="B1589" s="80" t="s">
        <v>9514</v>
      </c>
    </row>
    <row r="1590" spans="1:2" x14ac:dyDescent="0.25">
      <c r="A1590" s="81" t="s">
        <v>3816</v>
      </c>
      <c r="B1590" s="80" t="s">
        <v>9514</v>
      </c>
    </row>
    <row r="1591" spans="1:2" x14ac:dyDescent="0.25">
      <c r="A1591" s="81" t="s">
        <v>3817</v>
      </c>
      <c r="B1591" s="80" t="s">
        <v>9514</v>
      </c>
    </row>
    <row r="1592" spans="1:2" x14ac:dyDescent="0.25">
      <c r="A1592" s="81" t="s">
        <v>3818</v>
      </c>
      <c r="B1592" s="80" t="s">
        <v>9514</v>
      </c>
    </row>
    <row r="1593" spans="1:2" x14ac:dyDescent="0.25">
      <c r="A1593" s="81" t="s">
        <v>3819</v>
      </c>
      <c r="B1593" s="80" t="s">
        <v>9514</v>
      </c>
    </row>
    <row r="1594" spans="1:2" x14ac:dyDescent="0.25">
      <c r="A1594" s="81" t="s">
        <v>3820</v>
      </c>
      <c r="B1594" s="80" t="s">
        <v>9514</v>
      </c>
    </row>
    <row r="1595" spans="1:2" x14ac:dyDescent="0.25">
      <c r="A1595" s="81" t="s">
        <v>3821</v>
      </c>
      <c r="B1595" s="80" t="s">
        <v>9514</v>
      </c>
    </row>
    <row r="1596" spans="1:2" x14ac:dyDescent="0.25">
      <c r="A1596" s="81" t="s">
        <v>3822</v>
      </c>
      <c r="B1596" s="80" t="s">
        <v>9514</v>
      </c>
    </row>
    <row r="1597" spans="1:2" x14ac:dyDescent="0.25">
      <c r="A1597" s="81" t="s">
        <v>3823</v>
      </c>
      <c r="B1597" s="80" t="s">
        <v>9514</v>
      </c>
    </row>
    <row r="1598" spans="1:2" x14ac:dyDescent="0.25">
      <c r="A1598" s="81" t="s">
        <v>3824</v>
      </c>
      <c r="B1598" s="80" t="s">
        <v>9514</v>
      </c>
    </row>
    <row r="1599" spans="1:2" x14ac:dyDescent="0.25">
      <c r="A1599" s="81" t="s">
        <v>3825</v>
      </c>
      <c r="B1599" s="80" t="s">
        <v>9514</v>
      </c>
    </row>
    <row r="1600" spans="1:2" x14ac:dyDescent="0.25">
      <c r="A1600" s="81" t="s">
        <v>3826</v>
      </c>
      <c r="B1600" s="80" t="s">
        <v>9514</v>
      </c>
    </row>
    <row r="1601" spans="1:2" x14ac:dyDescent="0.25">
      <c r="A1601" s="81" t="s">
        <v>3827</v>
      </c>
      <c r="B1601" s="80" t="s">
        <v>9514</v>
      </c>
    </row>
    <row r="1602" spans="1:2" x14ac:dyDescent="0.25">
      <c r="A1602" s="81" t="s">
        <v>3828</v>
      </c>
      <c r="B1602" s="80" t="s">
        <v>9514</v>
      </c>
    </row>
    <row r="1603" spans="1:2" x14ac:dyDescent="0.25">
      <c r="A1603" s="81" t="s">
        <v>3829</v>
      </c>
      <c r="B1603" s="80" t="s">
        <v>9514</v>
      </c>
    </row>
    <row r="1604" spans="1:2" x14ac:dyDescent="0.25">
      <c r="A1604" s="81" t="s">
        <v>3830</v>
      </c>
      <c r="B1604" s="80" t="s">
        <v>9514</v>
      </c>
    </row>
    <row r="1605" spans="1:2" x14ac:dyDescent="0.25">
      <c r="A1605" s="81" t="s">
        <v>3831</v>
      </c>
      <c r="B1605" s="80" t="s">
        <v>9514</v>
      </c>
    </row>
    <row r="1606" spans="1:2" x14ac:dyDescent="0.25">
      <c r="A1606" s="81" t="s">
        <v>3832</v>
      </c>
      <c r="B1606" s="80" t="s">
        <v>9514</v>
      </c>
    </row>
    <row r="1607" spans="1:2" x14ac:dyDescent="0.25">
      <c r="A1607" s="81" t="s">
        <v>3833</v>
      </c>
      <c r="B1607" s="80" t="s">
        <v>9514</v>
      </c>
    </row>
    <row r="1608" spans="1:2" x14ac:dyDescent="0.25">
      <c r="A1608" s="81" t="s">
        <v>3834</v>
      </c>
      <c r="B1608" s="80" t="s">
        <v>9514</v>
      </c>
    </row>
    <row r="1609" spans="1:2" x14ac:dyDescent="0.25">
      <c r="A1609" s="81" t="s">
        <v>1922</v>
      </c>
      <c r="B1609" s="80" t="s">
        <v>9514</v>
      </c>
    </row>
    <row r="1610" spans="1:2" x14ac:dyDescent="0.25">
      <c r="A1610" s="81" t="s">
        <v>3835</v>
      </c>
      <c r="B1610" s="80" t="s">
        <v>9514</v>
      </c>
    </row>
    <row r="1611" spans="1:2" x14ac:dyDescent="0.25">
      <c r="A1611" s="81" t="s">
        <v>3836</v>
      </c>
      <c r="B1611" s="80" t="s">
        <v>9514</v>
      </c>
    </row>
    <row r="1612" spans="1:2" x14ac:dyDescent="0.25">
      <c r="A1612" s="81" t="s">
        <v>3837</v>
      </c>
      <c r="B1612" s="80" t="s">
        <v>9514</v>
      </c>
    </row>
    <row r="1613" spans="1:2" x14ac:dyDescent="0.25">
      <c r="A1613" s="81" t="s">
        <v>3838</v>
      </c>
      <c r="B1613" s="80" t="s">
        <v>9514</v>
      </c>
    </row>
    <row r="1614" spans="1:2" x14ac:dyDescent="0.25">
      <c r="A1614" s="81" t="s">
        <v>3839</v>
      </c>
      <c r="B1614" s="80" t="s">
        <v>9514</v>
      </c>
    </row>
    <row r="1615" spans="1:2" x14ac:dyDescent="0.25">
      <c r="A1615" s="81" t="s">
        <v>3840</v>
      </c>
      <c r="B1615" s="80" t="s">
        <v>9514</v>
      </c>
    </row>
    <row r="1616" spans="1:2" x14ac:dyDescent="0.25">
      <c r="A1616" s="81" t="s">
        <v>3841</v>
      </c>
      <c r="B1616" s="80" t="s">
        <v>9514</v>
      </c>
    </row>
    <row r="1617" spans="1:2" x14ac:dyDescent="0.25">
      <c r="A1617" s="81" t="s">
        <v>3842</v>
      </c>
      <c r="B1617" s="80" t="s">
        <v>9514</v>
      </c>
    </row>
    <row r="1618" spans="1:2" x14ac:dyDescent="0.25">
      <c r="A1618" s="81" t="s">
        <v>3843</v>
      </c>
      <c r="B1618" s="80" t="s">
        <v>9514</v>
      </c>
    </row>
    <row r="1619" spans="1:2" x14ac:dyDescent="0.25">
      <c r="A1619" s="81" t="s">
        <v>3844</v>
      </c>
      <c r="B1619" s="80" t="s">
        <v>9514</v>
      </c>
    </row>
    <row r="1620" spans="1:2" x14ac:dyDescent="0.25">
      <c r="A1620" s="81" t="s">
        <v>3845</v>
      </c>
      <c r="B1620" s="80" t="s">
        <v>9514</v>
      </c>
    </row>
    <row r="1621" spans="1:2" x14ac:dyDescent="0.25">
      <c r="A1621" s="81" t="s">
        <v>3846</v>
      </c>
      <c r="B1621" s="80" t="s">
        <v>9514</v>
      </c>
    </row>
    <row r="1622" spans="1:2" x14ac:dyDescent="0.25">
      <c r="A1622" s="81" t="s">
        <v>3847</v>
      </c>
      <c r="B1622" s="80" t="s">
        <v>9514</v>
      </c>
    </row>
    <row r="1623" spans="1:2" x14ac:dyDescent="0.25">
      <c r="A1623" s="81" t="s">
        <v>3848</v>
      </c>
      <c r="B1623" s="80" t="s">
        <v>9514</v>
      </c>
    </row>
    <row r="1624" spans="1:2" x14ac:dyDescent="0.25">
      <c r="A1624" s="81" t="s">
        <v>3849</v>
      </c>
      <c r="B1624" s="80" t="s">
        <v>9514</v>
      </c>
    </row>
    <row r="1625" spans="1:2" x14ac:dyDescent="0.25">
      <c r="A1625" s="81" t="s">
        <v>3850</v>
      </c>
      <c r="B1625" s="80" t="s">
        <v>9514</v>
      </c>
    </row>
    <row r="1626" spans="1:2" x14ac:dyDescent="0.25">
      <c r="A1626" s="81" t="s">
        <v>3851</v>
      </c>
      <c r="B1626" s="80" t="s">
        <v>9514</v>
      </c>
    </row>
    <row r="1627" spans="1:2" x14ac:dyDescent="0.25">
      <c r="A1627" s="81" t="s">
        <v>3852</v>
      </c>
      <c r="B1627" s="80" t="s">
        <v>9514</v>
      </c>
    </row>
    <row r="1628" spans="1:2" x14ac:dyDescent="0.25">
      <c r="A1628" s="81" t="s">
        <v>3853</v>
      </c>
      <c r="B1628" s="80" t="s">
        <v>9514</v>
      </c>
    </row>
    <row r="1629" spans="1:2" x14ac:dyDescent="0.25">
      <c r="A1629" s="81" t="s">
        <v>3854</v>
      </c>
      <c r="B1629" s="80" t="s">
        <v>9514</v>
      </c>
    </row>
    <row r="1630" spans="1:2" x14ac:dyDescent="0.25">
      <c r="A1630" s="81" t="s">
        <v>3855</v>
      </c>
      <c r="B1630" s="80" t="s">
        <v>9514</v>
      </c>
    </row>
    <row r="1631" spans="1:2" x14ac:dyDescent="0.25">
      <c r="A1631" s="81" t="s">
        <v>3856</v>
      </c>
      <c r="B1631" s="80" t="s">
        <v>9514</v>
      </c>
    </row>
    <row r="1632" spans="1:2" x14ac:dyDescent="0.25">
      <c r="A1632" s="81" t="s">
        <v>3857</v>
      </c>
      <c r="B1632" s="80" t="s">
        <v>9514</v>
      </c>
    </row>
    <row r="1633" spans="1:2" x14ac:dyDescent="0.25">
      <c r="A1633" s="81" t="s">
        <v>3858</v>
      </c>
      <c r="B1633" s="80" t="s">
        <v>9514</v>
      </c>
    </row>
    <row r="1634" spans="1:2" x14ac:dyDescent="0.25">
      <c r="A1634" s="81" t="s">
        <v>3859</v>
      </c>
      <c r="B1634" s="80" t="s">
        <v>9514</v>
      </c>
    </row>
    <row r="1635" spans="1:2" x14ac:dyDescent="0.25">
      <c r="A1635" s="81" t="s">
        <v>3860</v>
      </c>
      <c r="B1635" s="80" t="s">
        <v>9514</v>
      </c>
    </row>
    <row r="1636" spans="1:2" x14ac:dyDescent="0.25">
      <c r="A1636" s="81" t="s">
        <v>3861</v>
      </c>
      <c r="B1636" s="80" t="s">
        <v>9514</v>
      </c>
    </row>
    <row r="1637" spans="1:2" x14ac:dyDescent="0.25">
      <c r="A1637" s="81" t="s">
        <v>3862</v>
      </c>
      <c r="B1637" s="80" t="s">
        <v>9514</v>
      </c>
    </row>
    <row r="1638" spans="1:2" x14ac:dyDescent="0.25">
      <c r="A1638" s="81" t="s">
        <v>3863</v>
      </c>
      <c r="B1638" s="80" t="s">
        <v>9514</v>
      </c>
    </row>
    <row r="1639" spans="1:2" x14ac:dyDescent="0.25">
      <c r="A1639" s="81" t="s">
        <v>3864</v>
      </c>
      <c r="B1639" s="80" t="s">
        <v>9514</v>
      </c>
    </row>
    <row r="1640" spans="1:2" x14ac:dyDescent="0.25">
      <c r="A1640" s="81" t="s">
        <v>3865</v>
      </c>
      <c r="B1640" s="80" t="s">
        <v>9514</v>
      </c>
    </row>
    <row r="1641" spans="1:2" x14ac:dyDescent="0.25">
      <c r="A1641" s="81" t="s">
        <v>3866</v>
      </c>
      <c r="B1641" s="80" t="s">
        <v>9514</v>
      </c>
    </row>
    <row r="1642" spans="1:2" x14ac:dyDescent="0.25">
      <c r="A1642" s="81" t="s">
        <v>3867</v>
      </c>
      <c r="B1642" s="80" t="s">
        <v>9514</v>
      </c>
    </row>
    <row r="1643" spans="1:2" x14ac:dyDescent="0.25">
      <c r="A1643" s="81" t="s">
        <v>3868</v>
      </c>
      <c r="B1643" s="80" t="s">
        <v>9514</v>
      </c>
    </row>
    <row r="1644" spans="1:2" x14ac:dyDescent="0.25">
      <c r="A1644" s="81" t="s">
        <v>3869</v>
      </c>
      <c r="B1644" s="80" t="s">
        <v>9514</v>
      </c>
    </row>
    <row r="1645" spans="1:2" x14ac:dyDescent="0.25">
      <c r="A1645" s="81" t="s">
        <v>3870</v>
      </c>
      <c r="B1645" s="80" t="s">
        <v>9514</v>
      </c>
    </row>
    <row r="1646" spans="1:2" x14ac:dyDescent="0.25">
      <c r="A1646" s="81" t="s">
        <v>3871</v>
      </c>
      <c r="B1646" s="80" t="s">
        <v>9514</v>
      </c>
    </row>
    <row r="1647" spans="1:2" x14ac:dyDescent="0.25">
      <c r="A1647" s="81" t="s">
        <v>3872</v>
      </c>
      <c r="B1647" s="80" t="s">
        <v>9514</v>
      </c>
    </row>
    <row r="1648" spans="1:2" x14ac:dyDescent="0.25">
      <c r="A1648" s="81" t="s">
        <v>3873</v>
      </c>
      <c r="B1648" s="80" t="s">
        <v>9514</v>
      </c>
    </row>
    <row r="1649" spans="1:2" x14ac:dyDescent="0.25">
      <c r="A1649" s="81" t="s">
        <v>3874</v>
      </c>
      <c r="B1649" s="80" t="s">
        <v>9514</v>
      </c>
    </row>
    <row r="1650" spans="1:2" x14ac:dyDescent="0.25">
      <c r="A1650" s="81" t="s">
        <v>3875</v>
      </c>
      <c r="B1650" s="80" t="s">
        <v>9514</v>
      </c>
    </row>
    <row r="1651" spans="1:2" x14ac:dyDescent="0.25">
      <c r="A1651" s="81" t="s">
        <v>3876</v>
      </c>
      <c r="B1651" s="80" t="s">
        <v>9514</v>
      </c>
    </row>
    <row r="1652" spans="1:2" x14ac:dyDescent="0.25">
      <c r="A1652" s="81" t="s">
        <v>3877</v>
      </c>
      <c r="B1652" s="80" t="s">
        <v>9514</v>
      </c>
    </row>
    <row r="1653" spans="1:2" x14ac:dyDescent="0.25">
      <c r="A1653" s="81" t="s">
        <v>3878</v>
      </c>
      <c r="B1653" s="80" t="s">
        <v>9514</v>
      </c>
    </row>
    <row r="1654" spans="1:2" x14ac:dyDescent="0.25">
      <c r="A1654" s="81" t="s">
        <v>3879</v>
      </c>
      <c r="B1654" s="80" t="s">
        <v>9514</v>
      </c>
    </row>
    <row r="1655" spans="1:2" x14ac:dyDescent="0.25">
      <c r="A1655" s="81" t="s">
        <v>3880</v>
      </c>
      <c r="B1655" s="80" t="s">
        <v>9514</v>
      </c>
    </row>
    <row r="1656" spans="1:2" x14ac:dyDescent="0.25">
      <c r="A1656" s="81" t="s">
        <v>3881</v>
      </c>
      <c r="B1656" s="80" t="s">
        <v>9514</v>
      </c>
    </row>
    <row r="1657" spans="1:2" x14ac:dyDescent="0.25">
      <c r="A1657" s="81" t="s">
        <v>3882</v>
      </c>
      <c r="B1657" s="80" t="s">
        <v>9514</v>
      </c>
    </row>
    <row r="1658" spans="1:2" x14ac:dyDescent="0.25">
      <c r="A1658" s="81" t="s">
        <v>3883</v>
      </c>
      <c r="B1658" s="80" t="s">
        <v>9514</v>
      </c>
    </row>
    <row r="1659" spans="1:2" x14ac:dyDescent="0.25">
      <c r="A1659" s="81" t="s">
        <v>3884</v>
      </c>
      <c r="B1659" s="80" t="s">
        <v>9514</v>
      </c>
    </row>
    <row r="1660" spans="1:2" x14ac:dyDescent="0.25">
      <c r="A1660" s="81" t="s">
        <v>3885</v>
      </c>
      <c r="B1660" s="80" t="s">
        <v>9514</v>
      </c>
    </row>
    <row r="1661" spans="1:2" x14ac:dyDescent="0.25">
      <c r="A1661" s="81" t="s">
        <v>3886</v>
      </c>
      <c r="B1661" s="80" t="s">
        <v>9514</v>
      </c>
    </row>
    <row r="1662" spans="1:2" x14ac:dyDescent="0.25">
      <c r="A1662" s="81" t="s">
        <v>3887</v>
      </c>
      <c r="B1662" s="80" t="s">
        <v>9514</v>
      </c>
    </row>
    <row r="1663" spans="1:2" x14ac:dyDescent="0.25">
      <c r="A1663" s="81" t="s">
        <v>3888</v>
      </c>
      <c r="B1663" s="80" t="s">
        <v>9514</v>
      </c>
    </row>
    <row r="1664" spans="1:2" x14ac:dyDescent="0.25">
      <c r="A1664" s="81" t="s">
        <v>3889</v>
      </c>
      <c r="B1664" s="80" t="s">
        <v>9514</v>
      </c>
    </row>
    <row r="1665" spans="1:2" x14ac:dyDescent="0.25">
      <c r="A1665" s="81" t="s">
        <v>3890</v>
      </c>
      <c r="B1665" s="80" t="s">
        <v>9514</v>
      </c>
    </row>
    <row r="1666" spans="1:2" x14ac:dyDescent="0.25">
      <c r="A1666" s="81" t="s">
        <v>3891</v>
      </c>
      <c r="B1666" s="80" t="s">
        <v>9514</v>
      </c>
    </row>
    <row r="1667" spans="1:2" x14ac:dyDescent="0.25">
      <c r="A1667" s="81" t="s">
        <v>3892</v>
      </c>
      <c r="B1667" s="80" t="s">
        <v>9514</v>
      </c>
    </row>
    <row r="1668" spans="1:2" x14ac:dyDescent="0.25">
      <c r="A1668" s="81" t="s">
        <v>3893</v>
      </c>
      <c r="B1668" s="80" t="s">
        <v>9514</v>
      </c>
    </row>
    <row r="1669" spans="1:2" x14ac:dyDescent="0.25">
      <c r="A1669" s="81" t="s">
        <v>3894</v>
      </c>
      <c r="B1669" s="80" t="s">
        <v>9514</v>
      </c>
    </row>
    <row r="1670" spans="1:2" x14ac:dyDescent="0.25">
      <c r="A1670" s="81" t="s">
        <v>3895</v>
      </c>
      <c r="B1670" s="80" t="s">
        <v>9514</v>
      </c>
    </row>
    <row r="1671" spans="1:2" x14ac:dyDescent="0.25">
      <c r="A1671" s="81" t="s">
        <v>3896</v>
      </c>
      <c r="B1671" s="80" t="s">
        <v>9514</v>
      </c>
    </row>
    <row r="1672" spans="1:2" x14ac:dyDescent="0.25">
      <c r="A1672" s="81" t="s">
        <v>3897</v>
      </c>
      <c r="B1672" s="80" t="s">
        <v>9514</v>
      </c>
    </row>
    <row r="1673" spans="1:2" x14ac:dyDescent="0.25">
      <c r="A1673" s="81" t="s">
        <v>3898</v>
      </c>
      <c r="B1673" s="80" t="s">
        <v>9514</v>
      </c>
    </row>
    <row r="1674" spans="1:2" x14ac:dyDescent="0.25">
      <c r="A1674" s="81" t="s">
        <v>3899</v>
      </c>
      <c r="B1674" s="80" t="s">
        <v>9514</v>
      </c>
    </row>
    <row r="1675" spans="1:2" x14ac:dyDescent="0.25">
      <c r="A1675" s="81" t="s">
        <v>3900</v>
      </c>
      <c r="B1675" s="80" t="s">
        <v>9514</v>
      </c>
    </row>
    <row r="1676" spans="1:2" x14ac:dyDescent="0.25">
      <c r="A1676" s="81" t="s">
        <v>3901</v>
      </c>
      <c r="B1676" s="80" t="s">
        <v>9514</v>
      </c>
    </row>
    <row r="1677" spans="1:2" x14ac:dyDescent="0.25">
      <c r="A1677" s="81" t="s">
        <v>3902</v>
      </c>
      <c r="B1677" s="80" t="s">
        <v>9514</v>
      </c>
    </row>
    <row r="1678" spans="1:2" x14ac:dyDescent="0.25">
      <c r="A1678" s="81" t="s">
        <v>3903</v>
      </c>
      <c r="B1678" s="80" t="s">
        <v>9514</v>
      </c>
    </row>
    <row r="1679" spans="1:2" x14ac:dyDescent="0.25">
      <c r="A1679" s="81" t="s">
        <v>3904</v>
      </c>
      <c r="B1679" s="80" t="s">
        <v>9514</v>
      </c>
    </row>
    <row r="1680" spans="1:2" x14ac:dyDescent="0.25">
      <c r="A1680" s="81" t="s">
        <v>3905</v>
      </c>
      <c r="B1680" s="80" t="s">
        <v>9514</v>
      </c>
    </row>
    <row r="1681" spans="1:2" x14ac:dyDescent="0.25">
      <c r="A1681" s="81" t="s">
        <v>3906</v>
      </c>
      <c r="B1681" s="80" t="s">
        <v>9514</v>
      </c>
    </row>
    <row r="1682" spans="1:2" x14ac:dyDescent="0.25">
      <c r="A1682" s="81" t="s">
        <v>3907</v>
      </c>
      <c r="B1682" s="80" t="s">
        <v>9514</v>
      </c>
    </row>
    <row r="1683" spans="1:2" x14ac:dyDescent="0.25">
      <c r="A1683" s="81" t="s">
        <v>3908</v>
      </c>
      <c r="B1683" s="80" t="s">
        <v>9514</v>
      </c>
    </row>
    <row r="1684" spans="1:2" x14ac:dyDescent="0.25">
      <c r="A1684" s="81" t="s">
        <v>3909</v>
      </c>
      <c r="B1684" s="80" t="s">
        <v>9514</v>
      </c>
    </row>
    <row r="1685" spans="1:2" x14ac:dyDescent="0.25">
      <c r="A1685" s="81" t="s">
        <v>3910</v>
      </c>
      <c r="B1685" s="80" t="s">
        <v>9514</v>
      </c>
    </row>
    <row r="1686" spans="1:2" x14ac:dyDescent="0.25">
      <c r="A1686" s="81" t="s">
        <v>3911</v>
      </c>
      <c r="B1686" s="80" t="s">
        <v>9514</v>
      </c>
    </row>
    <row r="1687" spans="1:2" x14ac:dyDescent="0.25">
      <c r="A1687" s="81" t="s">
        <v>3912</v>
      </c>
      <c r="B1687" s="80" t="s">
        <v>9514</v>
      </c>
    </row>
    <row r="1688" spans="1:2" x14ac:dyDescent="0.25">
      <c r="A1688" s="81" t="s">
        <v>3913</v>
      </c>
      <c r="B1688" s="80" t="s">
        <v>9514</v>
      </c>
    </row>
    <row r="1689" spans="1:2" x14ac:dyDescent="0.25">
      <c r="A1689" s="81" t="s">
        <v>3914</v>
      </c>
      <c r="B1689" s="80" t="s">
        <v>9514</v>
      </c>
    </row>
    <row r="1690" spans="1:2" x14ac:dyDescent="0.25">
      <c r="A1690" s="81" t="s">
        <v>3915</v>
      </c>
      <c r="B1690" s="80" t="s">
        <v>9514</v>
      </c>
    </row>
    <row r="1691" spans="1:2" x14ac:dyDescent="0.25">
      <c r="A1691" s="81" t="s">
        <v>3916</v>
      </c>
      <c r="B1691" s="80" t="s">
        <v>9514</v>
      </c>
    </row>
    <row r="1692" spans="1:2" x14ac:dyDescent="0.25">
      <c r="A1692" s="81" t="s">
        <v>3917</v>
      </c>
      <c r="B1692" s="80" t="s">
        <v>9514</v>
      </c>
    </row>
    <row r="1693" spans="1:2" x14ac:dyDescent="0.25">
      <c r="A1693" s="81" t="s">
        <v>3918</v>
      </c>
      <c r="B1693" s="80" t="s">
        <v>9514</v>
      </c>
    </row>
    <row r="1694" spans="1:2" x14ac:dyDescent="0.25">
      <c r="A1694" s="81" t="s">
        <v>3919</v>
      </c>
      <c r="B1694" s="80" t="s">
        <v>9514</v>
      </c>
    </row>
    <row r="1695" spans="1:2" x14ac:dyDescent="0.25">
      <c r="A1695" s="81" t="s">
        <v>3920</v>
      </c>
      <c r="B1695" s="80" t="s">
        <v>9514</v>
      </c>
    </row>
    <row r="1696" spans="1:2" x14ac:dyDescent="0.25">
      <c r="A1696" s="81" t="s">
        <v>3921</v>
      </c>
      <c r="B1696" s="80" t="s">
        <v>9514</v>
      </c>
    </row>
    <row r="1697" spans="1:2" x14ac:dyDescent="0.25">
      <c r="A1697" s="81" t="s">
        <v>3922</v>
      </c>
      <c r="B1697" s="80" t="s">
        <v>9514</v>
      </c>
    </row>
    <row r="1698" spans="1:2" x14ac:dyDescent="0.25">
      <c r="A1698" s="81" t="s">
        <v>3923</v>
      </c>
      <c r="B1698" s="80" t="s">
        <v>9514</v>
      </c>
    </row>
    <row r="1699" spans="1:2" x14ac:dyDescent="0.25">
      <c r="A1699" s="81" t="s">
        <v>3924</v>
      </c>
      <c r="B1699" s="80" t="s">
        <v>9514</v>
      </c>
    </row>
    <row r="1700" spans="1:2" x14ac:dyDescent="0.25">
      <c r="A1700" s="81" t="s">
        <v>3925</v>
      </c>
      <c r="B1700" s="80" t="s">
        <v>9514</v>
      </c>
    </row>
    <row r="1701" spans="1:2" x14ac:dyDescent="0.25">
      <c r="A1701" s="81" t="s">
        <v>3926</v>
      </c>
      <c r="B1701" s="80" t="s">
        <v>9514</v>
      </c>
    </row>
    <row r="1702" spans="1:2" x14ac:dyDescent="0.25">
      <c r="A1702" s="81" t="s">
        <v>3927</v>
      </c>
      <c r="B1702" s="80" t="s">
        <v>9514</v>
      </c>
    </row>
    <row r="1703" spans="1:2" x14ac:dyDescent="0.25">
      <c r="A1703" s="81" t="s">
        <v>3928</v>
      </c>
      <c r="B1703" s="80" t="s">
        <v>9514</v>
      </c>
    </row>
    <row r="1704" spans="1:2" x14ac:dyDescent="0.25">
      <c r="A1704" s="81" t="s">
        <v>3929</v>
      </c>
      <c r="B1704" s="80" t="s">
        <v>9514</v>
      </c>
    </row>
    <row r="1705" spans="1:2" x14ac:dyDescent="0.25">
      <c r="A1705" s="81" t="s">
        <v>3930</v>
      </c>
      <c r="B1705" s="80" t="s">
        <v>9514</v>
      </c>
    </row>
    <row r="1706" spans="1:2" x14ac:dyDescent="0.25">
      <c r="A1706" s="81" t="s">
        <v>3931</v>
      </c>
      <c r="B1706" s="80" t="s">
        <v>9514</v>
      </c>
    </row>
    <row r="1707" spans="1:2" x14ac:dyDescent="0.25">
      <c r="A1707" s="81" t="s">
        <v>3932</v>
      </c>
      <c r="B1707" s="80" t="s">
        <v>9514</v>
      </c>
    </row>
    <row r="1708" spans="1:2" x14ac:dyDescent="0.25">
      <c r="A1708" s="81" t="s">
        <v>3933</v>
      </c>
      <c r="B1708" s="80" t="s">
        <v>9514</v>
      </c>
    </row>
    <row r="1709" spans="1:2" x14ac:dyDescent="0.25">
      <c r="A1709" s="81" t="s">
        <v>3934</v>
      </c>
      <c r="B1709" s="80" t="s">
        <v>9514</v>
      </c>
    </row>
    <row r="1710" spans="1:2" x14ac:dyDescent="0.25">
      <c r="A1710" s="81" t="s">
        <v>3935</v>
      </c>
      <c r="B1710" s="80" t="s">
        <v>9514</v>
      </c>
    </row>
    <row r="1711" spans="1:2" x14ac:dyDescent="0.25">
      <c r="A1711" s="81" t="s">
        <v>3936</v>
      </c>
      <c r="B1711" s="80" t="s">
        <v>9514</v>
      </c>
    </row>
    <row r="1712" spans="1:2" x14ac:dyDescent="0.25">
      <c r="A1712" s="81" t="s">
        <v>3937</v>
      </c>
      <c r="B1712" s="80" t="s">
        <v>9514</v>
      </c>
    </row>
    <row r="1713" spans="1:2" x14ac:dyDescent="0.25">
      <c r="A1713" s="81" t="s">
        <v>3938</v>
      </c>
      <c r="B1713" s="80" t="s">
        <v>9514</v>
      </c>
    </row>
    <row r="1714" spans="1:2" x14ac:dyDescent="0.25">
      <c r="A1714" s="81" t="s">
        <v>3939</v>
      </c>
      <c r="B1714" s="80" t="s">
        <v>9514</v>
      </c>
    </row>
    <row r="1715" spans="1:2" x14ac:dyDescent="0.25">
      <c r="A1715" s="81" t="s">
        <v>3940</v>
      </c>
      <c r="B1715" s="80" t="s">
        <v>9514</v>
      </c>
    </row>
    <row r="1716" spans="1:2" x14ac:dyDescent="0.25">
      <c r="A1716" s="81" t="s">
        <v>3941</v>
      </c>
      <c r="B1716" s="80" t="s">
        <v>9514</v>
      </c>
    </row>
    <row r="1717" spans="1:2" x14ac:dyDescent="0.25">
      <c r="A1717" s="81" t="s">
        <v>3942</v>
      </c>
      <c r="B1717" s="80" t="s">
        <v>9514</v>
      </c>
    </row>
    <row r="1718" spans="1:2" x14ac:dyDescent="0.25">
      <c r="A1718" s="81" t="s">
        <v>3943</v>
      </c>
      <c r="B1718" s="80" t="s">
        <v>9514</v>
      </c>
    </row>
    <row r="1719" spans="1:2" x14ac:dyDescent="0.25">
      <c r="A1719" s="81" t="s">
        <v>3944</v>
      </c>
      <c r="B1719" s="80" t="s">
        <v>9514</v>
      </c>
    </row>
    <row r="1720" spans="1:2" x14ac:dyDescent="0.25">
      <c r="A1720" s="81" t="s">
        <v>3945</v>
      </c>
      <c r="B1720" s="80" t="s">
        <v>9514</v>
      </c>
    </row>
    <row r="1721" spans="1:2" x14ac:dyDescent="0.25">
      <c r="A1721" s="81" t="s">
        <v>3946</v>
      </c>
      <c r="B1721" s="80" t="s">
        <v>9514</v>
      </c>
    </row>
    <row r="1722" spans="1:2" x14ac:dyDescent="0.25">
      <c r="A1722" s="81" t="s">
        <v>3947</v>
      </c>
      <c r="B1722" s="80" t="s">
        <v>9514</v>
      </c>
    </row>
    <row r="1723" spans="1:2" x14ac:dyDescent="0.25">
      <c r="A1723" s="81" t="s">
        <v>3948</v>
      </c>
      <c r="B1723" s="80" t="s">
        <v>9514</v>
      </c>
    </row>
    <row r="1724" spans="1:2" x14ac:dyDescent="0.25">
      <c r="A1724" s="81" t="s">
        <v>3949</v>
      </c>
      <c r="B1724" s="80" t="s">
        <v>9514</v>
      </c>
    </row>
    <row r="1725" spans="1:2" x14ac:dyDescent="0.25">
      <c r="A1725" s="81" t="s">
        <v>3950</v>
      </c>
      <c r="B1725" s="80" t="s">
        <v>9514</v>
      </c>
    </row>
    <row r="1726" spans="1:2" x14ac:dyDescent="0.25">
      <c r="A1726" s="81" t="s">
        <v>3951</v>
      </c>
      <c r="B1726" s="80" t="s">
        <v>9514</v>
      </c>
    </row>
    <row r="1727" spans="1:2" x14ac:dyDescent="0.25">
      <c r="A1727" s="81" t="s">
        <v>3952</v>
      </c>
      <c r="B1727" s="80" t="s">
        <v>9514</v>
      </c>
    </row>
    <row r="1728" spans="1:2" x14ac:dyDescent="0.25">
      <c r="A1728" s="81" t="s">
        <v>3953</v>
      </c>
      <c r="B1728" s="80" t="s">
        <v>9514</v>
      </c>
    </row>
    <row r="1729" spans="1:2" x14ac:dyDescent="0.25">
      <c r="A1729" s="81" t="s">
        <v>3954</v>
      </c>
      <c r="B1729" s="80" t="s">
        <v>9514</v>
      </c>
    </row>
    <row r="1730" spans="1:2" x14ac:dyDescent="0.25">
      <c r="A1730" s="81" t="s">
        <v>3955</v>
      </c>
      <c r="B1730" s="80" t="s">
        <v>9514</v>
      </c>
    </row>
    <row r="1731" spans="1:2" x14ac:dyDescent="0.25">
      <c r="A1731" s="81" t="s">
        <v>3956</v>
      </c>
      <c r="B1731" s="80" t="s">
        <v>9514</v>
      </c>
    </row>
    <row r="1732" spans="1:2" x14ac:dyDescent="0.25">
      <c r="A1732" s="81" t="s">
        <v>3957</v>
      </c>
      <c r="B1732" s="80" t="s">
        <v>9514</v>
      </c>
    </row>
    <row r="1733" spans="1:2" x14ac:dyDescent="0.25">
      <c r="A1733" s="81" t="s">
        <v>3958</v>
      </c>
      <c r="B1733" s="80" t="s">
        <v>9514</v>
      </c>
    </row>
    <row r="1734" spans="1:2" x14ac:dyDescent="0.25">
      <c r="A1734" s="81" t="s">
        <v>3959</v>
      </c>
      <c r="B1734" s="80" t="s">
        <v>9514</v>
      </c>
    </row>
    <row r="1735" spans="1:2" x14ac:dyDescent="0.25">
      <c r="A1735" s="81" t="s">
        <v>3960</v>
      </c>
      <c r="B1735" s="80" t="s">
        <v>9514</v>
      </c>
    </row>
    <row r="1736" spans="1:2" x14ac:dyDescent="0.25">
      <c r="A1736" s="81" t="s">
        <v>3961</v>
      </c>
      <c r="B1736" s="80" t="s">
        <v>9514</v>
      </c>
    </row>
    <row r="1737" spans="1:2" x14ac:dyDescent="0.25">
      <c r="A1737" s="81" t="s">
        <v>3962</v>
      </c>
      <c r="B1737" s="80" t="s">
        <v>9514</v>
      </c>
    </row>
    <row r="1738" spans="1:2" x14ac:dyDescent="0.25">
      <c r="A1738" s="81" t="s">
        <v>3963</v>
      </c>
      <c r="B1738" s="80" t="s">
        <v>9514</v>
      </c>
    </row>
    <row r="1739" spans="1:2" x14ac:dyDescent="0.25">
      <c r="A1739" s="81" t="s">
        <v>3964</v>
      </c>
      <c r="B1739" s="80" t="s">
        <v>9514</v>
      </c>
    </row>
    <row r="1740" spans="1:2" x14ac:dyDescent="0.25">
      <c r="A1740" s="81" t="s">
        <v>3965</v>
      </c>
      <c r="B1740" s="80" t="s">
        <v>9514</v>
      </c>
    </row>
    <row r="1741" spans="1:2" x14ac:dyDescent="0.25">
      <c r="A1741" s="81" t="s">
        <v>3966</v>
      </c>
      <c r="B1741" s="80" t="s">
        <v>9514</v>
      </c>
    </row>
    <row r="1742" spans="1:2" x14ac:dyDescent="0.25">
      <c r="A1742" s="81" t="s">
        <v>3967</v>
      </c>
      <c r="B1742" s="80" t="s">
        <v>9514</v>
      </c>
    </row>
    <row r="1743" spans="1:2" x14ac:dyDescent="0.25">
      <c r="A1743" s="81" t="s">
        <v>3968</v>
      </c>
      <c r="B1743" s="80" t="s">
        <v>9514</v>
      </c>
    </row>
    <row r="1744" spans="1:2" x14ac:dyDescent="0.25">
      <c r="A1744" s="81" t="s">
        <v>3969</v>
      </c>
      <c r="B1744" s="80" t="s">
        <v>9514</v>
      </c>
    </row>
    <row r="1745" spans="1:2" x14ac:dyDescent="0.25">
      <c r="A1745" s="81" t="s">
        <v>3970</v>
      </c>
      <c r="B1745" s="80" t="s">
        <v>9514</v>
      </c>
    </row>
    <row r="1746" spans="1:2" x14ac:dyDescent="0.25">
      <c r="A1746" s="81" t="s">
        <v>3971</v>
      </c>
      <c r="B1746" s="80" t="s">
        <v>9514</v>
      </c>
    </row>
    <row r="1747" spans="1:2" x14ac:dyDescent="0.25">
      <c r="A1747" s="81" t="s">
        <v>3972</v>
      </c>
      <c r="B1747" s="80" t="s">
        <v>9514</v>
      </c>
    </row>
    <row r="1748" spans="1:2" x14ac:dyDescent="0.25">
      <c r="A1748" s="81" t="s">
        <v>3973</v>
      </c>
      <c r="B1748" s="80" t="s">
        <v>9514</v>
      </c>
    </row>
    <row r="1749" spans="1:2" x14ac:dyDescent="0.25">
      <c r="A1749" s="81" t="s">
        <v>3974</v>
      </c>
      <c r="B1749" s="80" t="s">
        <v>9514</v>
      </c>
    </row>
    <row r="1750" spans="1:2" x14ac:dyDescent="0.25">
      <c r="A1750" s="81" t="s">
        <v>3975</v>
      </c>
      <c r="B1750" s="80" t="s">
        <v>9514</v>
      </c>
    </row>
    <row r="1751" spans="1:2" x14ac:dyDescent="0.25">
      <c r="A1751" s="81" t="s">
        <v>3976</v>
      </c>
      <c r="B1751" s="80" t="s">
        <v>9514</v>
      </c>
    </row>
    <row r="1752" spans="1:2" x14ac:dyDescent="0.25">
      <c r="A1752" s="81" t="s">
        <v>3977</v>
      </c>
      <c r="B1752" s="80" t="s">
        <v>9514</v>
      </c>
    </row>
    <row r="1753" spans="1:2" x14ac:dyDescent="0.25">
      <c r="A1753" s="81" t="s">
        <v>3978</v>
      </c>
      <c r="B1753" s="80" t="s">
        <v>9514</v>
      </c>
    </row>
    <row r="1754" spans="1:2" x14ac:dyDescent="0.25">
      <c r="A1754" s="81" t="s">
        <v>3979</v>
      </c>
      <c r="B1754" s="80" t="s">
        <v>9514</v>
      </c>
    </row>
    <row r="1755" spans="1:2" x14ac:dyDescent="0.25">
      <c r="A1755" s="81" t="s">
        <v>3980</v>
      </c>
      <c r="B1755" s="80" t="s">
        <v>9514</v>
      </c>
    </row>
    <row r="1756" spans="1:2" x14ac:dyDescent="0.25">
      <c r="A1756" s="81" t="s">
        <v>3981</v>
      </c>
      <c r="B1756" s="80" t="s">
        <v>9514</v>
      </c>
    </row>
    <row r="1757" spans="1:2" x14ac:dyDescent="0.25">
      <c r="A1757" s="81" t="s">
        <v>3982</v>
      </c>
      <c r="B1757" s="80" t="s">
        <v>9514</v>
      </c>
    </row>
    <row r="1758" spans="1:2" x14ac:dyDescent="0.25">
      <c r="A1758" s="81" t="s">
        <v>3983</v>
      </c>
      <c r="B1758" s="80" t="s">
        <v>9514</v>
      </c>
    </row>
    <row r="1759" spans="1:2" x14ac:dyDescent="0.25">
      <c r="A1759" s="81" t="s">
        <v>3984</v>
      </c>
      <c r="B1759" s="80" t="s">
        <v>9514</v>
      </c>
    </row>
    <row r="1760" spans="1:2" x14ac:dyDescent="0.25">
      <c r="A1760" s="81" t="s">
        <v>3985</v>
      </c>
      <c r="B1760" s="80" t="s">
        <v>9514</v>
      </c>
    </row>
    <row r="1761" spans="1:2" x14ac:dyDescent="0.25">
      <c r="A1761" s="81" t="s">
        <v>3986</v>
      </c>
      <c r="B1761" s="80" t="s">
        <v>9514</v>
      </c>
    </row>
    <row r="1762" spans="1:2" x14ac:dyDescent="0.25">
      <c r="A1762" s="81" t="s">
        <v>3987</v>
      </c>
      <c r="B1762" s="80" t="s">
        <v>9514</v>
      </c>
    </row>
    <row r="1763" spans="1:2" x14ac:dyDescent="0.25">
      <c r="A1763" s="81" t="s">
        <v>3988</v>
      </c>
      <c r="B1763" s="80" t="s">
        <v>9514</v>
      </c>
    </row>
    <row r="1764" spans="1:2" x14ac:dyDescent="0.25">
      <c r="A1764" s="81" t="s">
        <v>3989</v>
      </c>
      <c r="B1764" s="80" t="s">
        <v>9514</v>
      </c>
    </row>
    <row r="1765" spans="1:2" x14ac:dyDescent="0.25">
      <c r="A1765" s="81" t="s">
        <v>3990</v>
      </c>
      <c r="B1765" s="80" t="s">
        <v>9514</v>
      </c>
    </row>
    <row r="1766" spans="1:2" x14ac:dyDescent="0.25">
      <c r="A1766" s="81" t="s">
        <v>3991</v>
      </c>
      <c r="B1766" s="80" t="s">
        <v>9514</v>
      </c>
    </row>
    <row r="1767" spans="1:2" x14ac:dyDescent="0.25">
      <c r="A1767" s="81" t="s">
        <v>2143</v>
      </c>
      <c r="B1767" s="80" t="s">
        <v>9514</v>
      </c>
    </row>
    <row r="1768" spans="1:2" x14ac:dyDescent="0.25">
      <c r="A1768" s="81" t="s">
        <v>3992</v>
      </c>
      <c r="B1768" s="80" t="s">
        <v>9514</v>
      </c>
    </row>
    <row r="1769" spans="1:2" x14ac:dyDescent="0.25">
      <c r="A1769" s="81" t="s">
        <v>3993</v>
      </c>
      <c r="B1769" s="80" t="s">
        <v>9514</v>
      </c>
    </row>
    <row r="1770" spans="1:2" x14ac:dyDescent="0.25">
      <c r="A1770" s="81" t="s">
        <v>3994</v>
      </c>
      <c r="B1770" s="80" t="s">
        <v>9514</v>
      </c>
    </row>
    <row r="1771" spans="1:2" x14ac:dyDescent="0.25">
      <c r="A1771" s="81" t="s">
        <v>3995</v>
      </c>
      <c r="B1771" s="80" t="s">
        <v>9514</v>
      </c>
    </row>
    <row r="1772" spans="1:2" x14ac:dyDescent="0.25">
      <c r="A1772" s="81" t="s">
        <v>3996</v>
      </c>
      <c r="B1772" s="80" t="s">
        <v>9514</v>
      </c>
    </row>
    <row r="1773" spans="1:2" x14ac:dyDescent="0.25">
      <c r="A1773" s="81" t="s">
        <v>3997</v>
      </c>
      <c r="B1773" s="80" t="s">
        <v>9514</v>
      </c>
    </row>
    <row r="1774" spans="1:2" x14ac:dyDescent="0.25">
      <c r="A1774" s="81" t="s">
        <v>3998</v>
      </c>
      <c r="B1774" s="80" t="s">
        <v>9514</v>
      </c>
    </row>
    <row r="1775" spans="1:2" x14ac:dyDescent="0.25">
      <c r="A1775" s="81" t="s">
        <v>3999</v>
      </c>
      <c r="B1775" s="80" t="s">
        <v>9514</v>
      </c>
    </row>
    <row r="1776" spans="1:2" x14ac:dyDescent="0.25">
      <c r="A1776" s="81" t="s">
        <v>4000</v>
      </c>
      <c r="B1776" s="80" t="s">
        <v>9514</v>
      </c>
    </row>
    <row r="1777" spans="1:2" x14ac:dyDescent="0.25">
      <c r="A1777" s="81" t="s">
        <v>4001</v>
      </c>
      <c r="B1777" s="80" t="s">
        <v>9514</v>
      </c>
    </row>
    <row r="1778" spans="1:2" x14ac:dyDescent="0.25">
      <c r="A1778" s="81" t="s">
        <v>4002</v>
      </c>
      <c r="B1778" s="80" t="s">
        <v>9514</v>
      </c>
    </row>
    <row r="1779" spans="1:2" x14ac:dyDescent="0.25">
      <c r="A1779" s="81" t="s">
        <v>4003</v>
      </c>
      <c r="B1779" s="80" t="s">
        <v>9514</v>
      </c>
    </row>
    <row r="1780" spans="1:2" x14ac:dyDescent="0.25">
      <c r="A1780" s="81" t="s">
        <v>4004</v>
      </c>
      <c r="B1780" s="80" t="s">
        <v>9514</v>
      </c>
    </row>
    <row r="1781" spans="1:2" x14ac:dyDescent="0.25">
      <c r="A1781" s="81" t="s">
        <v>4005</v>
      </c>
      <c r="B1781" s="80" t="s">
        <v>9514</v>
      </c>
    </row>
    <row r="1782" spans="1:2" x14ac:dyDescent="0.25">
      <c r="A1782" s="81" t="s">
        <v>4006</v>
      </c>
      <c r="B1782" s="80" t="s">
        <v>9514</v>
      </c>
    </row>
    <row r="1783" spans="1:2" x14ac:dyDescent="0.25">
      <c r="A1783" s="81" t="s">
        <v>4007</v>
      </c>
      <c r="B1783" s="80" t="s">
        <v>9514</v>
      </c>
    </row>
    <row r="1784" spans="1:2" x14ac:dyDescent="0.25">
      <c r="A1784" s="81" t="s">
        <v>4008</v>
      </c>
      <c r="B1784" s="80" t="s">
        <v>9514</v>
      </c>
    </row>
    <row r="1785" spans="1:2" x14ac:dyDescent="0.25">
      <c r="A1785" s="81" t="s">
        <v>4009</v>
      </c>
      <c r="B1785" s="80" t="s">
        <v>9514</v>
      </c>
    </row>
    <row r="1786" spans="1:2" x14ac:dyDescent="0.25">
      <c r="A1786" s="81" t="s">
        <v>4010</v>
      </c>
      <c r="B1786" s="80" t="s">
        <v>9514</v>
      </c>
    </row>
    <row r="1787" spans="1:2" x14ac:dyDescent="0.25">
      <c r="A1787" s="81" t="s">
        <v>4011</v>
      </c>
      <c r="B1787" s="80" t="s">
        <v>9514</v>
      </c>
    </row>
    <row r="1788" spans="1:2" x14ac:dyDescent="0.25">
      <c r="A1788" s="81" t="s">
        <v>4012</v>
      </c>
      <c r="B1788" s="80" t="s">
        <v>9514</v>
      </c>
    </row>
    <row r="1789" spans="1:2" x14ac:dyDescent="0.25">
      <c r="A1789" s="81" t="s">
        <v>4013</v>
      </c>
      <c r="B1789" s="80" t="s">
        <v>9514</v>
      </c>
    </row>
    <row r="1790" spans="1:2" x14ac:dyDescent="0.25">
      <c r="A1790" s="81" t="s">
        <v>4014</v>
      </c>
      <c r="B1790" s="80" t="s">
        <v>9514</v>
      </c>
    </row>
    <row r="1791" spans="1:2" x14ac:dyDescent="0.25">
      <c r="A1791" s="81" t="s">
        <v>4015</v>
      </c>
      <c r="B1791" s="80" t="s">
        <v>9514</v>
      </c>
    </row>
    <row r="1792" spans="1:2" x14ac:dyDescent="0.25">
      <c r="A1792" s="81" t="s">
        <v>4016</v>
      </c>
      <c r="B1792" s="80" t="s">
        <v>9514</v>
      </c>
    </row>
    <row r="1793" spans="1:2" x14ac:dyDescent="0.25">
      <c r="A1793" s="81" t="s">
        <v>4017</v>
      </c>
      <c r="B1793" s="80" t="s">
        <v>9514</v>
      </c>
    </row>
    <row r="1794" spans="1:2" x14ac:dyDescent="0.25">
      <c r="A1794" s="81" t="s">
        <v>4018</v>
      </c>
      <c r="B1794" s="80" t="s">
        <v>9514</v>
      </c>
    </row>
    <row r="1795" spans="1:2" x14ac:dyDescent="0.25">
      <c r="A1795" s="81" t="s">
        <v>4019</v>
      </c>
      <c r="B1795" s="80" t="s">
        <v>9514</v>
      </c>
    </row>
    <row r="1796" spans="1:2" x14ac:dyDescent="0.25">
      <c r="A1796" s="81" t="s">
        <v>4020</v>
      </c>
      <c r="B1796" s="80" t="s">
        <v>9514</v>
      </c>
    </row>
    <row r="1797" spans="1:2" x14ac:dyDescent="0.25">
      <c r="A1797" s="81" t="s">
        <v>4021</v>
      </c>
      <c r="B1797" s="80" t="s">
        <v>9514</v>
      </c>
    </row>
    <row r="1798" spans="1:2" x14ac:dyDescent="0.25">
      <c r="A1798" s="81" t="s">
        <v>4022</v>
      </c>
      <c r="B1798" s="80" t="s">
        <v>9514</v>
      </c>
    </row>
    <row r="1799" spans="1:2" x14ac:dyDescent="0.25">
      <c r="A1799" s="81" t="s">
        <v>4023</v>
      </c>
      <c r="B1799" s="80" t="s">
        <v>9514</v>
      </c>
    </row>
    <row r="1800" spans="1:2" x14ac:dyDescent="0.25">
      <c r="A1800" s="81" t="s">
        <v>4024</v>
      </c>
      <c r="B1800" s="80" t="s">
        <v>9514</v>
      </c>
    </row>
    <row r="1801" spans="1:2" x14ac:dyDescent="0.25">
      <c r="A1801" s="81" t="s">
        <v>4025</v>
      </c>
      <c r="B1801" s="80" t="s">
        <v>9514</v>
      </c>
    </row>
    <row r="1802" spans="1:2" x14ac:dyDescent="0.25">
      <c r="A1802" s="81" t="s">
        <v>4026</v>
      </c>
      <c r="B1802" s="80" t="s">
        <v>9514</v>
      </c>
    </row>
    <row r="1803" spans="1:2" x14ac:dyDescent="0.25">
      <c r="A1803" s="81" t="s">
        <v>4027</v>
      </c>
      <c r="B1803" s="80" t="s">
        <v>9514</v>
      </c>
    </row>
    <row r="1804" spans="1:2" x14ac:dyDescent="0.25">
      <c r="A1804" s="81" t="s">
        <v>4028</v>
      </c>
      <c r="B1804" s="80" t="s">
        <v>9514</v>
      </c>
    </row>
    <row r="1805" spans="1:2" x14ac:dyDescent="0.25">
      <c r="A1805" s="81" t="s">
        <v>4029</v>
      </c>
      <c r="B1805" s="80" t="s">
        <v>9514</v>
      </c>
    </row>
    <row r="1806" spans="1:2" x14ac:dyDescent="0.25">
      <c r="A1806" s="81" t="s">
        <v>4030</v>
      </c>
      <c r="B1806" s="80" t="s">
        <v>9514</v>
      </c>
    </row>
    <row r="1807" spans="1:2" x14ac:dyDescent="0.25">
      <c r="A1807" s="81" t="s">
        <v>4031</v>
      </c>
      <c r="B1807" s="80" t="s">
        <v>9514</v>
      </c>
    </row>
    <row r="1808" spans="1:2" x14ac:dyDescent="0.25">
      <c r="A1808" s="81" t="s">
        <v>4032</v>
      </c>
      <c r="B1808" s="80" t="s">
        <v>9514</v>
      </c>
    </row>
    <row r="1809" spans="1:2" x14ac:dyDescent="0.25">
      <c r="A1809" s="81" t="s">
        <v>4033</v>
      </c>
      <c r="B1809" s="80" t="s">
        <v>9514</v>
      </c>
    </row>
    <row r="1810" spans="1:2" x14ac:dyDescent="0.25">
      <c r="A1810" s="81" t="s">
        <v>4034</v>
      </c>
      <c r="B1810" s="80" t="s">
        <v>9514</v>
      </c>
    </row>
    <row r="1811" spans="1:2" x14ac:dyDescent="0.25">
      <c r="A1811" s="81" t="s">
        <v>4035</v>
      </c>
      <c r="B1811" s="80" t="s">
        <v>9514</v>
      </c>
    </row>
    <row r="1812" spans="1:2" x14ac:dyDescent="0.25">
      <c r="A1812" s="81" t="s">
        <v>4036</v>
      </c>
      <c r="B1812" s="80" t="s">
        <v>9514</v>
      </c>
    </row>
    <row r="1813" spans="1:2" x14ac:dyDescent="0.25">
      <c r="A1813" s="81" t="s">
        <v>4037</v>
      </c>
      <c r="B1813" s="80" t="s">
        <v>9514</v>
      </c>
    </row>
    <row r="1814" spans="1:2" x14ac:dyDescent="0.25">
      <c r="A1814" s="81" t="s">
        <v>4038</v>
      </c>
      <c r="B1814" s="80" t="s">
        <v>9514</v>
      </c>
    </row>
    <row r="1815" spans="1:2" x14ac:dyDescent="0.25">
      <c r="A1815" s="81" t="s">
        <v>4039</v>
      </c>
      <c r="B1815" s="80" t="s">
        <v>9514</v>
      </c>
    </row>
    <row r="1816" spans="1:2" x14ac:dyDescent="0.25">
      <c r="A1816" s="81" t="s">
        <v>4040</v>
      </c>
      <c r="B1816" s="80" t="s">
        <v>9514</v>
      </c>
    </row>
    <row r="1817" spans="1:2" x14ac:dyDescent="0.25">
      <c r="A1817" s="81" t="s">
        <v>4041</v>
      </c>
      <c r="B1817" s="80" t="s">
        <v>9514</v>
      </c>
    </row>
    <row r="1818" spans="1:2" x14ac:dyDescent="0.25">
      <c r="A1818" s="81" t="s">
        <v>4042</v>
      </c>
      <c r="B1818" s="80" t="s">
        <v>9514</v>
      </c>
    </row>
    <row r="1819" spans="1:2" x14ac:dyDescent="0.25">
      <c r="A1819" s="81" t="s">
        <v>4043</v>
      </c>
      <c r="B1819" s="80" t="s">
        <v>9514</v>
      </c>
    </row>
    <row r="1820" spans="1:2" x14ac:dyDescent="0.25">
      <c r="A1820" s="81" t="s">
        <v>4044</v>
      </c>
      <c r="B1820" s="80" t="s">
        <v>9514</v>
      </c>
    </row>
    <row r="1821" spans="1:2" x14ac:dyDescent="0.25">
      <c r="A1821" s="81" t="s">
        <v>4045</v>
      </c>
      <c r="B1821" s="80" t="s">
        <v>9514</v>
      </c>
    </row>
    <row r="1822" spans="1:2" x14ac:dyDescent="0.25">
      <c r="A1822" s="81" t="s">
        <v>4046</v>
      </c>
      <c r="B1822" s="80" t="s">
        <v>9514</v>
      </c>
    </row>
    <row r="1823" spans="1:2" x14ac:dyDescent="0.25">
      <c r="A1823" s="81" t="s">
        <v>4047</v>
      </c>
      <c r="B1823" s="80" t="s">
        <v>9514</v>
      </c>
    </row>
    <row r="1824" spans="1:2" x14ac:dyDescent="0.25">
      <c r="A1824" s="81" t="s">
        <v>4048</v>
      </c>
      <c r="B1824" s="80" t="s">
        <v>9514</v>
      </c>
    </row>
    <row r="1825" spans="1:2" x14ac:dyDescent="0.25">
      <c r="A1825" s="81" t="s">
        <v>4049</v>
      </c>
      <c r="B1825" s="80" t="s">
        <v>9514</v>
      </c>
    </row>
    <row r="1826" spans="1:2" x14ac:dyDescent="0.25">
      <c r="A1826" s="81" t="s">
        <v>4050</v>
      </c>
      <c r="B1826" s="80" t="s">
        <v>9514</v>
      </c>
    </row>
    <row r="1827" spans="1:2" x14ac:dyDescent="0.25">
      <c r="A1827" s="81" t="s">
        <v>4051</v>
      </c>
      <c r="B1827" s="80" t="s">
        <v>9514</v>
      </c>
    </row>
    <row r="1828" spans="1:2" x14ac:dyDescent="0.25">
      <c r="A1828" s="81" t="s">
        <v>4052</v>
      </c>
      <c r="B1828" s="80" t="s">
        <v>9514</v>
      </c>
    </row>
    <row r="1829" spans="1:2" x14ac:dyDescent="0.25">
      <c r="A1829" s="81" t="s">
        <v>4053</v>
      </c>
      <c r="B1829" s="80" t="s">
        <v>9514</v>
      </c>
    </row>
    <row r="1830" spans="1:2" x14ac:dyDescent="0.25">
      <c r="A1830" s="81" t="s">
        <v>4054</v>
      </c>
      <c r="B1830" s="80" t="s">
        <v>9514</v>
      </c>
    </row>
    <row r="1831" spans="1:2" x14ac:dyDescent="0.25">
      <c r="A1831" s="81" t="s">
        <v>4055</v>
      </c>
      <c r="B1831" s="80" t="s">
        <v>9514</v>
      </c>
    </row>
    <row r="1832" spans="1:2" x14ac:dyDescent="0.25">
      <c r="A1832" s="81" t="s">
        <v>4056</v>
      </c>
      <c r="B1832" s="80" t="s">
        <v>9514</v>
      </c>
    </row>
    <row r="1833" spans="1:2" x14ac:dyDescent="0.25">
      <c r="A1833" s="81" t="s">
        <v>4057</v>
      </c>
      <c r="B1833" s="80" t="s">
        <v>9514</v>
      </c>
    </row>
    <row r="1834" spans="1:2" x14ac:dyDescent="0.25">
      <c r="A1834" s="81" t="s">
        <v>4058</v>
      </c>
      <c r="B1834" s="80" t="s">
        <v>9514</v>
      </c>
    </row>
    <row r="1835" spans="1:2" x14ac:dyDescent="0.25">
      <c r="A1835" s="81" t="s">
        <v>4059</v>
      </c>
      <c r="B1835" s="80" t="s">
        <v>9514</v>
      </c>
    </row>
    <row r="1836" spans="1:2" x14ac:dyDescent="0.25">
      <c r="A1836" s="81" t="s">
        <v>4060</v>
      </c>
      <c r="B1836" s="80" t="s">
        <v>9514</v>
      </c>
    </row>
    <row r="1837" spans="1:2" x14ac:dyDescent="0.25">
      <c r="A1837" s="81" t="s">
        <v>4061</v>
      </c>
      <c r="B1837" s="80" t="s">
        <v>9514</v>
      </c>
    </row>
    <row r="1838" spans="1:2" x14ac:dyDescent="0.25">
      <c r="A1838" s="81" t="s">
        <v>4062</v>
      </c>
      <c r="B1838" s="80" t="s">
        <v>9514</v>
      </c>
    </row>
    <row r="1839" spans="1:2" x14ac:dyDescent="0.25">
      <c r="A1839" s="81" t="s">
        <v>4063</v>
      </c>
      <c r="B1839" s="80" t="s">
        <v>9514</v>
      </c>
    </row>
    <row r="1840" spans="1:2" x14ac:dyDescent="0.25">
      <c r="A1840" s="81" t="s">
        <v>4064</v>
      </c>
      <c r="B1840" s="80" t="s">
        <v>9514</v>
      </c>
    </row>
    <row r="1841" spans="1:2" x14ac:dyDescent="0.25">
      <c r="A1841" s="81" t="s">
        <v>4065</v>
      </c>
      <c r="B1841" s="80" t="s">
        <v>9514</v>
      </c>
    </row>
    <row r="1842" spans="1:2" x14ac:dyDescent="0.25">
      <c r="A1842" s="81" t="s">
        <v>4066</v>
      </c>
      <c r="B1842" s="80" t="s">
        <v>9514</v>
      </c>
    </row>
    <row r="1843" spans="1:2" x14ac:dyDescent="0.25">
      <c r="A1843" s="81" t="s">
        <v>4067</v>
      </c>
      <c r="B1843" s="80" t="s">
        <v>9514</v>
      </c>
    </row>
    <row r="1844" spans="1:2" x14ac:dyDescent="0.25">
      <c r="A1844" s="81" t="s">
        <v>4068</v>
      </c>
      <c r="B1844" s="80" t="s">
        <v>9514</v>
      </c>
    </row>
    <row r="1845" spans="1:2" x14ac:dyDescent="0.25">
      <c r="A1845" s="81" t="s">
        <v>4069</v>
      </c>
      <c r="B1845" s="80" t="s">
        <v>9514</v>
      </c>
    </row>
    <row r="1846" spans="1:2" x14ac:dyDescent="0.25">
      <c r="A1846" s="81" t="s">
        <v>4070</v>
      </c>
      <c r="B1846" s="80" t="s">
        <v>9514</v>
      </c>
    </row>
    <row r="1847" spans="1:2" x14ac:dyDescent="0.25">
      <c r="A1847" s="81" t="s">
        <v>4071</v>
      </c>
      <c r="B1847" s="80" t="s">
        <v>9514</v>
      </c>
    </row>
    <row r="1848" spans="1:2" x14ac:dyDescent="0.25">
      <c r="A1848" s="81" t="s">
        <v>4072</v>
      </c>
      <c r="B1848" s="80" t="s">
        <v>9514</v>
      </c>
    </row>
    <row r="1849" spans="1:2" x14ac:dyDescent="0.25">
      <c r="A1849" s="81" t="s">
        <v>4073</v>
      </c>
      <c r="B1849" s="80" t="s">
        <v>9514</v>
      </c>
    </row>
    <row r="1850" spans="1:2" x14ac:dyDescent="0.25">
      <c r="A1850" s="81" t="s">
        <v>4074</v>
      </c>
      <c r="B1850" s="80" t="s">
        <v>9514</v>
      </c>
    </row>
    <row r="1851" spans="1:2" x14ac:dyDescent="0.25">
      <c r="A1851" s="81" t="s">
        <v>4075</v>
      </c>
      <c r="B1851" s="80" t="s">
        <v>9514</v>
      </c>
    </row>
    <row r="1852" spans="1:2" x14ac:dyDescent="0.25">
      <c r="A1852" s="81" t="s">
        <v>4076</v>
      </c>
      <c r="B1852" s="80" t="s">
        <v>9514</v>
      </c>
    </row>
    <row r="1853" spans="1:2" x14ac:dyDescent="0.25">
      <c r="A1853" s="81" t="s">
        <v>4077</v>
      </c>
      <c r="B1853" s="80" t="s">
        <v>9514</v>
      </c>
    </row>
    <row r="1854" spans="1:2" x14ac:dyDescent="0.25">
      <c r="A1854" s="81" t="s">
        <v>4078</v>
      </c>
      <c r="B1854" s="80" t="s">
        <v>9514</v>
      </c>
    </row>
    <row r="1855" spans="1:2" x14ac:dyDescent="0.25">
      <c r="A1855" s="81" t="s">
        <v>4079</v>
      </c>
      <c r="B1855" s="80" t="s">
        <v>9514</v>
      </c>
    </row>
    <row r="1856" spans="1:2" x14ac:dyDescent="0.25">
      <c r="A1856" s="81" t="s">
        <v>4080</v>
      </c>
      <c r="B1856" s="80" t="s">
        <v>9514</v>
      </c>
    </row>
    <row r="1857" spans="1:2" x14ac:dyDescent="0.25">
      <c r="A1857" s="81" t="s">
        <v>4081</v>
      </c>
      <c r="B1857" s="80" t="s">
        <v>9514</v>
      </c>
    </row>
    <row r="1858" spans="1:2" x14ac:dyDescent="0.25">
      <c r="A1858" s="81" t="s">
        <v>4082</v>
      </c>
      <c r="B1858" s="80" t="s">
        <v>9514</v>
      </c>
    </row>
    <row r="1859" spans="1:2" x14ac:dyDescent="0.25">
      <c r="A1859" s="81" t="s">
        <v>4083</v>
      </c>
      <c r="B1859" s="80" t="s">
        <v>9514</v>
      </c>
    </row>
    <row r="1860" spans="1:2" x14ac:dyDescent="0.25">
      <c r="A1860" s="81" t="s">
        <v>4084</v>
      </c>
      <c r="B1860" s="80" t="s">
        <v>9514</v>
      </c>
    </row>
    <row r="1861" spans="1:2" x14ac:dyDescent="0.25">
      <c r="A1861" s="81" t="s">
        <v>4085</v>
      </c>
      <c r="B1861" s="80" t="s">
        <v>9514</v>
      </c>
    </row>
    <row r="1862" spans="1:2" x14ac:dyDescent="0.25">
      <c r="A1862" s="81" t="s">
        <v>4086</v>
      </c>
      <c r="B1862" s="80" t="s">
        <v>9514</v>
      </c>
    </row>
    <row r="1863" spans="1:2" x14ac:dyDescent="0.25">
      <c r="A1863" s="81" t="s">
        <v>4087</v>
      </c>
      <c r="B1863" s="80" t="s">
        <v>9514</v>
      </c>
    </row>
    <row r="1864" spans="1:2" x14ac:dyDescent="0.25">
      <c r="A1864" s="81" t="s">
        <v>4088</v>
      </c>
      <c r="B1864" s="80" t="s">
        <v>9514</v>
      </c>
    </row>
    <row r="1865" spans="1:2" x14ac:dyDescent="0.25">
      <c r="A1865" s="81" t="s">
        <v>4089</v>
      </c>
      <c r="B1865" s="80" t="s">
        <v>9514</v>
      </c>
    </row>
    <row r="1866" spans="1:2" x14ac:dyDescent="0.25">
      <c r="A1866" s="81" t="s">
        <v>4090</v>
      </c>
      <c r="B1866" s="80" t="s">
        <v>9514</v>
      </c>
    </row>
    <row r="1867" spans="1:2" x14ac:dyDescent="0.25">
      <c r="A1867" s="81" t="s">
        <v>4091</v>
      </c>
      <c r="B1867" s="80" t="s">
        <v>9514</v>
      </c>
    </row>
    <row r="1868" spans="1:2" x14ac:dyDescent="0.25">
      <c r="A1868" s="81" t="s">
        <v>4092</v>
      </c>
      <c r="B1868" s="80" t="s">
        <v>9514</v>
      </c>
    </row>
    <row r="1869" spans="1:2" x14ac:dyDescent="0.25">
      <c r="A1869" s="81" t="s">
        <v>4093</v>
      </c>
      <c r="B1869" s="80" t="s">
        <v>9514</v>
      </c>
    </row>
    <row r="1870" spans="1:2" x14ac:dyDescent="0.25">
      <c r="A1870" s="81" t="s">
        <v>4094</v>
      </c>
      <c r="B1870" s="80" t="s">
        <v>9514</v>
      </c>
    </row>
    <row r="1871" spans="1:2" x14ac:dyDescent="0.25">
      <c r="A1871" s="81" t="s">
        <v>4095</v>
      </c>
      <c r="B1871" s="80" t="s">
        <v>9514</v>
      </c>
    </row>
    <row r="1872" spans="1:2" x14ac:dyDescent="0.25">
      <c r="A1872" s="81" t="s">
        <v>4096</v>
      </c>
      <c r="B1872" s="80" t="s">
        <v>9514</v>
      </c>
    </row>
    <row r="1873" spans="1:2" x14ac:dyDescent="0.25">
      <c r="A1873" s="81" t="s">
        <v>4097</v>
      </c>
      <c r="B1873" s="80" t="s">
        <v>9514</v>
      </c>
    </row>
    <row r="1874" spans="1:2" x14ac:dyDescent="0.25">
      <c r="A1874" s="81" t="s">
        <v>4098</v>
      </c>
      <c r="B1874" s="80" t="s">
        <v>9514</v>
      </c>
    </row>
    <row r="1875" spans="1:2" x14ac:dyDescent="0.25">
      <c r="A1875" s="81" t="s">
        <v>4099</v>
      </c>
      <c r="B1875" s="80" t="s">
        <v>9514</v>
      </c>
    </row>
    <row r="1876" spans="1:2" x14ac:dyDescent="0.25">
      <c r="A1876" s="81" t="s">
        <v>4100</v>
      </c>
      <c r="B1876" s="80" t="s">
        <v>9514</v>
      </c>
    </row>
    <row r="1877" spans="1:2" x14ac:dyDescent="0.25">
      <c r="A1877" s="81" t="s">
        <v>4101</v>
      </c>
      <c r="B1877" s="80" t="s">
        <v>9514</v>
      </c>
    </row>
    <row r="1878" spans="1:2" x14ac:dyDescent="0.25">
      <c r="A1878" s="81" t="s">
        <v>4102</v>
      </c>
      <c r="B1878" s="80" t="s">
        <v>9514</v>
      </c>
    </row>
    <row r="1879" spans="1:2" x14ac:dyDescent="0.25">
      <c r="A1879" s="81" t="s">
        <v>4103</v>
      </c>
      <c r="B1879" s="80" t="s">
        <v>9514</v>
      </c>
    </row>
    <row r="1880" spans="1:2" x14ac:dyDescent="0.25">
      <c r="A1880" s="81" t="s">
        <v>4104</v>
      </c>
      <c r="B1880" s="80" t="s">
        <v>9514</v>
      </c>
    </row>
    <row r="1881" spans="1:2" x14ac:dyDescent="0.25">
      <c r="A1881" s="81" t="s">
        <v>2136</v>
      </c>
      <c r="B1881" s="80" t="s">
        <v>9514</v>
      </c>
    </row>
    <row r="1882" spans="1:2" x14ac:dyDescent="0.25">
      <c r="A1882" s="81" t="s">
        <v>4105</v>
      </c>
      <c r="B1882" s="80" t="s">
        <v>9514</v>
      </c>
    </row>
    <row r="1883" spans="1:2" x14ac:dyDescent="0.25">
      <c r="A1883" s="81" t="s">
        <v>4106</v>
      </c>
      <c r="B1883" s="80" t="s">
        <v>9514</v>
      </c>
    </row>
    <row r="1884" spans="1:2" x14ac:dyDescent="0.25">
      <c r="A1884" s="81" t="s">
        <v>4107</v>
      </c>
      <c r="B1884" s="80" t="s">
        <v>9514</v>
      </c>
    </row>
    <row r="1885" spans="1:2" x14ac:dyDescent="0.25">
      <c r="A1885" s="81" t="s">
        <v>4108</v>
      </c>
      <c r="B1885" s="80" t="s">
        <v>9514</v>
      </c>
    </row>
    <row r="1886" spans="1:2" x14ac:dyDescent="0.25">
      <c r="A1886" s="81" t="s">
        <v>4109</v>
      </c>
      <c r="B1886" s="80" t="s">
        <v>9514</v>
      </c>
    </row>
    <row r="1887" spans="1:2" x14ac:dyDescent="0.25">
      <c r="A1887" s="81" t="s">
        <v>4110</v>
      </c>
      <c r="B1887" s="80" t="s">
        <v>9514</v>
      </c>
    </row>
    <row r="1888" spans="1:2" x14ac:dyDescent="0.25">
      <c r="A1888" s="81" t="s">
        <v>1825</v>
      </c>
      <c r="B1888" s="80" t="s">
        <v>9514</v>
      </c>
    </row>
    <row r="1889" spans="1:2" x14ac:dyDescent="0.25">
      <c r="A1889" s="81" t="s">
        <v>4111</v>
      </c>
      <c r="B1889" s="80" t="s">
        <v>9514</v>
      </c>
    </row>
    <row r="1890" spans="1:2" x14ac:dyDescent="0.25">
      <c r="A1890" s="81" t="s">
        <v>4112</v>
      </c>
      <c r="B1890" s="80" t="s">
        <v>9514</v>
      </c>
    </row>
    <row r="1891" spans="1:2" x14ac:dyDescent="0.25">
      <c r="A1891" s="81" t="s">
        <v>4113</v>
      </c>
      <c r="B1891" s="80" t="s">
        <v>9514</v>
      </c>
    </row>
    <row r="1892" spans="1:2" x14ac:dyDescent="0.25">
      <c r="A1892" s="81" t="s">
        <v>4114</v>
      </c>
      <c r="B1892" s="80" t="s">
        <v>9514</v>
      </c>
    </row>
    <row r="1893" spans="1:2" x14ac:dyDescent="0.25">
      <c r="A1893" s="81" t="s">
        <v>4115</v>
      </c>
      <c r="B1893" s="80" t="s">
        <v>9514</v>
      </c>
    </row>
    <row r="1894" spans="1:2" x14ac:dyDescent="0.25">
      <c r="A1894" s="81" t="s">
        <v>4116</v>
      </c>
      <c r="B1894" s="80" t="s">
        <v>9514</v>
      </c>
    </row>
    <row r="1895" spans="1:2" x14ac:dyDescent="0.25">
      <c r="A1895" s="81" t="s">
        <v>4117</v>
      </c>
      <c r="B1895" s="80" t="s">
        <v>9514</v>
      </c>
    </row>
    <row r="1896" spans="1:2" x14ac:dyDescent="0.25">
      <c r="A1896" s="81" t="s">
        <v>2039</v>
      </c>
      <c r="B1896" s="80" t="s">
        <v>9514</v>
      </c>
    </row>
    <row r="1897" spans="1:2" x14ac:dyDescent="0.25">
      <c r="A1897" s="81" t="s">
        <v>4118</v>
      </c>
      <c r="B1897" s="80" t="s">
        <v>9514</v>
      </c>
    </row>
    <row r="1898" spans="1:2" x14ac:dyDescent="0.25">
      <c r="A1898" s="81" t="s">
        <v>4119</v>
      </c>
      <c r="B1898" s="80" t="s">
        <v>9514</v>
      </c>
    </row>
    <row r="1899" spans="1:2" x14ac:dyDescent="0.25">
      <c r="A1899" s="81" t="s">
        <v>4120</v>
      </c>
      <c r="B1899" s="80" t="s">
        <v>9514</v>
      </c>
    </row>
    <row r="1900" spans="1:2" x14ac:dyDescent="0.25">
      <c r="A1900" s="81" t="s">
        <v>4121</v>
      </c>
      <c r="B1900" s="80" t="s">
        <v>9514</v>
      </c>
    </row>
    <row r="1901" spans="1:2" x14ac:dyDescent="0.25">
      <c r="A1901" s="81" t="s">
        <v>4122</v>
      </c>
      <c r="B1901" s="80" t="s">
        <v>9514</v>
      </c>
    </row>
    <row r="1902" spans="1:2" x14ac:dyDescent="0.25">
      <c r="A1902" s="81" t="s">
        <v>4123</v>
      </c>
      <c r="B1902" s="80" t="s">
        <v>9514</v>
      </c>
    </row>
    <row r="1903" spans="1:2" x14ac:dyDescent="0.25">
      <c r="A1903" s="81" t="s">
        <v>4124</v>
      </c>
      <c r="B1903" s="80" t="s">
        <v>9514</v>
      </c>
    </row>
    <row r="1904" spans="1:2" x14ac:dyDescent="0.25">
      <c r="A1904" s="81" t="s">
        <v>4125</v>
      </c>
      <c r="B1904" s="80" t="s">
        <v>9514</v>
      </c>
    </row>
    <row r="1905" spans="1:2" x14ac:dyDescent="0.25">
      <c r="A1905" s="81" t="s">
        <v>4126</v>
      </c>
      <c r="B1905" s="80" t="s">
        <v>9514</v>
      </c>
    </row>
    <row r="1906" spans="1:2" x14ac:dyDescent="0.25">
      <c r="A1906" s="81" t="s">
        <v>4127</v>
      </c>
      <c r="B1906" s="80" t="s">
        <v>9514</v>
      </c>
    </row>
    <row r="1907" spans="1:2" x14ac:dyDescent="0.25">
      <c r="A1907" s="81" t="s">
        <v>4128</v>
      </c>
      <c r="B1907" s="80" t="s">
        <v>9514</v>
      </c>
    </row>
    <row r="1908" spans="1:2" x14ac:dyDescent="0.25">
      <c r="A1908" s="81" t="s">
        <v>4129</v>
      </c>
      <c r="B1908" s="80" t="s">
        <v>9514</v>
      </c>
    </row>
    <row r="1909" spans="1:2" x14ac:dyDescent="0.25">
      <c r="A1909" s="81" t="s">
        <v>4130</v>
      </c>
      <c r="B1909" s="80" t="s">
        <v>9514</v>
      </c>
    </row>
    <row r="1910" spans="1:2" x14ac:dyDescent="0.25">
      <c r="A1910" s="81" t="s">
        <v>4131</v>
      </c>
      <c r="B1910" s="80" t="s">
        <v>9514</v>
      </c>
    </row>
    <row r="1911" spans="1:2" x14ac:dyDescent="0.25">
      <c r="A1911" s="81" t="s">
        <v>4132</v>
      </c>
      <c r="B1911" s="80" t="s">
        <v>9514</v>
      </c>
    </row>
    <row r="1912" spans="1:2" x14ac:dyDescent="0.25">
      <c r="A1912" s="81" t="s">
        <v>4133</v>
      </c>
      <c r="B1912" s="80" t="s">
        <v>9514</v>
      </c>
    </row>
    <row r="1913" spans="1:2" x14ac:dyDescent="0.25">
      <c r="A1913" s="81" t="s">
        <v>4134</v>
      </c>
      <c r="B1913" s="80" t="s">
        <v>9514</v>
      </c>
    </row>
    <row r="1914" spans="1:2" x14ac:dyDescent="0.25">
      <c r="A1914" s="81" t="s">
        <v>4135</v>
      </c>
      <c r="B1914" s="80" t="s">
        <v>9514</v>
      </c>
    </row>
    <row r="1915" spans="1:2" x14ac:dyDescent="0.25">
      <c r="A1915" s="81" t="s">
        <v>4136</v>
      </c>
      <c r="B1915" s="80" t="s">
        <v>9514</v>
      </c>
    </row>
    <row r="1916" spans="1:2" x14ac:dyDescent="0.25">
      <c r="A1916" s="81" t="s">
        <v>4137</v>
      </c>
      <c r="B1916" s="80" t="s">
        <v>9514</v>
      </c>
    </row>
    <row r="1917" spans="1:2" x14ac:dyDescent="0.25">
      <c r="A1917" s="81" t="s">
        <v>4138</v>
      </c>
      <c r="B1917" s="80" t="s">
        <v>9514</v>
      </c>
    </row>
    <row r="1918" spans="1:2" x14ac:dyDescent="0.25">
      <c r="A1918" s="81" t="s">
        <v>4139</v>
      </c>
      <c r="B1918" s="80" t="s">
        <v>9514</v>
      </c>
    </row>
    <row r="1919" spans="1:2" x14ac:dyDescent="0.25">
      <c r="A1919" s="81" t="s">
        <v>4140</v>
      </c>
      <c r="B1919" s="80" t="s">
        <v>9514</v>
      </c>
    </row>
    <row r="1920" spans="1:2" x14ac:dyDescent="0.25">
      <c r="A1920" s="81" t="s">
        <v>4141</v>
      </c>
      <c r="B1920" s="80" t="s">
        <v>9514</v>
      </c>
    </row>
    <row r="1921" spans="1:2" x14ac:dyDescent="0.25">
      <c r="A1921" s="81" t="s">
        <v>4142</v>
      </c>
      <c r="B1921" s="80" t="s">
        <v>9514</v>
      </c>
    </row>
    <row r="1922" spans="1:2" x14ac:dyDescent="0.25">
      <c r="A1922" s="81" t="s">
        <v>4143</v>
      </c>
      <c r="B1922" s="80" t="s">
        <v>9514</v>
      </c>
    </row>
    <row r="1923" spans="1:2" x14ac:dyDescent="0.25">
      <c r="A1923" s="81" t="s">
        <v>4144</v>
      </c>
      <c r="B1923" s="80" t="s">
        <v>9514</v>
      </c>
    </row>
    <row r="1924" spans="1:2" x14ac:dyDescent="0.25">
      <c r="A1924" s="81" t="s">
        <v>4145</v>
      </c>
      <c r="B1924" s="80" t="s">
        <v>9514</v>
      </c>
    </row>
    <row r="1925" spans="1:2" x14ac:dyDescent="0.25">
      <c r="A1925" s="81" t="s">
        <v>4146</v>
      </c>
      <c r="B1925" s="80" t="s">
        <v>9514</v>
      </c>
    </row>
    <row r="1926" spans="1:2" x14ac:dyDescent="0.25">
      <c r="A1926" s="81" t="s">
        <v>4147</v>
      </c>
      <c r="B1926" s="80" t="s">
        <v>9514</v>
      </c>
    </row>
    <row r="1927" spans="1:2" x14ac:dyDescent="0.25">
      <c r="A1927" s="81" t="s">
        <v>4148</v>
      </c>
      <c r="B1927" s="80" t="s">
        <v>9514</v>
      </c>
    </row>
    <row r="1928" spans="1:2" x14ac:dyDescent="0.25">
      <c r="A1928" s="81" t="s">
        <v>4149</v>
      </c>
      <c r="B1928" s="80" t="s">
        <v>9514</v>
      </c>
    </row>
    <row r="1929" spans="1:2" x14ac:dyDescent="0.25">
      <c r="A1929" s="81" t="s">
        <v>4150</v>
      </c>
      <c r="B1929" s="80" t="s">
        <v>9514</v>
      </c>
    </row>
    <row r="1930" spans="1:2" x14ac:dyDescent="0.25">
      <c r="A1930" s="81" t="s">
        <v>4151</v>
      </c>
      <c r="B1930" s="80" t="s">
        <v>9514</v>
      </c>
    </row>
    <row r="1931" spans="1:2" x14ac:dyDescent="0.25">
      <c r="A1931" s="81" t="s">
        <v>4152</v>
      </c>
      <c r="B1931" s="80" t="s">
        <v>9514</v>
      </c>
    </row>
    <row r="1932" spans="1:2" x14ac:dyDescent="0.25">
      <c r="A1932" s="81" t="s">
        <v>4153</v>
      </c>
      <c r="B1932" s="80" t="s">
        <v>9514</v>
      </c>
    </row>
    <row r="1933" spans="1:2" x14ac:dyDescent="0.25">
      <c r="A1933" s="81" t="s">
        <v>4154</v>
      </c>
      <c r="B1933" s="80" t="s">
        <v>9514</v>
      </c>
    </row>
    <row r="1934" spans="1:2" x14ac:dyDescent="0.25">
      <c r="A1934" s="81" t="s">
        <v>4155</v>
      </c>
      <c r="B1934" s="80" t="s">
        <v>9514</v>
      </c>
    </row>
    <row r="1935" spans="1:2" x14ac:dyDescent="0.25">
      <c r="A1935" s="81" t="s">
        <v>4156</v>
      </c>
      <c r="B1935" s="80" t="s">
        <v>9514</v>
      </c>
    </row>
    <row r="1936" spans="1:2" x14ac:dyDescent="0.25">
      <c r="A1936" s="81" t="s">
        <v>4157</v>
      </c>
      <c r="B1936" s="80" t="s">
        <v>9514</v>
      </c>
    </row>
    <row r="1937" spans="1:2" x14ac:dyDescent="0.25">
      <c r="A1937" s="81" t="s">
        <v>4158</v>
      </c>
      <c r="B1937" s="80" t="s">
        <v>9514</v>
      </c>
    </row>
    <row r="1938" spans="1:2" x14ac:dyDescent="0.25">
      <c r="A1938" s="81" t="s">
        <v>4159</v>
      </c>
      <c r="B1938" s="80" t="s">
        <v>9514</v>
      </c>
    </row>
    <row r="1939" spans="1:2" x14ac:dyDescent="0.25">
      <c r="A1939" s="81" t="s">
        <v>4160</v>
      </c>
      <c r="B1939" s="80" t="s">
        <v>9514</v>
      </c>
    </row>
    <row r="1940" spans="1:2" x14ac:dyDescent="0.25">
      <c r="A1940" s="81" t="s">
        <v>4161</v>
      </c>
      <c r="B1940" s="80" t="s">
        <v>9514</v>
      </c>
    </row>
    <row r="1941" spans="1:2" x14ac:dyDescent="0.25">
      <c r="A1941" s="81" t="s">
        <v>4162</v>
      </c>
      <c r="B1941" s="80" t="s">
        <v>9514</v>
      </c>
    </row>
    <row r="1942" spans="1:2" x14ac:dyDescent="0.25">
      <c r="A1942" s="81" t="s">
        <v>4163</v>
      </c>
      <c r="B1942" s="80" t="s">
        <v>9514</v>
      </c>
    </row>
    <row r="1943" spans="1:2" x14ac:dyDescent="0.25">
      <c r="A1943" s="81" t="s">
        <v>4164</v>
      </c>
      <c r="B1943" s="80" t="s">
        <v>9514</v>
      </c>
    </row>
    <row r="1944" spans="1:2" x14ac:dyDescent="0.25">
      <c r="A1944" s="81" t="s">
        <v>4165</v>
      </c>
      <c r="B1944" s="80" t="s">
        <v>9514</v>
      </c>
    </row>
    <row r="1945" spans="1:2" x14ac:dyDescent="0.25">
      <c r="A1945" s="81" t="s">
        <v>4166</v>
      </c>
      <c r="B1945" s="80" t="s">
        <v>9514</v>
      </c>
    </row>
    <row r="1946" spans="1:2" x14ac:dyDescent="0.25">
      <c r="A1946" s="81" t="s">
        <v>4167</v>
      </c>
      <c r="B1946" s="80" t="s">
        <v>9514</v>
      </c>
    </row>
    <row r="1947" spans="1:2" x14ac:dyDescent="0.25">
      <c r="A1947" s="81" t="s">
        <v>4168</v>
      </c>
      <c r="B1947" s="80" t="s">
        <v>9514</v>
      </c>
    </row>
    <row r="1948" spans="1:2" x14ac:dyDescent="0.25">
      <c r="A1948" s="81" t="s">
        <v>4169</v>
      </c>
      <c r="B1948" s="80" t="s">
        <v>9514</v>
      </c>
    </row>
    <row r="1949" spans="1:2" x14ac:dyDescent="0.25">
      <c r="A1949" s="81" t="s">
        <v>4170</v>
      </c>
      <c r="B1949" s="80" t="s">
        <v>9514</v>
      </c>
    </row>
    <row r="1950" spans="1:2" x14ac:dyDescent="0.25">
      <c r="A1950" s="81" t="s">
        <v>4171</v>
      </c>
      <c r="B1950" s="80" t="s">
        <v>9514</v>
      </c>
    </row>
    <row r="1951" spans="1:2" x14ac:dyDescent="0.25">
      <c r="A1951" s="81" t="s">
        <v>4172</v>
      </c>
      <c r="B1951" s="80" t="s">
        <v>9514</v>
      </c>
    </row>
    <row r="1952" spans="1:2" x14ac:dyDescent="0.25">
      <c r="A1952" s="81" t="s">
        <v>4173</v>
      </c>
      <c r="B1952" s="80" t="s">
        <v>9514</v>
      </c>
    </row>
    <row r="1953" spans="1:2" x14ac:dyDescent="0.25">
      <c r="A1953" s="81" t="s">
        <v>4174</v>
      </c>
      <c r="B1953" s="80" t="s">
        <v>9514</v>
      </c>
    </row>
    <row r="1954" spans="1:2" x14ac:dyDescent="0.25">
      <c r="A1954" s="81" t="s">
        <v>4175</v>
      </c>
      <c r="B1954" s="80" t="s">
        <v>9514</v>
      </c>
    </row>
    <row r="1955" spans="1:2" x14ac:dyDescent="0.25">
      <c r="A1955" s="81" t="s">
        <v>4176</v>
      </c>
      <c r="B1955" s="80" t="s">
        <v>9514</v>
      </c>
    </row>
    <row r="1956" spans="1:2" x14ac:dyDescent="0.25">
      <c r="A1956" s="81" t="s">
        <v>4177</v>
      </c>
      <c r="B1956" s="80" t="s">
        <v>9514</v>
      </c>
    </row>
    <row r="1957" spans="1:2" x14ac:dyDescent="0.25">
      <c r="A1957" s="81" t="s">
        <v>4178</v>
      </c>
      <c r="B1957" s="80" t="s">
        <v>9514</v>
      </c>
    </row>
    <row r="1958" spans="1:2" x14ac:dyDescent="0.25">
      <c r="A1958" s="81" t="s">
        <v>4179</v>
      </c>
      <c r="B1958" s="80" t="s">
        <v>9514</v>
      </c>
    </row>
    <row r="1959" spans="1:2" x14ac:dyDescent="0.25">
      <c r="A1959" s="81" t="s">
        <v>4180</v>
      </c>
      <c r="B1959" s="80" t="s">
        <v>9514</v>
      </c>
    </row>
    <row r="1960" spans="1:2" x14ac:dyDescent="0.25">
      <c r="A1960" s="81" t="s">
        <v>4181</v>
      </c>
      <c r="B1960" s="80" t="s">
        <v>9514</v>
      </c>
    </row>
    <row r="1961" spans="1:2" x14ac:dyDescent="0.25">
      <c r="A1961" s="81" t="s">
        <v>4182</v>
      </c>
      <c r="B1961" s="80" t="s">
        <v>9514</v>
      </c>
    </row>
    <row r="1962" spans="1:2" x14ac:dyDescent="0.25">
      <c r="A1962" s="81" t="s">
        <v>4183</v>
      </c>
      <c r="B1962" s="80" t="s">
        <v>9514</v>
      </c>
    </row>
    <row r="1963" spans="1:2" x14ac:dyDescent="0.25">
      <c r="A1963" s="81" t="s">
        <v>4184</v>
      </c>
      <c r="B1963" s="80" t="s">
        <v>9514</v>
      </c>
    </row>
    <row r="1964" spans="1:2" x14ac:dyDescent="0.25">
      <c r="A1964" s="81" t="s">
        <v>4185</v>
      </c>
      <c r="B1964" s="80" t="s">
        <v>9514</v>
      </c>
    </row>
    <row r="1965" spans="1:2" x14ac:dyDescent="0.25">
      <c r="A1965" s="81" t="s">
        <v>4186</v>
      </c>
      <c r="B1965" s="80" t="s">
        <v>9514</v>
      </c>
    </row>
    <row r="1966" spans="1:2" x14ac:dyDescent="0.25">
      <c r="A1966" s="81" t="s">
        <v>4187</v>
      </c>
      <c r="B1966" s="80" t="s">
        <v>9514</v>
      </c>
    </row>
    <row r="1967" spans="1:2" x14ac:dyDescent="0.25">
      <c r="A1967" s="81" t="s">
        <v>4188</v>
      </c>
      <c r="B1967" s="80" t="s">
        <v>9514</v>
      </c>
    </row>
    <row r="1968" spans="1:2" x14ac:dyDescent="0.25">
      <c r="A1968" s="81" t="s">
        <v>4189</v>
      </c>
      <c r="B1968" s="80" t="s">
        <v>9514</v>
      </c>
    </row>
    <row r="1969" spans="1:2" x14ac:dyDescent="0.25">
      <c r="A1969" s="81" t="s">
        <v>4190</v>
      </c>
      <c r="B1969" s="80" t="s">
        <v>9514</v>
      </c>
    </row>
    <row r="1970" spans="1:2" x14ac:dyDescent="0.25">
      <c r="A1970" s="81" t="s">
        <v>4191</v>
      </c>
      <c r="B1970" s="80" t="s">
        <v>9514</v>
      </c>
    </row>
    <row r="1971" spans="1:2" x14ac:dyDescent="0.25">
      <c r="A1971" s="81" t="s">
        <v>4192</v>
      </c>
      <c r="B1971" s="80" t="s">
        <v>9514</v>
      </c>
    </row>
    <row r="1972" spans="1:2" x14ac:dyDescent="0.25">
      <c r="A1972" s="81" t="s">
        <v>4193</v>
      </c>
      <c r="B1972" s="80" t="s">
        <v>9514</v>
      </c>
    </row>
    <row r="1973" spans="1:2" x14ac:dyDescent="0.25">
      <c r="A1973" s="81" t="s">
        <v>4194</v>
      </c>
      <c r="B1973" s="80" t="s">
        <v>9514</v>
      </c>
    </row>
    <row r="1974" spans="1:2" x14ac:dyDescent="0.25">
      <c r="A1974" s="81" t="s">
        <v>4195</v>
      </c>
      <c r="B1974" s="80" t="s">
        <v>9514</v>
      </c>
    </row>
    <row r="1975" spans="1:2" x14ac:dyDescent="0.25">
      <c r="A1975" s="81" t="s">
        <v>4196</v>
      </c>
      <c r="B1975" s="80" t="s">
        <v>9514</v>
      </c>
    </row>
    <row r="1976" spans="1:2" x14ac:dyDescent="0.25">
      <c r="A1976" s="81" t="s">
        <v>4197</v>
      </c>
      <c r="B1976" s="80" t="s">
        <v>9514</v>
      </c>
    </row>
    <row r="1977" spans="1:2" x14ac:dyDescent="0.25">
      <c r="A1977" s="81" t="s">
        <v>4198</v>
      </c>
      <c r="B1977" s="80" t="s">
        <v>9514</v>
      </c>
    </row>
    <row r="1978" spans="1:2" x14ac:dyDescent="0.25">
      <c r="A1978" s="81" t="s">
        <v>4199</v>
      </c>
      <c r="B1978" s="80" t="s">
        <v>9514</v>
      </c>
    </row>
    <row r="1979" spans="1:2" x14ac:dyDescent="0.25">
      <c r="A1979" s="81" t="s">
        <v>4200</v>
      </c>
      <c r="B1979" s="80" t="s">
        <v>9514</v>
      </c>
    </row>
    <row r="1980" spans="1:2" x14ac:dyDescent="0.25">
      <c r="A1980" s="81" t="s">
        <v>4201</v>
      </c>
      <c r="B1980" s="80" t="s">
        <v>9514</v>
      </c>
    </row>
    <row r="1981" spans="1:2" x14ac:dyDescent="0.25">
      <c r="A1981" s="81" t="s">
        <v>4202</v>
      </c>
      <c r="B1981" s="80" t="s">
        <v>9514</v>
      </c>
    </row>
    <row r="1982" spans="1:2" x14ac:dyDescent="0.25">
      <c r="A1982" s="81" t="s">
        <v>4203</v>
      </c>
      <c r="B1982" s="80" t="s">
        <v>9514</v>
      </c>
    </row>
    <row r="1983" spans="1:2" x14ac:dyDescent="0.25">
      <c r="A1983" s="81" t="s">
        <v>4204</v>
      </c>
      <c r="B1983" s="80" t="s">
        <v>9514</v>
      </c>
    </row>
    <row r="1984" spans="1:2" x14ac:dyDescent="0.25">
      <c r="A1984" s="81" t="s">
        <v>4205</v>
      </c>
      <c r="B1984" s="80" t="s">
        <v>9514</v>
      </c>
    </row>
    <row r="1985" spans="1:2" x14ac:dyDescent="0.25">
      <c r="A1985" s="81" t="s">
        <v>4206</v>
      </c>
      <c r="B1985" s="80" t="s">
        <v>9514</v>
      </c>
    </row>
    <row r="1986" spans="1:2" x14ac:dyDescent="0.25">
      <c r="A1986" s="81" t="s">
        <v>4207</v>
      </c>
      <c r="B1986" s="80" t="s">
        <v>9514</v>
      </c>
    </row>
    <row r="1987" spans="1:2" x14ac:dyDescent="0.25">
      <c r="A1987" s="81" t="s">
        <v>4208</v>
      </c>
      <c r="B1987" s="80" t="s">
        <v>9514</v>
      </c>
    </row>
    <row r="1988" spans="1:2" x14ac:dyDescent="0.25">
      <c r="A1988" s="81" t="s">
        <v>4209</v>
      </c>
      <c r="B1988" s="80" t="s">
        <v>9514</v>
      </c>
    </row>
    <row r="1989" spans="1:2" x14ac:dyDescent="0.25">
      <c r="A1989" s="81" t="s">
        <v>4210</v>
      </c>
      <c r="B1989" s="80" t="s">
        <v>9514</v>
      </c>
    </row>
    <row r="1990" spans="1:2" x14ac:dyDescent="0.25">
      <c r="A1990" s="81" t="s">
        <v>4211</v>
      </c>
      <c r="B1990" s="80" t="s">
        <v>9514</v>
      </c>
    </row>
    <row r="1991" spans="1:2" x14ac:dyDescent="0.25">
      <c r="A1991" s="81" t="s">
        <v>4212</v>
      </c>
      <c r="B1991" s="80" t="s">
        <v>9514</v>
      </c>
    </row>
    <row r="1992" spans="1:2" x14ac:dyDescent="0.25">
      <c r="A1992" s="81" t="s">
        <v>4213</v>
      </c>
      <c r="B1992" s="80" t="s">
        <v>9514</v>
      </c>
    </row>
    <row r="1993" spans="1:2" x14ac:dyDescent="0.25">
      <c r="A1993" s="81" t="s">
        <v>4214</v>
      </c>
      <c r="B1993" s="80" t="s">
        <v>9514</v>
      </c>
    </row>
    <row r="1994" spans="1:2" x14ac:dyDescent="0.25">
      <c r="A1994" s="81" t="s">
        <v>4215</v>
      </c>
      <c r="B1994" s="80" t="s">
        <v>9514</v>
      </c>
    </row>
    <row r="1995" spans="1:2" x14ac:dyDescent="0.25">
      <c r="A1995" s="81" t="s">
        <v>4216</v>
      </c>
      <c r="B1995" s="80" t="s">
        <v>9514</v>
      </c>
    </row>
    <row r="1996" spans="1:2" x14ac:dyDescent="0.25">
      <c r="A1996" s="81" t="s">
        <v>4217</v>
      </c>
      <c r="B1996" s="80" t="s">
        <v>9514</v>
      </c>
    </row>
    <row r="1997" spans="1:2" x14ac:dyDescent="0.25">
      <c r="A1997" s="81" t="s">
        <v>4218</v>
      </c>
      <c r="B1997" s="80" t="s">
        <v>9514</v>
      </c>
    </row>
    <row r="1998" spans="1:2" x14ac:dyDescent="0.25">
      <c r="A1998" s="81" t="s">
        <v>4219</v>
      </c>
      <c r="B1998" s="80" t="s">
        <v>9514</v>
      </c>
    </row>
    <row r="1999" spans="1:2" x14ac:dyDescent="0.25">
      <c r="A1999" s="81" t="s">
        <v>4220</v>
      </c>
      <c r="B1999" s="80" t="s">
        <v>9514</v>
      </c>
    </row>
    <row r="2000" spans="1:2" x14ac:dyDescent="0.25">
      <c r="A2000" s="81" t="s">
        <v>4221</v>
      </c>
      <c r="B2000" s="80" t="s">
        <v>9514</v>
      </c>
    </row>
    <row r="2001" spans="1:2" x14ac:dyDescent="0.25">
      <c r="A2001" s="81" t="s">
        <v>4222</v>
      </c>
      <c r="B2001" s="80" t="s">
        <v>9514</v>
      </c>
    </row>
    <row r="2002" spans="1:2" x14ac:dyDescent="0.25">
      <c r="A2002" s="81" t="s">
        <v>4223</v>
      </c>
      <c r="B2002" s="80" t="s">
        <v>9514</v>
      </c>
    </row>
    <row r="2003" spans="1:2" x14ac:dyDescent="0.25">
      <c r="A2003" s="81" t="s">
        <v>4224</v>
      </c>
      <c r="B2003" s="80" t="s">
        <v>9514</v>
      </c>
    </row>
    <row r="2004" spans="1:2" x14ac:dyDescent="0.25">
      <c r="A2004" s="81" t="s">
        <v>4225</v>
      </c>
      <c r="B2004" s="80" t="s">
        <v>9514</v>
      </c>
    </row>
    <row r="2005" spans="1:2" x14ac:dyDescent="0.25">
      <c r="A2005" s="81" t="s">
        <v>4226</v>
      </c>
      <c r="B2005" s="80" t="s">
        <v>9514</v>
      </c>
    </row>
    <row r="2006" spans="1:2" x14ac:dyDescent="0.25">
      <c r="A2006" s="81" t="s">
        <v>4227</v>
      </c>
      <c r="B2006" s="80" t="s">
        <v>9514</v>
      </c>
    </row>
    <row r="2007" spans="1:2" x14ac:dyDescent="0.25">
      <c r="A2007" s="81" t="s">
        <v>4228</v>
      </c>
      <c r="B2007" s="80" t="s">
        <v>9514</v>
      </c>
    </row>
    <row r="2008" spans="1:2" x14ac:dyDescent="0.25">
      <c r="A2008" s="81" t="s">
        <v>4229</v>
      </c>
      <c r="B2008" s="80" t="s">
        <v>9514</v>
      </c>
    </row>
    <row r="2009" spans="1:2" x14ac:dyDescent="0.25">
      <c r="A2009" s="81" t="s">
        <v>4230</v>
      </c>
      <c r="B2009" s="80" t="s">
        <v>9514</v>
      </c>
    </row>
    <row r="2010" spans="1:2" x14ac:dyDescent="0.25">
      <c r="A2010" s="81" t="s">
        <v>4231</v>
      </c>
      <c r="B2010" s="80" t="s">
        <v>9514</v>
      </c>
    </row>
    <row r="2011" spans="1:2" x14ac:dyDescent="0.25">
      <c r="A2011" s="81" t="s">
        <v>4232</v>
      </c>
      <c r="B2011" s="80" t="s">
        <v>9514</v>
      </c>
    </row>
    <row r="2012" spans="1:2" x14ac:dyDescent="0.25">
      <c r="A2012" s="81" t="s">
        <v>4233</v>
      </c>
      <c r="B2012" s="80" t="s">
        <v>9514</v>
      </c>
    </row>
    <row r="2013" spans="1:2" x14ac:dyDescent="0.25">
      <c r="A2013" s="81" t="s">
        <v>4234</v>
      </c>
      <c r="B2013" s="80" t="s">
        <v>9514</v>
      </c>
    </row>
    <row r="2014" spans="1:2" x14ac:dyDescent="0.25">
      <c r="A2014" s="81" t="s">
        <v>4235</v>
      </c>
      <c r="B2014" s="80" t="s">
        <v>9514</v>
      </c>
    </row>
    <row r="2015" spans="1:2" x14ac:dyDescent="0.25">
      <c r="A2015" s="81" t="s">
        <v>4236</v>
      </c>
      <c r="B2015" s="80" t="s">
        <v>9514</v>
      </c>
    </row>
    <row r="2016" spans="1:2" x14ac:dyDescent="0.25">
      <c r="A2016" s="81" t="s">
        <v>4237</v>
      </c>
      <c r="B2016" s="80" t="s">
        <v>9514</v>
      </c>
    </row>
    <row r="2017" spans="1:2" x14ac:dyDescent="0.25">
      <c r="A2017" s="81" t="s">
        <v>4238</v>
      </c>
      <c r="B2017" s="80" t="s">
        <v>9514</v>
      </c>
    </row>
    <row r="2018" spans="1:2" x14ac:dyDescent="0.25">
      <c r="A2018" s="81" t="s">
        <v>4239</v>
      </c>
      <c r="B2018" s="80" t="s">
        <v>9514</v>
      </c>
    </row>
    <row r="2019" spans="1:2" x14ac:dyDescent="0.25">
      <c r="A2019" s="81" t="s">
        <v>4240</v>
      </c>
      <c r="B2019" s="80" t="s">
        <v>9514</v>
      </c>
    </row>
    <row r="2020" spans="1:2" x14ac:dyDescent="0.25">
      <c r="A2020" s="81" t="s">
        <v>4241</v>
      </c>
      <c r="B2020" s="80" t="s">
        <v>9514</v>
      </c>
    </row>
    <row r="2021" spans="1:2" x14ac:dyDescent="0.25">
      <c r="A2021" s="81" t="s">
        <v>4242</v>
      </c>
      <c r="B2021" s="80" t="s">
        <v>9514</v>
      </c>
    </row>
    <row r="2022" spans="1:2" x14ac:dyDescent="0.25">
      <c r="A2022" s="81" t="s">
        <v>4243</v>
      </c>
      <c r="B2022" s="80" t="s">
        <v>9514</v>
      </c>
    </row>
    <row r="2023" spans="1:2" x14ac:dyDescent="0.25">
      <c r="A2023" s="81" t="s">
        <v>4244</v>
      </c>
      <c r="B2023" s="80" t="s">
        <v>9514</v>
      </c>
    </row>
    <row r="2024" spans="1:2" x14ac:dyDescent="0.25">
      <c r="A2024" s="81" t="s">
        <v>4245</v>
      </c>
      <c r="B2024" s="80" t="s">
        <v>9514</v>
      </c>
    </row>
    <row r="2025" spans="1:2" x14ac:dyDescent="0.25">
      <c r="A2025" s="81" t="s">
        <v>4246</v>
      </c>
      <c r="B2025" s="80" t="s">
        <v>9514</v>
      </c>
    </row>
    <row r="2026" spans="1:2" x14ac:dyDescent="0.25">
      <c r="A2026" s="81" t="s">
        <v>4247</v>
      </c>
      <c r="B2026" s="80" t="s">
        <v>9514</v>
      </c>
    </row>
    <row r="2027" spans="1:2" x14ac:dyDescent="0.25">
      <c r="A2027" s="81" t="s">
        <v>4248</v>
      </c>
      <c r="B2027" s="80" t="s">
        <v>9514</v>
      </c>
    </row>
    <row r="2028" spans="1:2" x14ac:dyDescent="0.25">
      <c r="A2028" s="81" t="s">
        <v>4249</v>
      </c>
      <c r="B2028" s="80" t="s">
        <v>9514</v>
      </c>
    </row>
    <row r="2029" spans="1:2" x14ac:dyDescent="0.25">
      <c r="A2029" s="81" t="s">
        <v>4250</v>
      </c>
      <c r="B2029" s="80" t="s">
        <v>9514</v>
      </c>
    </row>
    <row r="2030" spans="1:2" x14ac:dyDescent="0.25">
      <c r="A2030" s="81" t="s">
        <v>4251</v>
      </c>
      <c r="B2030" s="80" t="s">
        <v>9514</v>
      </c>
    </row>
    <row r="2031" spans="1:2" x14ac:dyDescent="0.25">
      <c r="A2031" s="81" t="s">
        <v>4252</v>
      </c>
      <c r="B2031" s="80" t="s">
        <v>9514</v>
      </c>
    </row>
    <row r="2032" spans="1:2" x14ac:dyDescent="0.25">
      <c r="A2032" s="81" t="s">
        <v>4253</v>
      </c>
      <c r="B2032" s="80" t="s">
        <v>9514</v>
      </c>
    </row>
    <row r="2033" spans="1:2" x14ac:dyDescent="0.25">
      <c r="A2033" s="81" t="s">
        <v>4254</v>
      </c>
      <c r="B2033" s="80" t="s">
        <v>9514</v>
      </c>
    </row>
    <row r="2034" spans="1:2" x14ac:dyDescent="0.25">
      <c r="A2034" s="81" t="s">
        <v>4255</v>
      </c>
      <c r="B2034" s="80" t="s">
        <v>9514</v>
      </c>
    </row>
    <row r="2035" spans="1:2" x14ac:dyDescent="0.25">
      <c r="A2035" s="81" t="s">
        <v>4256</v>
      </c>
      <c r="B2035" s="80" t="s">
        <v>9514</v>
      </c>
    </row>
    <row r="2036" spans="1:2" x14ac:dyDescent="0.25">
      <c r="A2036" s="81" t="s">
        <v>4257</v>
      </c>
      <c r="B2036" s="80" t="s">
        <v>9514</v>
      </c>
    </row>
    <row r="2037" spans="1:2" x14ac:dyDescent="0.25">
      <c r="A2037" s="81" t="s">
        <v>4258</v>
      </c>
      <c r="B2037" s="80" t="s">
        <v>9514</v>
      </c>
    </row>
    <row r="2038" spans="1:2" x14ac:dyDescent="0.25">
      <c r="A2038" s="81" t="s">
        <v>4259</v>
      </c>
      <c r="B2038" s="80" t="s">
        <v>9514</v>
      </c>
    </row>
    <row r="2039" spans="1:2" x14ac:dyDescent="0.25">
      <c r="A2039" s="81" t="s">
        <v>4260</v>
      </c>
      <c r="B2039" s="80" t="s">
        <v>9514</v>
      </c>
    </row>
    <row r="2040" spans="1:2" x14ac:dyDescent="0.25">
      <c r="A2040" s="81" t="s">
        <v>4261</v>
      </c>
      <c r="B2040" s="80" t="s">
        <v>9514</v>
      </c>
    </row>
    <row r="2041" spans="1:2" x14ac:dyDescent="0.25">
      <c r="A2041" s="81" t="s">
        <v>4262</v>
      </c>
      <c r="B2041" s="80" t="s">
        <v>9514</v>
      </c>
    </row>
    <row r="2042" spans="1:2" x14ac:dyDescent="0.25">
      <c r="A2042" s="81" t="s">
        <v>4263</v>
      </c>
      <c r="B2042" s="80" t="s">
        <v>9514</v>
      </c>
    </row>
    <row r="2043" spans="1:2" x14ac:dyDescent="0.25">
      <c r="A2043" s="81" t="s">
        <v>4264</v>
      </c>
      <c r="B2043" s="80" t="s">
        <v>9514</v>
      </c>
    </row>
    <row r="2044" spans="1:2" x14ac:dyDescent="0.25">
      <c r="A2044" s="81" t="s">
        <v>4265</v>
      </c>
      <c r="B2044" s="80" t="s">
        <v>9514</v>
      </c>
    </row>
    <row r="2045" spans="1:2" x14ac:dyDescent="0.25">
      <c r="A2045" s="81" t="s">
        <v>4266</v>
      </c>
      <c r="B2045" s="80" t="s">
        <v>9514</v>
      </c>
    </row>
    <row r="2046" spans="1:2" x14ac:dyDescent="0.25">
      <c r="A2046" s="81" t="s">
        <v>4267</v>
      </c>
      <c r="B2046" s="80" t="s">
        <v>9514</v>
      </c>
    </row>
    <row r="2047" spans="1:2" x14ac:dyDescent="0.25">
      <c r="A2047" s="81" t="s">
        <v>4268</v>
      </c>
      <c r="B2047" s="80" t="s">
        <v>9514</v>
      </c>
    </row>
    <row r="2048" spans="1:2" x14ac:dyDescent="0.25">
      <c r="A2048" s="81" t="s">
        <v>4269</v>
      </c>
      <c r="B2048" s="80" t="s">
        <v>9514</v>
      </c>
    </row>
    <row r="2049" spans="1:2" x14ac:dyDescent="0.25">
      <c r="A2049" s="81" t="s">
        <v>4270</v>
      </c>
      <c r="B2049" s="80" t="s">
        <v>9514</v>
      </c>
    </row>
    <row r="2050" spans="1:2" x14ac:dyDescent="0.25">
      <c r="A2050" s="81" t="s">
        <v>4271</v>
      </c>
      <c r="B2050" s="80" t="s">
        <v>9514</v>
      </c>
    </row>
    <row r="2051" spans="1:2" x14ac:dyDescent="0.25">
      <c r="A2051" s="81" t="s">
        <v>4272</v>
      </c>
      <c r="B2051" s="80" t="s">
        <v>9514</v>
      </c>
    </row>
    <row r="2052" spans="1:2" x14ac:dyDescent="0.25">
      <c r="A2052" s="81" t="s">
        <v>4273</v>
      </c>
      <c r="B2052" s="80" t="s">
        <v>9514</v>
      </c>
    </row>
    <row r="2053" spans="1:2" x14ac:dyDescent="0.25">
      <c r="A2053" s="81" t="s">
        <v>4274</v>
      </c>
      <c r="B2053" s="80" t="s">
        <v>9514</v>
      </c>
    </row>
    <row r="2054" spans="1:2" x14ac:dyDescent="0.25">
      <c r="A2054" s="81" t="s">
        <v>4275</v>
      </c>
      <c r="B2054" s="80" t="s">
        <v>9514</v>
      </c>
    </row>
    <row r="2055" spans="1:2" x14ac:dyDescent="0.25">
      <c r="A2055" s="81" t="s">
        <v>4276</v>
      </c>
      <c r="B2055" s="80" t="s">
        <v>9514</v>
      </c>
    </row>
    <row r="2056" spans="1:2" x14ac:dyDescent="0.25">
      <c r="A2056" s="81" t="s">
        <v>4277</v>
      </c>
      <c r="B2056" s="80" t="s">
        <v>9514</v>
      </c>
    </row>
    <row r="2057" spans="1:2" x14ac:dyDescent="0.25">
      <c r="A2057" s="81" t="s">
        <v>4278</v>
      </c>
      <c r="B2057" s="80" t="s">
        <v>9514</v>
      </c>
    </row>
    <row r="2058" spans="1:2" x14ac:dyDescent="0.25">
      <c r="A2058" s="81" t="s">
        <v>4279</v>
      </c>
      <c r="B2058" s="80" t="s">
        <v>9514</v>
      </c>
    </row>
    <row r="2059" spans="1:2" x14ac:dyDescent="0.25">
      <c r="A2059" s="81" t="s">
        <v>4280</v>
      </c>
      <c r="B2059" s="80" t="s">
        <v>9514</v>
      </c>
    </row>
    <row r="2060" spans="1:2" x14ac:dyDescent="0.25">
      <c r="A2060" s="81" t="s">
        <v>4281</v>
      </c>
      <c r="B2060" s="80" t="s">
        <v>9514</v>
      </c>
    </row>
    <row r="2061" spans="1:2" x14ac:dyDescent="0.25">
      <c r="A2061" s="81" t="s">
        <v>4282</v>
      </c>
      <c r="B2061" s="80" t="s">
        <v>9514</v>
      </c>
    </row>
    <row r="2062" spans="1:2" x14ac:dyDescent="0.25">
      <c r="A2062" s="81" t="s">
        <v>1946</v>
      </c>
      <c r="B2062" s="80" t="s">
        <v>9514</v>
      </c>
    </row>
    <row r="2063" spans="1:2" x14ac:dyDescent="0.25">
      <c r="A2063" s="81" t="s">
        <v>4283</v>
      </c>
      <c r="B2063" s="80" t="s">
        <v>9514</v>
      </c>
    </row>
    <row r="2064" spans="1:2" x14ac:dyDescent="0.25">
      <c r="A2064" s="81" t="s">
        <v>4284</v>
      </c>
      <c r="B2064" s="80" t="s">
        <v>9514</v>
      </c>
    </row>
    <row r="2065" spans="1:2" x14ac:dyDescent="0.25">
      <c r="A2065" s="81" t="s">
        <v>4285</v>
      </c>
      <c r="B2065" s="80" t="s">
        <v>9514</v>
      </c>
    </row>
    <row r="2066" spans="1:2" x14ac:dyDescent="0.25">
      <c r="A2066" s="81" t="s">
        <v>4286</v>
      </c>
      <c r="B2066" s="80" t="s">
        <v>9514</v>
      </c>
    </row>
    <row r="2067" spans="1:2" x14ac:dyDescent="0.25">
      <c r="A2067" s="81" t="s">
        <v>4287</v>
      </c>
      <c r="B2067" s="80" t="s">
        <v>9514</v>
      </c>
    </row>
    <row r="2068" spans="1:2" x14ac:dyDescent="0.25">
      <c r="A2068" s="81" t="s">
        <v>4288</v>
      </c>
      <c r="B2068" s="80" t="s">
        <v>9514</v>
      </c>
    </row>
    <row r="2069" spans="1:2" x14ac:dyDescent="0.25">
      <c r="A2069" s="81" t="s">
        <v>4289</v>
      </c>
      <c r="B2069" s="80" t="s">
        <v>9514</v>
      </c>
    </row>
    <row r="2070" spans="1:2" x14ac:dyDescent="0.25">
      <c r="A2070" s="81" t="s">
        <v>4290</v>
      </c>
      <c r="B2070" s="80" t="s">
        <v>9514</v>
      </c>
    </row>
    <row r="2071" spans="1:2" x14ac:dyDescent="0.25">
      <c r="A2071" s="81" t="s">
        <v>4291</v>
      </c>
      <c r="B2071" s="80" t="s">
        <v>9514</v>
      </c>
    </row>
    <row r="2072" spans="1:2" x14ac:dyDescent="0.25">
      <c r="A2072" s="81" t="s">
        <v>4292</v>
      </c>
      <c r="B2072" s="80" t="s">
        <v>9514</v>
      </c>
    </row>
    <row r="2073" spans="1:2" x14ac:dyDescent="0.25">
      <c r="A2073" s="81" t="s">
        <v>4293</v>
      </c>
      <c r="B2073" s="80" t="s">
        <v>9514</v>
      </c>
    </row>
    <row r="2074" spans="1:2" x14ac:dyDescent="0.25">
      <c r="A2074" s="81" t="s">
        <v>4294</v>
      </c>
      <c r="B2074" s="80" t="s">
        <v>9514</v>
      </c>
    </row>
    <row r="2075" spans="1:2" x14ac:dyDescent="0.25">
      <c r="A2075" s="81" t="s">
        <v>4295</v>
      </c>
      <c r="B2075" s="80" t="s">
        <v>9514</v>
      </c>
    </row>
    <row r="2076" spans="1:2" x14ac:dyDescent="0.25">
      <c r="A2076" s="81" t="s">
        <v>4296</v>
      </c>
      <c r="B2076" s="80" t="s">
        <v>9514</v>
      </c>
    </row>
    <row r="2077" spans="1:2" x14ac:dyDescent="0.25">
      <c r="A2077" s="81" t="s">
        <v>4297</v>
      </c>
      <c r="B2077" s="80" t="s">
        <v>9514</v>
      </c>
    </row>
    <row r="2078" spans="1:2" x14ac:dyDescent="0.25">
      <c r="A2078" s="81" t="s">
        <v>4298</v>
      </c>
      <c r="B2078" s="80" t="s">
        <v>9514</v>
      </c>
    </row>
    <row r="2079" spans="1:2" x14ac:dyDescent="0.25">
      <c r="A2079" s="81" t="s">
        <v>4299</v>
      </c>
      <c r="B2079" s="80" t="s">
        <v>9514</v>
      </c>
    </row>
    <row r="2080" spans="1:2" x14ac:dyDescent="0.25">
      <c r="A2080" s="81" t="s">
        <v>4300</v>
      </c>
      <c r="B2080" s="80" t="s">
        <v>9514</v>
      </c>
    </row>
    <row r="2081" spans="1:2" x14ac:dyDescent="0.25">
      <c r="A2081" s="81" t="s">
        <v>4301</v>
      </c>
      <c r="B2081" s="80" t="s">
        <v>9514</v>
      </c>
    </row>
    <row r="2082" spans="1:2" x14ac:dyDescent="0.25">
      <c r="A2082" s="81" t="s">
        <v>4302</v>
      </c>
      <c r="B2082" s="80" t="s">
        <v>9514</v>
      </c>
    </row>
    <row r="2083" spans="1:2" x14ac:dyDescent="0.25">
      <c r="A2083" s="81" t="s">
        <v>4303</v>
      </c>
      <c r="B2083" s="80" t="s">
        <v>9514</v>
      </c>
    </row>
    <row r="2084" spans="1:2" x14ac:dyDescent="0.25">
      <c r="A2084" s="81" t="s">
        <v>4304</v>
      </c>
      <c r="B2084" s="80" t="s">
        <v>9514</v>
      </c>
    </row>
    <row r="2085" spans="1:2" x14ac:dyDescent="0.25">
      <c r="A2085" s="81" t="s">
        <v>4305</v>
      </c>
      <c r="B2085" s="80" t="s">
        <v>9514</v>
      </c>
    </row>
    <row r="2086" spans="1:2" x14ac:dyDescent="0.25">
      <c r="A2086" s="81" t="s">
        <v>4306</v>
      </c>
      <c r="B2086" s="80" t="s">
        <v>9514</v>
      </c>
    </row>
    <row r="2087" spans="1:2" x14ac:dyDescent="0.25">
      <c r="A2087" s="81" t="s">
        <v>4307</v>
      </c>
      <c r="B2087" s="80" t="s">
        <v>9514</v>
      </c>
    </row>
    <row r="2088" spans="1:2" x14ac:dyDescent="0.25">
      <c r="A2088" s="81" t="s">
        <v>4308</v>
      </c>
      <c r="B2088" s="80" t="s">
        <v>9514</v>
      </c>
    </row>
    <row r="2089" spans="1:2" x14ac:dyDescent="0.25">
      <c r="A2089" s="81" t="s">
        <v>4309</v>
      </c>
      <c r="B2089" s="80" t="s">
        <v>9514</v>
      </c>
    </row>
    <row r="2090" spans="1:2" x14ac:dyDescent="0.25">
      <c r="A2090" s="81" t="s">
        <v>4310</v>
      </c>
      <c r="B2090" s="80" t="s">
        <v>9514</v>
      </c>
    </row>
    <row r="2091" spans="1:2" x14ac:dyDescent="0.25">
      <c r="A2091" s="81" t="s">
        <v>4311</v>
      </c>
      <c r="B2091" s="80" t="s">
        <v>9514</v>
      </c>
    </row>
    <row r="2092" spans="1:2" x14ac:dyDescent="0.25">
      <c r="A2092" s="81" t="s">
        <v>4312</v>
      </c>
      <c r="B2092" s="80" t="s">
        <v>9514</v>
      </c>
    </row>
    <row r="2093" spans="1:2" x14ac:dyDescent="0.25">
      <c r="A2093" s="81" t="s">
        <v>4313</v>
      </c>
      <c r="B2093" s="80" t="s">
        <v>9514</v>
      </c>
    </row>
    <row r="2094" spans="1:2" x14ac:dyDescent="0.25">
      <c r="A2094" s="81" t="s">
        <v>4314</v>
      </c>
      <c r="B2094" s="80" t="s">
        <v>9514</v>
      </c>
    </row>
    <row r="2095" spans="1:2" x14ac:dyDescent="0.25">
      <c r="A2095" s="81" t="s">
        <v>4315</v>
      </c>
      <c r="B2095" s="80" t="s">
        <v>9514</v>
      </c>
    </row>
    <row r="2096" spans="1:2" x14ac:dyDescent="0.25">
      <c r="A2096" s="81" t="s">
        <v>4316</v>
      </c>
      <c r="B2096" s="80" t="s">
        <v>9514</v>
      </c>
    </row>
    <row r="2097" spans="1:2" x14ac:dyDescent="0.25">
      <c r="A2097" s="81" t="s">
        <v>4317</v>
      </c>
      <c r="B2097" s="80" t="s">
        <v>9514</v>
      </c>
    </row>
    <row r="2098" spans="1:2" x14ac:dyDescent="0.25">
      <c r="A2098" s="81" t="s">
        <v>4318</v>
      </c>
      <c r="B2098" s="80" t="s">
        <v>9514</v>
      </c>
    </row>
    <row r="2099" spans="1:2" x14ac:dyDescent="0.25">
      <c r="A2099" s="81" t="s">
        <v>4319</v>
      </c>
      <c r="B2099" s="80" t="s">
        <v>9514</v>
      </c>
    </row>
    <row r="2100" spans="1:2" x14ac:dyDescent="0.25">
      <c r="A2100" s="81" t="s">
        <v>4320</v>
      </c>
      <c r="B2100" s="80" t="s">
        <v>9514</v>
      </c>
    </row>
    <row r="2101" spans="1:2" x14ac:dyDescent="0.25">
      <c r="A2101" s="81" t="s">
        <v>4321</v>
      </c>
      <c r="B2101" s="80" t="s">
        <v>9514</v>
      </c>
    </row>
    <row r="2102" spans="1:2" x14ac:dyDescent="0.25">
      <c r="A2102" s="81" t="s">
        <v>4322</v>
      </c>
      <c r="B2102" s="80" t="s">
        <v>9514</v>
      </c>
    </row>
    <row r="2103" spans="1:2" x14ac:dyDescent="0.25">
      <c r="A2103" s="81" t="s">
        <v>4323</v>
      </c>
      <c r="B2103" s="80" t="s">
        <v>9514</v>
      </c>
    </row>
    <row r="2104" spans="1:2" x14ac:dyDescent="0.25">
      <c r="A2104" s="81" t="s">
        <v>4324</v>
      </c>
      <c r="B2104" s="80" t="s">
        <v>9514</v>
      </c>
    </row>
    <row r="2105" spans="1:2" x14ac:dyDescent="0.25">
      <c r="A2105" s="81" t="s">
        <v>4325</v>
      </c>
      <c r="B2105" s="80" t="s">
        <v>9514</v>
      </c>
    </row>
    <row r="2106" spans="1:2" x14ac:dyDescent="0.25">
      <c r="A2106" s="81" t="s">
        <v>4326</v>
      </c>
      <c r="B2106" s="80" t="s">
        <v>9514</v>
      </c>
    </row>
    <row r="2107" spans="1:2" x14ac:dyDescent="0.25">
      <c r="A2107" s="81" t="s">
        <v>4327</v>
      </c>
      <c r="B2107" s="80" t="s">
        <v>9514</v>
      </c>
    </row>
    <row r="2108" spans="1:2" x14ac:dyDescent="0.25">
      <c r="A2108" s="81" t="s">
        <v>4328</v>
      </c>
      <c r="B2108" s="80" t="s">
        <v>9514</v>
      </c>
    </row>
    <row r="2109" spans="1:2" x14ac:dyDescent="0.25">
      <c r="A2109" s="81" t="s">
        <v>4329</v>
      </c>
      <c r="B2109" s="80" t="s">
        <v>9514</v>
      </c>
    </row>
    <row r="2110" spans="1:2" x14ac:dyDescent="0.25">
      <c r="A2110" s="81" t="s">
        <v>4330</v>
      </c>
      <c r="B2110" s="80" t="s">
        <v>9514</v>
      </c>
    </row>
    <row r="2111" spans="1:2" x14ac:dyDescent="0.25">
      <c r="A2111" s="81" t="s">
        <v>4331</v>
      </c>
      <c r="B2111" s="80" t="s">
        <v>9514</v>
      </c>
    </row>
    <row r="2112" spans="1:2" x14ac:dyDescent="0.25">
      <c r="A2112" s="81" t="s">
        <v>4332</v>
      </c>
      <c r="B2112" s="80" t="s">
        <v>9514</v>
      </c>
    </row>
    <row r="2113" spans="1:2" x14ac:dyDescent="0.25">
      <c r="A2113" s="81" t="s">
        <v>4333</v>
      </c>
      <c r="B2113" s="80" t="s">
        <v>9514</v>
      </c>
    </row>
    <row r="2114" spans="1:2" x14ac:dyDescent="0.25">
      <c r="A2114" s="81" t="s">
        <v>4334</v>
      </c>
      <c r="B2114" s="80" t="s">
        <v>9514</v>
      </c>
    </row>
    <row r="2115" spans="1:2" x14ac:dyDescent="0.25">
      <c r="A2115" s="81" t="s">
        <v>4335</v>
      </c>
      <c r="B2115" s="80" t="s">
        <v>9514</v>
      </c>
    </row>
    <row r="2116" spans="1:2" x14ac:dyDescent="0.25">
      <c r="A2116" s="81" t="s">
        <v>4336</v>
      </c>
      <c r="B2116" s="80" t="s">
        <v>9514</v>
      </c>
    </row>
    <row r="2117" spans="1:2" x14ac:dyDescent="0.25">
      <c r="A2117" s="81" t="s">
        <v>4337</v>
      </c>
      <c r="B2117" s="80" t="s">
        <v>9514</v>
      </c>
    </row>
    <row r="2118" spans="1:2" x14ac:dyDescent="0.25">
      <c r="A2118" s="81" t="s">
        <v>4338</v>
      </c>
      <c r="B2118" s="80" t="s">
        <v>9514</v>
      </c>
    </row>
    <row r="2119" spans="1:2" x14ac:dyDescent="0.25">
      <c r="A2119" s="81" t="s">
        <v>4339</v>
      </c>
      <c r="B2119" s="80" t="s">
        <v>9514</v>
      </c>
    </row>
    <row r="2120" spans="1:2" x14ac:dyDescent="0.25">
      <c r="A2120" s="81" t="s">
        <v>4340</v>
      </c>
      <c r="B2120" s="80" t="s">
        <v>9514</v>
      </c>
    </row>
    <row r="2121" spans="1:2" x14ac:dyDescent="0.25">
      <c r="A2121" s="81" t="s">
        <v>4341</v>
      </c>
      <c r="B2121" s="80" t="s">
        <v>9514</v>
      </c>
    </row>
    <row r="2122" spans="1:2" x14ac:dyDescent="0.25">
      <c r="A2122" s="81" t="s">
        <v>4342</v>
      </c>
      <c r="B2122" s="80" t="s">
        <v>9514</v>
      </c>
    </row>
    <row r="2123" spans="1:2" x14ac:dyDescent="0.25">
      <c r="A2123" s="81" t="s">
        <v>4343</v>
      </c>
      <c r="B2123" s="80" t="s">
        <v>9514</v>
      </c>
    </row>
    <row r="2124" spans="1:2" x14ac:dyDescent="0.25">
      <c r="A2124" s="81" t="s">
        <v>4344</v>
      </c>
      <c r="B2124" s="80" t="s">
        <v>9514</v>
      </c>
    </row>
    <row r="2125" spans="1:2" x14ac:dyDescent="0.25">
      <c r="A2125" s="81" t="s">
        <v>4345</v>
      </c>
      <c r="B2125" s="80" t="s">
        <v>9514</v>
      </c>
    </row>
    <row r="2126" spans="1:2" x14ac:dyDescent="0.25">
      <c r="A2126" s="81" t="s">
        <v>4346</v>
      </c>
      <c r="B2126" s="80" t="s">
        <v>9514</v>
      </c>
    </row>
    <row r="2127" spans="1:2" x14ac:dyDescent="0.25">
      <c r="A2127" s="81" t="s">
        <v>4347</v>
      </c>
      <c r="B2127" s="80" t="s">
        <v>9514</v>
      </c>
    </row>
    <row r="2128" spans="1:2" x14ac:dyDescent="0.25">
      <c r="A2128" s="81" t="s">
        <v>4348</v>
      </c>
      <c r="B2128" s="80" t="s">
        <v>9514</v>
      </c>
    </row>
    <row r="2129" spans="1:2" x14ac:dyDescent="0.25">
      <c r="A2129" s="81" t="s">
        <v>4349</v>
      </c>
      <c r="B2129" s="80" t="s">
        <v>9514</v>
      </c>
    </row>
    <row r="2130" spans="1:2" x14ac:dyDescent="0.25">
      <c r="A2130" s="81" t="s">
        <v>4350</v>
      </c>
      <c r="B2130" s="80" t="s">
        <v>9514</v>
      </c>
    </row>
    <row r="2131" spans="1:2" x14ac:dyDescent="0.25">
      <c r="A2131" s="81" t="s">
        <v>4351</v>
      </c>
      <c r="B2131" s="80" t="s">
        <v>9514</v>
      </c>
    </row>
    <row r="2132" spans="1:2" x14ac:dyDescent="0.25">
      <c r="A2132" s="81" t="s">
        <v>4352</v>
      </c>
      <c r="B2132" s="80" t="s">
        <v>9514</v>
      </c>
    </row>
    <row r="2133" spans="1:2" x14ac:dyDescent="0.25">
      <c r="A2133" s="81" t="s">
        <v>4353</v>
      </c>
      <c r="B2133" s="80" t="s">
        <v>9514</v>
      </c>
    </row>
    <row r="2134" spans="1:2" x14ac:dyDescent="0.25">
      <c r="A2134" s="81" t="s">
        <v>4354</v>
      </c>
      <c r="B2134" s="80" t="s">
        <v>9514</v>
      </c>
    </row>
    <row r="2135" spans="1:2" x14ac:dyDescent="0.25">
      <c r="A2135" s="81" t="s">
        <v>4355</v>
      </c>
      <c r="B2135" s="80" t="s">
        <v>9514</v>
      </c>
    </row>
    <row r="2136" spans="1:2" x14ac:dyDescent="0.25">
      <c r="A2136" s="81" t="s">
        <v>4356</v>
      </c>
      <c r="B2136" s="80" t="s">
        <v>9514</v>
      </c>
    </row>
    <row r="2137" spans="1:2" x14ac:dyDescent="0.25">
      <c r="A2137" s="81" t="s">
        <v>4357</v>
      </c>
      <c r="B2137" s="80" t="s">
        <v>9514</v>
      </c>
    </row>
    <row r="2138" spans="1:2" x14ac:dyDescent="0.25">
      <c r="A2138" s="81" t="s">
        <v>4358</v>
      </c>
      <c r="B2138" s="80" t="s">
        <v>9514</v>
      </c>
    </row>
    <row r="2139" spans="1:2" x14ac:dyDescent="0.25">
      <c r="A2139" s="81" t="s">
        <v>4359</v>
      </c>
      <c r="B2139" s="80" t="s">
        <v>9514</v>
      </c>
    </row>
    <row r="2140" spans="1:2" x14ac:dyDescent="0.25">
      <c r="A2140" s="81" t="s">
        <v>4360</v>
      </c>
      <c r="B2140" s="80" t="s">
        <v>9514</v>
      </c>
    </row>
    <row r="2141" spans="1:2" x14ac:dyDescent="0.25">
      <c r="A2141" s="81" t="s">
        <v>4361</v>
      </c>
      <c r="B2141" s="80" t="s">
        <v>9514</v>
      </c>
    </row>
    <row r="2142" spans="1:2" x14ac:dyDescent="0.25">
      <c r="A2142" s="81" t="s">
        <v>4362</v>
      </c>
      <c r="B2142" s="80" t="s">
        <v>9514</v>
      </c>
    </row>
    <row r="2143" spans="1:2" x14ac:dyDescent="0.25">
      <c r="A2143" s="81" t="s">
        <v>4363</v>
      </c>
      <c r="B2143" s="80" t="s">
        <v>9514</v>
      </c>
    </row>
    <row r="2144" spans="1:2" x14ac:dyDescent="0.25">
      <c r="A2144" s="81" t="s">
        <v>4364</v>
      </c>
      <c r="B2144" s="80" t="s">
        <v>9514</v>
      </c>
    </row>
    <row r="2145" spans="1:2" x14ac:dyDescent="0.25">
      <c r="A2145" s="81" t="s">
        <v>4365</v>
      </c>
      <c r="B2145" s="80" t="s">
        <v>9514</v>
      </c>
    </row>
    <row r="2146" spans="1:2" x14ac:dyDescent="0.25">
      <c r="A2146" s="81" t="s">
        <v>4366</v>
      </c>
      <c r="B2146" s="80" t="s">
        <v>9514</v>
      </c>
    </row>
    <row r="2147" spans="1:2" x14ac:dyDescent="0.25">
      <c r="A2147" s="81" t="s">
        <v>4367</v>
      </c>
      <c r="B2147" s="80" t="s">
        <v>9514</v>
      </c>
    </row>
    <row r="2148" spans="1:2" x14ac:dyDescent="0.25">
      <c r="A2148" s="81" t="s">
        <v>4368</v>
      </c>
      <c r="B2148" s="80" t="s">
        <v>9514</v>
      </c>
    </row>
    <row r="2149" spans="1:2" x14ac:dyDescent="0.25">
      <c r="A2149" s="81" t="s">
        <v>4369</v>
      </c>
      <c r="B2149" s="80" t="s">
        <v>9514</v>
      </c>
    </row>
    <row r="2150" spans="1:2" x14ac:dyDescent="0.25">
      <c r="A2150" s="81" t="s">
        <v>4370</v>
      </c>
      <c r="B2150" s="80" t="s">
        <v>9514</v>
      </c>
    </row>
    <row r="2151" spans="1:2" x14ac:dyDescent="0.25">
      <c r="A2151" s="81" t="s">
        <v>4371</v>
      </c>
      <c r="B2151" s="80" t="s">
        <v>9514</v>
      </c>
    </row>
    <row r="2152" spans="1:2" x14ac:dyDescent="0.25">
      <c r="A2152" s="81" t="s">
        <v>4372</v>
      </c>
      <c r="B2152" s="80" t="s">
        <v>9514</v>
      </c>
    </row>
    <row r="2153" spans="1:2" x14ac:dyDescent="0.25">
      <c r="A2153" s="81" t="s">
        <v>4373</v>
      </c>
      <c r="B2153" s="80" t="s">
        <v>9514</v>
      </c>
    </row>
    <row r="2154" spans="1:2" x14ac:dyDescent="0.25">
      <c r="A2154" s="81" t="s">
        <v>4374</v>
      </c>
      <c r="B2154" s="80" t="s">
        <v>9514</v>
      </c>
    </row>
    <row r="2155" spans="1:2" x14ac:dyDescent="0.25">
      <c r="A2155" s="81" t="s">
        <v>4375</v>
      </c>
      <c r="B2155" s="80" t="s">
        <v>9514</v>
      </c>
    </row>
    <row r="2156" spans="1:2" x14ac:dyDescent="0.25">
      <c r="A2156" s="81" t="s">
        <v>4376</v>
      </c>
      <c r="B2156" s="80" t="s">
        <v>9514</v>
      </c>
    </row>
    <row r="2157" spans="1:2" x14ac:dyDescent="0.25">
      <c r="A2157" s="81" t="s">
        <v>4377</v>
      </c>
      <c r="B2157" s="80" t="s">
        <v>9514</v>
      </c>
    </row>
    <row r="2158" spans="1:2" x14ac:dyDescent="0.25">
      <c r="A2158" s="81" t="s">
        <v>4378</v>
      </c>
      <c r="B2158" s="80" t="s">
        <v>9514</v>
      </c>
    </row>
    <row r="2159" spans="1:2" x14ac:dyDescent="0.25">
      <c r="A2159" s="81" t="s">
        <v>4379</v>
      </c>
      <c r="B2159" s="80" t="s">
        <v>9514</v>
      </c>
    </row>
    <row r="2160" spans="1:2" x14ac:dyDescent="0.25">
      <c r="A2160" s="81" t="s">
        <v>4380</v>
      </c>
      <c r="B2160" s="80" t="s">
        <v>9514</v>
      </c>
    </row>
    <row r="2161" spans="1:2" x14ac:dyDescent="0.25">
      <c r="A2161" s="81" t="s">
        <v>4381</v>
      </c>
      <c r="B2161" s="80" t="s">
        <v>9514</v>
      </c>
    </row>
    <row r="2162" spans="1:2" x14ac:dyDescent="0.25">
      <c r="A2162" s="81" t="s">
        <v>4382</v>
      </c>
      <c r="B2162" s="80" t="s">
        <v>9514</v>
      </c>
    </row>
    <row r="2163" spans="1:2" x14ac:dyDescent="0.25">
      <c r="A2163" s="81" t="s">
        <v>4383</v>
      </c>
      <c r="B2163" s="80" t="s">
        <v>9514</v>
      </c>
    </row>
    <row r="2164" spans="1:2" x14ac:dyDescent="0.25">
      <c r="A2164" s="81" t="s">
        <v>4384</v>
      </c>
      <c r="B2164" s="80" t="s">
        <v>9514</v>
      </c>
    </row>
    <row r="2165" spans="1:2" x14ac:dyDescent="0.25">
      <c r="A2165" s="81" t="s">
        <v>4385</v>
      </c>
      <c r="B2165" s="80" t="s">
        <v>9514</v>
      </c>
    </row>
    <row r="2166" spans="1:2" x14ac:dyDescent="0.25">
      <c r="A2166" s="81" t="s">
        <v>4386</v>
      </c>
      <c r="B2166" s="80" t="s">
        <v>9514</v>
      </c>
    </row>
    <row r="2167" spans="1:2" x14ac:dyDescent="0.25">
      <c r="A2167" s="81" t="s">
        <v>4387</v>
      </c>
      <c r="B2167" s="80" t="s">
        <v>9514</v>
      </c>
    </row>
    <row r="2168" spans="1:2" x14ac:dyDescent="0.25">
      <c r="A2168" s="81" t="s">
        <v>4388</v>
      </c>
      <c r="B2168" s="80" t="s">
        <v>9514</v>
      </c>
    </row>
    <row r="2169" spans="1:2" x14ac:dyDescent="0.25">
      <c r="A2169" s="81" t="s">
        <v>4389</v>
      </c>
      <c r="B2169" s="80" t="s">
        <v>9514</v>
      </c>
    </row>
    <row r="2170" spans="1:2" x14ac:dyDescent="0.25">
      <c r="A2170" s="81" t="s">
        <v>4390</v>
      </c>
      <c r="B2170" s="80" t="s">
        <v>9514</v>
      </c>
    </row>
    <row r="2171" spans="1:2" x14ac:dyDescent="0.25">
      <c r="A2171" s="81" t="s">
        <v>4391</v>
      </c>
      <c r="B2171" s="80" t="s">
        <v>9514</v>
      </c>
    </row>
    <row r="2172" spans="1:2" x14ac:dyDescent="0.25">
      <c r="A2172" s="81" t="s">
        <v>4392</v>
      </c>
      <c r="B2172" s="80" t="s">
        <v>9514</v>
      </c>
    </row>
    <row r="2173" spans="1:2" x14ac:dyDescent="0.25">
      <c r="A2173" s="81" t="s">
        <v>4393</v>
      </c>
      <c r="B2173" s="80" t="s">
        <v>9514</v>
      </c>
    </row>
    <row r="2174" spans="1:2" x14ac:dyDescent="0.25">
      <c r="A2174" s="81" t="s">
        <v>4394</v>
      </c>
      <c r="B2174" s="80" t="s">
        <v>9514</v>
      </c>
    </row>
    <row r="2175" spans="1:2" x14ac:dyDescent="0.25">
      <c r="A2175" s="81" t="s">
        <v>4395</v>
      </c>
      <c r="B2175" s="80" t="s">
        <v>9514</v>
      </c>
    </row>
    <row r="2176" spans="1:2" x14ac:dyDescent="0.25">
      <c r="A2176" s="81" t="s">
        <v>4396</v>
      </c>
      <c r="B2176" s="80" t="s">
        <v>9514</v>
      </c>
    </row>
    <row r="2177" spans="1:2" x14ac:dyDescent="0.25">
      <c r="A2177" s="81" t="s">
        <v>4397</v>
      </c>
      <c r="B2177" s="80" t="s">
        <v>9514</v>
      </c>
    </row>
    <row r="2178" spans="1:2" x14ac:dyDescent="0.25">
      <c r="A2178" s="81" t="s">
        <v>4398</v>
      </c>
      <c r="B2178" s="80" t="s">
        <v>9514</v>
      </c>
    </row>
    <row r="2179" spans="1:2" x14ac:dyDescent="0.25">
      <c r="A2179" s="81" t="s">
        <v>4399</v>
      </c>
      <c r="B2179" s="80" t="s">
        <v>9514</v>
      </c>
    </row>
    <row r="2180" spans="1:2" x14ac:dyDescent="0.25">
      <c r="A2180" s="81" t="s">
        <v>4400</v>
      </c>
      <c r="B2180" s="80" t="s">
        <v>9514</v>
      </c>
    </row>
    <row r="2181" spans="1:2" x14ac:dyDescent="0.25">
      <c r="A2181" s="81" t="s">
        <v>4401</v>
      </c>
      <c r="B2181" s="80" t="s">
        <v>9514</v>
      </c>
    </row>
    <row r="2182" spans="1:2" x14ac:dyDescent="0.25">
      <c r="A2182" s="81" t="s">
        <v>4402</v>
      </c>
      <c r="B2182" s="80" t="s">
        <v>9514</v>
      </c>
    </row>
    <row r="2183" spans="1:2" x14ac:dyDescent="0.25">
      <c r="A2183" s="81" t="s">
        <v>4403</v>
      </c>
      <c r="B2183" s="80" t="s">
        <v>9514</v>
      </c>
    </row>
    <row r="2184" spans="1:2" x14ac:dyDescent="0.25">
      <c r="A2184" s="81" t="s">
        <v>4404</v>
      </c>
      <c r="B2184" s="80" t="s">
        <v>9514</v>
      </c>
    </row>
    <row r="2185" spans="1:2" x14ac:dyDescent="0.25">
      <c r="A2185" s="81" t="s">
        <v>4405</v>
      </c>
      <c r="B2185" s="80" t="s">
        <v>9514</v>
      </c>
    </row>
    <row r="2186" spans="1:2" x14ac:dyDescent="0.25">
      <c r="A2186" s="81" t="s">
        <v>4406</v>
      </c>
      <c r="B2186" s="80" t="s">
        <v>9514</v>
      </c>
    </row>
    <row r="2187" spans="1:2" x14ac:dyDescent="0.25">
      <c r="A2187" s="81" t="s">
        <v>4407</v>
      </c>
      <c r="B2187" s="80" t="s">
        <v>9514</v>
      </c>
    </row>
    <row r="2188" spans="1:2" x14ac:dyDescent="0.25">
      <c r="A2188" s="81" t="s">
        <v>4408</v>
      </c>
      <c r="B2188" s="80" t="s">
        <v>9514</v>
      </c>
    </row>
    <row r="2189" spans="1:2" x14ac:dyDescent="0.25">
      <c r="A2189" s="81" t="s">
        <v>4409</v>
      </c>
      <c r="B2189" s="80" t="s">
        <v>9514</v>
      </c>
    </row>
    <row r="2190" spans="1:2" x14ac:dyDescent="0.25">
      <c r="A2190" s="81" t="s">
        <v>4410</v>
      </c>
      <c r="B2190" s="80" t="s">
        <v>9514</v>
      </c>
    </row>
    <row r="2191" spans="1:2" x14ac:dyDescent="0.25">
      <c r="A2191" s="81" t="s">
        <v>4411</v>
      </c>
      <c r="B2191" s="80" t="s">
        <v>9514</v>
      </c>
    </row>
    <row r="2192" spans="1:2" x14ac:dyDescent="0.25">
      <c r="A2192" s="81" t="s">
        <v>4412</v>
      </c>
      <c r="B2192" s="80" t="s">
        <v>9514</v>
      </c>
    </row>
    <row r="2193" spans="1:2" x14ac:dyDescent="0.25">
      <c r="A2193" s="81" t="s">
        <v>4413</v>
      </c>
      <c r="B2193" s="80" t="s">
        <v>9514</v>
      </c>
    </row>
    <row r="2194" spans="1:2" x14ac:dyDescent="0.25">
      <c r="A2194" s="81" t="s">
        <v>4414</v>
      </c>
      <c r="B2194" s="80" t="s">
        <v>9514</v>
      </c>
    </row>
    <row r="2195" spans="1:2" x14ac:dyDescent="0.25">
      <c r="A2195" s="81" t="s">
        <v>4415</v>
      </c>
      <c r="B2195" s="80" t="s">
        <v>9514</v>
      </c>
    </row>
    <row r="2196" spans="1:2" x14ac:dyDescent="0.25">
      <c r="A2196" s="81" t="s">
        <v>4416</v>
      </c>
      <c r="B2196" s="80" t="s">
        <v>9514</v>
      </c>
    </row>
    <row r="2197" spans="1:2" x14ac:dyDescent="0.25">
      <c r="A2197" s="81" t="s">
        <v>4417</v>
      </c>
      <c r="B2197" s="80" t="s">
        <v>9514</v>
      </c>
    </row>
    <row r="2198" spans="1:2" x14ac:dyDescent="0.25">
      <c r="A2198" s="81" t="s">
        <v>4418</v>
      </c>
      <c r="B2198" s="80" t="s">
        <v>9514</v>
      </c>
    </row>
    <row r="2199" spans="1:2" x14ac:dyDescent="0.25">
      <c r="A2199" s="81" t="s">
        <v>4419</v>
      </c>
      <c r="B2199" s="80" t="s">
        <v>9514</v>
      </c>
    </row>
    <row r="2200" spans="1:2" x14ac:dyDescent="0.25">
      <c r="A2200" s="81" t="s">
        <v>4420</v>
      </c>
      <c r="B2200" s="80" t="s">
        <v>9514</v>
      </c>
    </row>
    <row r="2201" spans="1:2" x14ac:dyDescent="0.25">
      <c r="A2201" s="81" t="s">
        <v>4421</v>
      </c>
      <c r="B2201" s="80" t="s">
        <v>9514</v>
      </c>
    </row>
    <row r="2202" spans="1:2" x14ac:dyDescent="0.25">
      <c r="A2202" s="81" t="s">
        <v>4422</v>
      </c>
      <c r="B2202" s="80" t="s">
        <v>9514</v>
      </c>
    </row>
    <row r="2203" spans="1:2" x14ac:dyDescent="0.25">
      <c r="A2203" s="81" t="s">
        <v>4423</v>
      </c>
      <c r="B2203" s="80" t="s">
        <v>9514</v>
      </c>
    </row>
    <row r="2204" spans="1:2" x14ac:dyDescent="0.25">
      <c r="A2204" s="81" t="s">
        <v>4424</v>
      </c>
      <c r="B2204" s="80" t="s">
        <v>9514</v>
      </c>
    </row>
    <row r="2205" spans="1:2" x14ac:dyDescent="0.25">
      <c r="A2205" s="81" t="s">
        <v>4425</v>
      </c>
      <c r="B2205" s="80" t="s">
        <v>9514</v>
      </c>
    </row>
    <row r="2206" spans="1:2" x14ac:dyDescent="0.25">
      <c r="A2206" s="81" t="s">
        <v>4426</v>
      </c>
      <c r="B2206" s="80" t="s">
        <v>9514</v>
      </c>
    </row>
    <row r="2207" spans="1:2" x14ac:dyDescent="0.25">
      <c r="A2207" s="81" t="s">
        <v>4427</v>
      </c>
      <c r="B2207" s="80" t="s">
        <v>9514</v>
      </c>
    </row>
    <row r="2208" spans="1:2" x14ac:dyDescent="0.25">
      <c r="A2208" s="81" t="s">
        <v>4428</v>
      </c>
      <c r="B2208" s="80" t="s">
        <v>9514</v>
      </c>
    </row>
    <row r="2209" spans="1:2" x14ac:dyDescent="0.25">
      <c r="A2209" s="81" t="s">
        <v>4429</v>
      </c>
      <c r="B2209" s="80" t="s">
        <v>9514</v>
      </c>
    </row>
    <row r="2210" spans="1:2" x14ac:dyDescent="0.25">
      <c r="A2210" s="81" t="s">
        <v>4430</v>
      </c>
      <c r="B2210" s="80" t="s">
        <v>9514</v>
      </c>
    </row>
    <row r="2211" spans="1:2" x14ac:dyDescent="0.25">
      <c r="A2211" s="81" t="s">
        <v>4431</v>
      </c>
      <c r="B2211" s="80" t="s">
        <v>9514</v>
      </c>
    </row>
    <row r="2212" spans="1:2" x14ac:dyDescent="0.25">
      <c r="A2212" s="81" t="s">
        <v>4432</v>
      </c>
      <c r="B2212" s="80" t="s">
        <v>9514</v>
      </c>
    </row>
    <row r="2213" spans="1:2" x14ac:dyDescent="0.25">
      <c r="A2213" s="81" t="s">
        <v>4433</v>
      </c>
      <c r="B2213" s="80" t="s">
        <v>9514</v>
      </c>
    </row>
    <row r="2214" spans="1:2" x14ac:dyDescent="0.25">
      <c r="A2214" s="81" t="s">
        <v>4434</v>
      </c>
      <c r="B2214" s="80" t="s">
        <v>9514</v>
      </c>
    </row>
    <row r="2215" spans="1:2" x14ac:dyDescent="0.25">
      <c r="A2215" s="81" t="s">
        <v>4435</v>
      </c>
      <c r="B2215" s="80" t="s">
        <v>9514</v>
      </c>
    </row>
    <row r="2216" spans="1:2" x14ac:dyDescent="0.25">
      <c r="A2216" s="81" t="s">
        <v>4436</v>
      </c>
      <c r="B2216" s="80" t="s">
        <v>9514</v>
      </c>
    </row>
    <row r="2217" spans="1:2" x14ac:dyDescent="0.25">
      <c r="A2217" s="81" t="s">
        <v>4437</v>
      </c>
      <c r="B2217" s="80" t="s">
        <v>9514</v>
      </c>
    </row>
    <row r="2218" spans="1:2" x14ac:dyDescent="0.25">
      <c r="A2218" s="81" t="s">
        <v>4438</v>
      </c>
      <c r="B2218" s="80" t="s">
        <v>9514</v>
      </c>
    </row>
    <row r="2219" spans="1:2" x14ac:dyDescent="0.25">
      <c r="A2219" s="81" t="s">
        <v>4439</v>
      </c>
      <c r="B2219" s="80" t="s">
        <v>9514</v>
      </c>
    </row>
    <row r="2220" spans="1:2" x14ac:dyDescent="0.25">
      <c r="A2220" s="81" t="s">
        <v>4440</v>
      </c>
      <c r="B2220" s="80" t="s">
        <v>9514</v>
      </c>
    </row>
    <row r="2221" spans="1:2" x14ac:dyDescent="0.25">
      <c r="A2221" s="81" t="s">
        <v>4441</v>
      </c>
      <c r="B2221" s="80" t="s">
        <v>9514</v>
      </c>
    </row>
    <row r="2222" spans="1:2" x14ac:dyDescent="0.25">
      <c r="A2222" s="81" t="s">
        <v>4442</v>
      </c>
      <c r="B2222" s="80" t="s">
        <v>9514</v>
      </c>
    </row>
    <row r="2223" spans="1:2" x14ac:dyDescent="0.25">
      <c r="A2223" s="81" t="s">
        <v>4443</v>
      </c>
      <c r="B2223" s="80" t="s">
        <v>9514</v>
      </c>
    </row>
    <row r="2224" spans="1:2" x14ac:dyDescent="0.25">
      <c r="A2224" s="81" t="s">
        <v>4444</v>
      </c>
      <c r="B2224" s="80" t="s">
        <v>9514</v>
      </c>
    </row>
    <row r="2225" spans="1:2" x14ac:dyDescent="0.25">
      <c r="A2225" s="81" t="s">
        <v>4445</v>
      </c>
      <c r="B2225" s="80" t="s">
        <v>9514</v>
      </c>
    </row>
    <row r="2226" spans="1:2" x14ac:dyDescent="0.25">
      <c r="A2226" s="81" t="s">
        <v>4446</v>
      </c>
      <c r="B2226" s="80" t="s">
        <v>9514</v>
      </c>
    </row>
    <row r="2227" spans="1:2" x14ac:dyDescent="0.25">
      <c r="A2227" s="81" t="s">
        <v>4447</v>
      </c>
      <c r="B2227" s="80" t="s">
        <v>9514</v>
      </c>
    </row>
    <row r="2228" spans="1:2" x14ac:dyDescent="0.25">
      <c r="A2228" s="81" t="s">
        <v>4448</v>
      </c>
      <c r="B2228" s="80" t="s">
        <v>9514</v>
      </c>
    </row>
    <row r="2229" spans="1:2" x14ac:dyDescent="0.25">
      <c r="A2229" s="81" t="s">
        <v>4449</v>
      </c>
      <c r="B2229" s="80" t="s">
        <v>9514</v>
      </c>
    </row>
    <row r="2230" spans="1:2" x14ac:dyDescent="0.25">
      <c r="A2230" s="81" t="s">
        <v>4450</v>
      </c>
      <c r="B2230" s="80" t="s">
        <v>9514</v>
      </c>
    </row>
    <row r="2231" spans="1:2" x14ac:dyDescent="0.25">
      <c r="A2231" s="81" t="s">
        <v>4451</v>
      </c>
      <c r="B2231" s="80" t="s">
        <v>9514</v>
      </c>
    </row>
    <row r="2232" spans="1:2" x14ac:dyDescent="0.25">
      <c r="A2232" s="81" t="s">
        <v>4452</v>
      </c>
      <c r="B2232" s="80" t="s">
        <v>9514</v>
      </c>
    </row>
    <row r="2233" spans="1:2" x14ac:dyDescent="0.25">
      <c r="A2233" s="81" t="s">
        <v>4453</v>
      </c>
      <c r="B2233" s="80" t="s">
        <v>9514</v>
      </c>
    </row>
    <row r="2234" spans="1:2" x14ac:dyDescent="0.25">
      <c r="A2234" s="81" t="s">
        <v>4454</v>
      </c>
      <c r="B2234" s="80" t="s">
        <v>9514</v>
      </c>
    </row>
    <row r="2235" spans="1:2" x14ac:dyDescent="0.25">
      <c r="A2235" s="81" t="s">
        <v>4455</v>
      </c>
      <c r="B2235" s="80" t="s">
        <v>9514</v>
      </c>
    </row>
    <row r="2236" spans="1:2" x14ac:dyDescent="0.25">
      <c r="A2236" s="81" t="s">
        <v>4456</v>
      </c>
      <c r="B2236" s="80" t="s">
        <v>9514</v>
      </c>
    </row>
    <row r="2237" spans="1:2" x14ac:dyDescent="0.25">
      <c r="A2237" s="81" t="s">
        <v>4457</v>
      </c>
      <c r="B2237" s="80" t="s">
        <v>9514</v>
      </c>
    </row>
    <row r="2238" spans="1:2" x14ac:dyDescent="0.25">
      <c r="A2238" s="81" t="s">
        <v>4458</v>
      </c>
      <c r="B2238" s="80" t="s">
        <v>9514</v>
      </c>
    </row>
    <row r="2239" spans="1:2" x14ac:dyDescent="0.25">
      <c r="A2239" s="81" t="s">
        <v>4459</v>
      </c>
      <c r="B2239" s="80" t="s">
        <v>9514</v>
      </c>
    </row>
    <row r="2240" spans="1:2" x14ac:dyDescent="0.25">
      <c r="A2240" s="81" t="s">
        <v>4460</v>
      </c>
      <c r="B2240" s="80" t="s">
        <v>9514</v>
      </c>
    </row>
    <row r="2241" spans="1:2" x14ac:dyDescent="0.25">
      <c r="A2241" s="81" t="s">
        <v>4461</v>
      </c>
      <c r="B2241" s="80" t="s">
        <v>9514</v>
      </c>
    </row>
    <row r="2242" spans="1:2" x14ac:dyDescent="0.25">
      <c r="A2242" s="81" t="s">
        <v>4462</v>
      </c>
      <c r="B2242" s="80" t="s">
        <v>9514</v>
      </c>
    </row>
    <row r="2243" spans="1:2" x14ac:dyDescent="0.25">
      <c r="A2243" s="81" t="s">
        <v>4463</v>
      </c>
      <c r="B2243" s="80" t="s">
        <v>9514</v>
      </c>
    </row>
    <row r="2244" spans="1:2" x14ac:dyDescent="0.25">
      <c r="A2244" s="81" t="s">
        <v>4464</v>
      </c>
      <c r="B2244" s="80" t="s">
        <v>9514</v>
      </c>
    </row>
    <row r="2245" spans="1:2" x14ac:dyDescent="0.25">
      <c r="A2245" s="81" t="s">
        <v>4465</v>
      </c>
      <c r="B2245" s="80" t="s">
        <v>9514</v>
      </c>
    </row>
    <row r="2246" spans="1:2" x14ac:dyDescent="0.25">
      <c r="A2246" s="81" t="s">
        <v>4466</v>
      </c>
      <c r="B2246" s="80" t="s">
        <v>9514</v>
      </c>
    </row>
    <row r="2247" spans="1:2" x14ac:dyDescent="0.25">
      <c r="A2247" s="81" t="s">
        <v>4467</v>
      </c>
      <c r="B2247" s="80" t="s">
        <v>9514</v>
      </c>
    </row>
    <row r="2248" spans="1:2" x14ac:dyDescent="0.25">
      <c r="A2248" s="81" t="s">
        <v>4468</v>
      </c>
      <c r="B2248" s="80" t="s">
        <v>9514</v>
      </c>
    </row>
    <row r="2249" spans="1:2" x14ac:dyDescent="0.25">
      <c r="A2249" s="81" t="s">
        <v>4469</v>
      </c>
      <c r="B2249" s="80" t="s">
        <v>9514</v>
      </c>
    </row>
    <row r="2250" spans="1:2" x14ac:dyDescent="0.25">
      <c r="A2250" s="81" t="s">
        <v>4470</v>
      </c>
      <c r="B2250" s="80" t="s">
        <v>9514</v>
      </c>
    </row>
    <row r="2251" spans="1:2" x14ac:dyDescent="0.25">
      <c r="A2251" s="81" t="s">
        <v>4471</v>
      </c>
      <c r="B2251" s="80" t="s">
        <v>9514</v>
      </c>
    </row>
    <row r="2252" spans="1:2" x14ac:dyDescent="0.25">
      <c r="A2252" s="81" t="s">
        <v>4472</v>
      </c>
      <c r="B2252" s="80" t="s">
        <v>9514</v>
      </c>
    </row>
    <row r="2253" spans="1:2" x14ac:dyDescent="0.25">
      <c r="A2253" s="81" t="s">
        <v>4473</v>
      </c>
      <c r="B2253" s="80" t="s">
        <v>9514</v>
      </c>
    </row>
    <row r="2254" spans="1:2" x14ac:dyDescent="0.25">
      <c r="A2254" s="81" t="s">
        <v>4474</v>
      </c>
      <c r="B2254" s="80" t="s">
        <v>9514</v>
      </c>
    </row>
    <row r="2255" spans="1:2" x14ac:dyDescent="0.25">
      <c r="A2255" s="81" t="s">
        <v>4475</v>
      </c>
      <c r="B2255" s="80" t="s">
        <v>9514</v>
      </c>
    </row>
    <row r="2256" spans="1:2" x14ac:dyDescent="0.25">
      <c r="A2256" s="81" t="s">
        <v>4476</v>
      </c>
      <c r="B2256" s="80" t="s">
        <v>9514</v>
      </c>
    </row>
    <row r="2257" spans="1:2" x14ac:dyDescent="0.25">
      <c r="A2257" s="81" t="s">
        <v>4477</v>
      </c>
      <c r="B2257" s="80" t="s">
        <v>9514</v>
      </c>
    </row>
    <row r="2258" spans="1:2" x14ac:dyDescent="0.25">
      <c r="A2258" s="81" t="s">
        <v>4478</v>
      </c>
      <c r="B2258" s="80" t="s">
        <v>9514</v>
      </c>
    </row>
    <row r="2259" spans="1:2" x14ac:dyDescent="0.25">
      <c r="A2259" s="81" t="s">
        <v>4479</v>
      </c>
      <c r="B2259" s="80" t="s">
        <v>9514</v>
      </c>
    </row>
    <row r="2260" spans="1:2" x14ac:dyDescent="0.25">
      <c r="A2260" s="81" t="s">
        <v>4480</v>
      </c>
      <c r="B2260" s="80" t="s">
        <v>9514</v>
      </c>
    </row>
    <row r="2261" spans="1:2" x14ac:dyDescent="0.25">
      <c r="A2261" s="81" t="s">
        <v>4481</v>
      </c>
      <c r="B2261" s="80" t="s">
        <v>9514</v>
      </c>
    </row>
    <row r="2262" spans="1:2" x14ac:dyDescent="0.25">
      <c r="A2262" s="81" t="s">
        <v>4482</v>
      </c>
      <c r="B2262" s="80" t="s">
        <v>9514</v>
      </c>
    </row>
    <row r="2263" spans="1:2" x14ac:dyDescent="0.25">
      <c r="A2263" s="81" t="s">
        <v>4483</v>
      </c>
      <c r="B2263" s="80" t="s">
        <v>9514</v>
      </c>
    </row>
    <row r="2264" spans="1:2" x14ac:dyDescent="0.25">
      <c r="A2264" s="81" t="s">
        <v>4484</v>
      </c>
      <c r="B2264" s="80" t="s">
        <v>9514</v>
      </c>
    </row>
    <row r="2265" spans="1:2" x14ac:dyDescent="0.25">
      <c r="A2265" s="81" t="s">
        <v>4485</v>
      </c>
      <c r="B2265" s="80" t="s">
        <v>9514</v>
      </c>
    </row>
    <row r="2266" spans="1:2" x14ac:dyDescent="0.25">
      <c r="A2266" s="81" t="s">
        <v>4486</v>
      </c>
      <c r="B2266" s="80" t="s">
        <v>9514</v>
      </c>
    </row>
    <row r="2267" spans="1:2" x14ac:dyDescent="0.25">
      <c r="A2267" s="81" t="s">
        <v>4487</v>
      </c>
      <c r="B2267" s="80" t="s">
        <v>9514</v>
      </c>
    </row>
    <row r="2268" spans="1:2" x14ac:dyDescent="0.25">
      <c r="A2268" s="81" t="s">
        <v>4488</v>
      </c>
      <c r="B2268" s="80" t="s">
        <v>9514</v>
      </c>
    </row>
    <row r="2269" spans="1:2" x14ac:dyDescent="0.25">
      <c r="A2269" s="81" t="s">
        <v>4489</v>
      </c>
      <c r="B2269" s="80" t="s">
        <v>9514</v>
      </c>
    </row>
    <row r="2270" spans="1:2" x14ac:dyDescent="0.25">
      <c r="A2270" s="81" t="s">
        <v>4490</v>
      </c>
      <c r="B2270" s="80" t="s">
        <v>9514</v>
      </c>
    </row>
    <row r="2271" spans="1:2" x14ac:dyDescent="0.25">
      <c r="A2271" s="81" t="s">
        <v>4491</v>
      </c>
      <c r="B2271" s="80" t="s">
        <v>9514</v>
      </c>
    </row>
    <row r="2272" spans="1:2" x14ac:dyDescent="0.25">
      <c r="A2272" s="81" t="s">
        <v>4492</v>
      </c>
      <c r="B2272" s="80" t="s">
        <v>9514</v>
      </c>
    </row>
    <row r="2273" spans="1:2" x14ac:dyDescent="0.25">
      <c r="A2273" s="81" t="s">
        <v>4493</v>
      </c>
      <c r="B2273" s="80" t="s">
        <v>9514</v>
      </c>
    </row>
    <row r="2274" spans="1:2" x14ac:dyDescent="0.25">
      <c r="A2274" s="81" t="s">
        <v>4494</v>
      </c>
      <c r="B2274" s="80" t="s">
        <v>9514</v>
      </c>
    </row>
    <row r="2275" spans="1:2" x14ac:dyDescent="0.25">
      <c r="A2275" s="81" t="s">
        <v>1926</v>
      </c>
      <c r="B2275" s="80" t="s">
        <v>9514</v>
      </c>
    </row>
    <row r="2276" spans="1:2" x14ac:dyDescent="0.25">
      <c r="A2276" s="81" t="s">
        <v>4495</v>
      </c>
      <c r="B2276" s="80" t="s">
        <v>9514</v>
      </c>
    </row>
    <row r="2277" spans="1:2" x14ac:dyDescent="0.25">
      <c r="A2277" s="81" t="s">
        <v>4496</v>
      </c>
      <c r="B2277" s="80" t="s">
        <v>9514</v>
      </c>
    </row>
    <row r="2278" spans="1:2" x14ac:dyDescent="0.25">
      <c r="A2278" s="81" t="s">
        <v>4497</v>
      </c>
      <c r="B2278" s="80" t="s">
        <v>9514</v>
      </c>
    </row>
    <row r="2279" spans="1:2" x14ac:dyDescent="0.25">
      <c r="A2279" s="81" t="s">
        <v>4498</v>
      </c>
      <c r="B2279" s="80" t="s">
        <v>9514</v>
      </c>
    </row>
    <row r="2280" spans="1:2" x14ac:dyDescent="0.25">
      <c r="A2280" s="81" t="s">
        <v>4499</v>
      </c>
      <c r="B2280" s="80" t="s">
        <v>9514</v>
      </c>
    </row>
    <row r="2281" spans="1:2" x14ac:dyDescent="0.25">
      <c r="A2281" s="81" t="s">
        <v>4500</v>
      </c>
      <c r="B2281" s="80" t="s">
        <v>9514</v>
      </c>
    </row>
    <row r="2282" spans="1:2" x14ac:dyDescent="0.25">
      <c r="A2282" s="81" t="s">
        <v>4501</v>
      </c>
      <c r="B2282" s="80" t="s">
        <v>9514</v>
      </c>
    </row>
    <row r="2283" spans="1:2" x14ac:dyDescent="0.25">
      <c r="A2283" s="81" t="s">
        <v>4502</v>
      </c>
      <c r="B2283" s="80" t="s">
        <v>9514</v>
      </c>
    </row>
    <row r="2284" spans="1:2" x14ac:dyDescent="0.25">
      <c r="A2284" s="81" t="s">
        <v>4503</v>
      </c>
      <c r="B2284" s="80" t="s">
        <v>9514</v>
      </c>
    </row>
    <row r="2285" spans="1:2" x14ac:dyDescent="0.25">
      <c r="A2285" s="81" t="s">
        <v>4504</v>
      </c>
      <c r="B2285" s="80" t="s">
        <v>9514</v>
      </c>
    </row>
    <row r="2286" spans="1:2" x14ac:dyDescent="0.25">
      <c r="A2286" s="81" t="s">
        <v>4505</v>
      </c>
      <c r="B2286" s="80" t="s">
        <v>9514</v>
      </c>
    </row>
    <row r="2287" spans="1:2" x14ac:dyDescent="0.25">
      <c r="A2287" s="81" t="s">
        <v>4506</v>
      </c>
      <c r="B2287" s="80" t="s">
        <v>9514</v>
      </c>
    </row>
    <row r="2288" spans="1:2" x14ac:dyDescent="0.25">
      <c r="A2288" s="81" t="s">
        <v>4507</v>
      </c>
      <c r="B2288" s="80" t="s">
        <v>9514</v>
      </c>
    </row>
    <row r="2289" spans="1:2" x14ac:dyDescent="0.25">
      <c r="A2289" s="81" t="s">
        <v>4508</v>
      </c>
      <c r="B2289" s="80" t="s">
        <v>9514</v>
      </c>
    </row>
    <row r="2290" spans="1:2" x14ac:dyDescent="0.25">
      <c r="A2290" s="81" t="s">
        <v>4509</v>
      </c>
      <c r="B2290" s="80" t="s">
        <v>9514</v>
      </c>
    </row>
    <row r="2291" spans="1:2" x14ac:dyDescent="0.25">
      <c r="A2291" s="81" t="s">
        <v>4510</v>
      </c>
      <c r="B2291" s="80" t="s">
        <v>9514</v>
      </c>
    </row>
    <row r="2292" spans="1:2" x14ac:dyDescent="0.25">
      <c r="A2292" s="81" t="s">
        <v>4511</v>
      </c>
      <c r="B2292" s="80" t="s">
        <v>9514</v>
      </c>
    </row>
    <row r="2293" spans="1:2" x14ac:dyDescent="0.25">
      <c r="A2293" s="81" t="s">
        <v>4512</v>
      </c>
      <c r="B2293" s="80" t="s">
        <v>9514</v>
      </c>
    </row>
    <row r="2294" spans="1:2" x14ac:dyDescent="0.25">
      <c r="A2294" s="81" t="s">
        <v>4513</v>
      </c>
      <c r="B2294" s="80" t="s">
        <v>9514</v>
      </c>
    </row>
    <row r="2295" spans="1:2" x14ac:dyDescent="0.25">
      <c r="A2295" s="81" t="s">
        <v>4514</v>
      </c>
      <c r="B2295" s="80" t="s">
        <v>9514</v>
      </c>
    </row>
    <row r="2296" spans="1:2" x14ac:dyDescent="0.25">
      <c r="A2296" s="81" t="s">
        <v>4515</v>
      </c>
      <c r="B2296" s="80" t="s">
        <v>9514</v>
      </c>
    </row>
    <row r="2297" spans="1:2" x14ac:dyDescent="0.25">
      <c r="A2297" s="81" t="s">
        <v>4516</v>
      </c>
      <c r="B2297" s="80" t="s">
        <v>9514</v>
      </c>
    </row>
    <row r="2298" spans="1:2" x14ac:dyDescent="0.25">
      <c r="A2298" s="81" t="s">
        <v>4517</v>
      </c>
      <c r="B2298" s="80" t="s">
        <v>9514</v>
      </c>
    </row>
    <row r="2299" spans="1:2" x14ac:dyDescent="0.25">
      <c r="A2299" s="81" t="s">
        <v>4518</v>
      </c>
      <c r="B2299" s="80" t="s">
        <v>9514</v>
      </c>
    </row>
    <row r="2300" spans="1:2" x14ac:dyDescent="0.25">
      <c r="A2300" s="81" t="s">
        <v>4519</v>
      </c>
      <c r="B2300" s="80" t="s">
        <v>9514</v>
      </c>
    </row>
    <row r="2301" spans="1:2" x14ac:dyDescent="0.25">
      <c r="A2301" s="81" t="s">
        <v>4520</v>
      </c>
      <c r="B2301" s="80" t="s">
        <v>9514</v>
      </c>
    </row>
    <row r="2302" spans="1:2" x14ac:dyDescent="0.25">
      <c r="A2302" s="81" t="s">
        <v>4521</v>
      </c>
      <c r="B2302" s="80" t="s">
        <v>9514</v>
      </c>
    </row>
    <row r="2303" spans="1:2" x14ac:dyDescent="0.25">
      <c r="A2303" s="81" t="s">
        <v>4522</v>
      </c>
      <c r="B2303" s="80" t="s">
        <v>9514</v>
      </c>
    </row>
    <row r="2304" spans="1:2" x14ac:dyDescent="0.25">
      <c r="A2304" s="81" t="s">
        <v>4523</v>
      </c>
      <c r="B2304" s="80" t="s">
        <v>9514</v>
      </c>
    </row>
    <row r="2305" spans="1:2" x14ac:dyDescent="0.25">
      <c r="A2305" s="81" t="s">
        <v>4524</v>
      </c>
      <c r="B2305" s="80" t="s">
        <v>9514</v>
      </c>
    </row>
    <row r="2306" spans="1:2" x14ac:dyDescent="0.25">
      <c r="A2306" s="81" t="s">
        <v>4525</v>
      </c>
      <c r="B2306" s="80" t="s">
        <v>9514</v>
      </c>
    </row>
    <row r="2307" spans="1:2" x14ac:dyDescent="0.25">
      <c r="A2307" s="81" t="s">
        <v>4526</v>
      </c>
      <c r="B2307" s="80" t="s">
        <v>9514</v>
      </c>
    </row>
    <row r="2308" spans="1:2" x14ac:dyDescent="0.25">
      <c r="A2308" s="81" t="s">
        <v>4527</v>
      </c>
      <c r="B2308" s="80" t="s">
        <v>9514</v>
      </c>
    </row>
    <row r="2309" spans="1:2" x14ac:dyDescent="0.25">
      <c r="A2309" s="81" t="s">
        <v>4528</v>
      </c>
      <c r="B2309" s="80" t="s">
        <v>9514</v>
      </c>
    </row>
    <row r="2310" spans="1:2" x14ac:dyDescent="0.25">
      <c r="A2310" s="81" t="s">
        <v>4529</v>
      </c>
      <c r="B2310" s="80" t="s">
        <v>9514</v>
      </c>
    </row>
    <row r="2311" spans="1:2" x14ac:dyDescent="0.25">
      <c r="A2311" s="81" t="s">
        <v>4530</v>
      </c>
      <c r="B2311" s="80" t="s">
        <v>9514</v>
      </c>
    </row>
    <row r="2312" spans="1:2" x14ac:dyDescent="0.25">
      <c r="A2312" s="81" t="s">
        <v>4531</v>
      </c>
      <c r="B2312" s="80" t="s">
        <v>9514</v>
      </c>
    </row>
    <row r="2313" spans="1:2" x14ac:dyDescent="0.25">
      <c r="A2313" s="81" t="s">
        <v>4532</v>
      </c>
      <c r="B2313" s="80" t="s">
        <v>9514</v>
      </c>
    </row>
    <row r="2314" spans="1:2" x14ac:dyDescent="0.25">
      <c r="A2314" s="81" t="s">
        <v>4533</v>
      </c>
      <c r="B2314" s="80" t="s">
        <v>9514</v>
      </c>
    </row>
    <row r="2315" spans="1:2" x14ac:dyDescent="0.25">
      <c r="A2315" s="81" t="s">
        <v>4534</v>
      </c>
      <c r="B2315" s="80" t="s">
        <v>9514</v>
      </c>
    </row>
    <row r="2316" spans="1:2" x14ac:dyDescent="0.25">
      <c r="A2316" s="81" t="s">
        <v>4535</v>
      </c>
      <c r="B2316" s="80" t="s">
        <v>9514</v>
      </c>
    </row>
    <row r="2317" spans="1:2" x14ac:dyDescent="0.25">
      <c r="A2317" s="81" t="s">
        <v>4536</v>
      </c>
      <c r="B2317" s="80" t="s">
        <v>9514</v>
      </c>
    </row>
    <row r="2318" spans="1:2" x14ac:dyDescent="0.25">
      <c r="A2318" s="81" t="s">
        <v>4537</v>
      </c>
      <c r="B2318" s="80" t="s">
        <v>9514</v>
      </c>
    </row>
    <row r="2319" spans="1:2" x14ac:dyDescent="0.25">
      <c r="A2319" s="81" t="s">
        <v>4538</v>
      </c>
      <c r="B2319" s="80" t="s">
        <v>9514</v>
      </c>
    </row>
    <row r="2320" spans="1:2" x14ac:dyDescent="0.25">
      <c r="A2320" s="81" t="s">
        <v>4539</v>
      </c>
      <c r="B2320" s="80" t="s">
        <v>9514</v>
      </c>
    </row>
    <row r="2321" spans="1:2" x14ac:dyDescent="0.25">
      <c r="A2321" s="81" t="s">
        <v>1793</v>
      </c>
      <c r="B2321" s="80" t="s">
        <v>9514</v>
      </c>
    </row>
    <row r="2322" spans="1:2" x14ac:dyDescent="0.25">
      <c r="A2322" s="81" t="s">
        <v>4540</v>
      </c>
      <c r="B2322" s="80" t="s">
        <v>9514</v>
      </c>
    </row>
    <row r="2323" spans="1:2" x14ac:dyDescent="0.25">
      <c r="A2323" s="81" t="s">
        <v>4541</v>
      </c>
      <c r="B2323" s="80" t="s">
        <v>9514</v>
      </c>
    </row>
    <row r="2324" spans="1:2" x14ac:dyDescent="0.25">
      <c r="A2324" s="81" t="s">
        <v>4542</v>
      </c>
      <c r="B2324" s="80" t="s">
        <v>9514</v>
      </c>
    </row>
    <row r="2325" spans="1:2" x14ac:dyDescent="0.25">
      <c r="A2325" s="81" t="s">
        <v>4543</v>
      </c>
      <c r="B2325" s="80" t="s">
        <v>9514</v>
      </c>
    </row>
    <row r="2326" spans="1:2" x14ac:dyDescent="0.25">
      <c r="A2326" s="81" t="s">
        <v>4544</v>
      </c>
      <c r="B2326" s="80" t="s">
        <v>9514</v>
      </c>
    </row>
    <row r="2327" spans="1:2" x14ac:dyDescent="0.25">
      <c r="A2327" s="81" t="s">
        <v>4545</v>
      </c>
      <c r="B2327" s="80" t="s">
        <v>9514</v>
      </c>
    </row>
    <row r="2328" spans="1:2" x14ac:dyDescent="0.25">
      <c r="A2328" s="81" t="s">
        <v>4546</v>
      </c>
      <c r="B2328" s="80" t="s">
        <v>9514</v>
      </c>
    </row>
    <row r="2329" spans="1:2" x14ac:dyDescent="0.25">
      <c r="A2329" s="81" t="s">
        <v>4547</v>
      </c>
      <c r="B2329" s="80" t="s">
        <v>9514</v>
      </c>
    </row>
    <row r="2330" spans="1:2" x14ac:dyDescent="0.25">
      <c r="A2330" s="81" t="s">
        <v>4548</v>
      </c>
      <c r="B2330" s="80" t="s">
        <v>9514</v>
      </c>
    </row>
    <row r="2331" spans="1:2" x14ac:dyDescent="0.25">
      <c r="A2331" s="81" t="s">
        <v>4549</v>
      </c>
      <c r="B2331" s="80" t="s">
        <v>9514</v>
      </c>
    </row>
    <row r="2332" spans="1:2" x14ac:dyDescent="0.25">
      <c r="A2332" s="81" t="s">
        <v>4550</v>
      </c>
      <c r="B2332" s="80" t="s">
        <v>9514</v>
      </c>
    </row>
    <row r="2333" spans="1:2" x14ac:dyDescent="0.25">
      <c r="A2333" s="81" t="s">
        <v>4551</v>
      </c>
      <c r="B2333" s="80" t="s">
        <v>9514</v>
      </c>
    </row>
    <row r="2334" spans="1:2" x14ac:dyDescent="0.25">
      <c r="A2334" s="81" t="s">
        <v>4552</v>
      </c>
      <c r="B2334" s="80" t="s">
        <v>9514</v>
      </c>
    </row>
    <row r="2335" spans="1:2" x14ac:dyDescent="0.25">
      <c r="A2335" s="81" t="s">
        <v>4553</v>
      </c>
      <c r="B2335" s="80" t="s">
        <v>9514</v>
      </c>
    </row>
    <row r="2336" spans="1:2" x14ac:dyDescent="0.25">
      <c r="A2336" s="81" t="s">
        <v>4554</v>
      </c>
      <c r="B2336" s="80" t="s">
        <v>9514</v>
      </c>
    </row>
    <row r="2337" spans="1:2" x14ac:dyDescent="0.25">
      <c r="A2337" s="81" t="s">
        <v>4555</v>
      </c>
      <c r="B2337" s="80" t="s">
        <v>9514</v>
      </c>
    </row>
    <row r="2338" spans="1:2" x14ac:dyDescent="0.25">
      <c r="A2338" s="81" t="s">
        <v>4556</v>
      </c>
      <c r="B2338" s="80" t="s">
        <v>9514</v>
      </c>
    </row>
    <row r="2339" spans="1:2" x14ac:dyDescent="0.25">
      <c r="A2339" s="81" t="s">
        <v>4557</v>
      </c>
      <c r="B2339" s="80" t="s">
        <v>9514</v>
      </c>
    </row>
    <row r="2340" spans="1:2" x14ac:dyDescent="0.25">
      <c r="A2340" s="81" t="s">
        <v>4558</v>
      </c>
      <c r="B2340" s="80" t="s">
        <v>9514</v>
      </c>
    </row>
    <row r="2341" spans="1:2" x14ac:dyDescent="0.25">
      <c r="A2341" s="81" t="s">
        <v>4559</v>
      </c>
      <c r="B2341" s="80" t="s">
        <v>9514</v>
      </c>
    </row>
    <row r="2342" spans="1:2" x14ac:dyDescent="0.25">
      <c r="A2342" s="81" t="s">
        <v>4560</v>
      </c>
      <c r="B2342" s="80" t="s">
        <v>9514</v>
      </c>
    </row>
    <row r="2343" spans="1:2" x14ac:dyDescent="0.25">
      <c r="A2343" s="81" t="s">
        <v>4561</v>
      </c>
      <c r="B2343" s="80" t="s">
        <v>9514</v>
      </c>
    </row>
    <row r="2344" spans="1:2" x14ac:dyDescent="0.25">
      <c r="A2344" s="81" t="s">
        <v>4562</v>
      </c>
      <c r="B2344" s="80" t="s">
        <v>9514</v>
      </c>
    </row>
    <row r="2345" spans="1:2" x14ac:dyDescent="0.25">
      <c r="A2345" s="81" t="s">
        <v>4563</v>
      </c>
      <c r="B2345" s="80" t="s">
        <v>9514</v>
      </c>
    </row>
    <row r="2346" spans="1:2" x14ac:dyDescent="0.25">
      <c r="A2346" s="81" t="s">
        <v>4564</v>
      </c>
      <c r="B2346" s="80" t="s">
        <v>9514</v>
      </c>
    </row>
    <row r="2347" spans="1:2" x14ac:dyDescent="0.25">
      <c r="A2347" s="81" t="s">
        <v>4565</v>
      </c>
      <c r="B2347" s="80" t="s">
        <v>9514</v>
      </c>
    </row>
    <row r="2348" spans="1:2" x14ac:dyDescent="0.25">
      <c r="A2348" s="81" t="s">
        <v>4566</v>
      </c>
      <c r="B2348" s="80" t="s">
        <v>9514</v>
      </c>
    </row>
    <row r="2349" spans="1:2" x14ac:dyDescent="0.25">
      <c r="A2349" s="81" t="s">
        <v>2262</v>
      </c>
      <c r="B2349" s="80" t="s">
        <v>9514</v>
      </c>
    </row>
    <row r="2350" spans="1:2" x14ac:dyDescent="0.25">
      <c r="A2350" s="81" t="s">
        <v>4567</v>
      </c>
      <c r="B2350" s="80" t="s">
        <v>9514</v>
      </c>
    </row>
    <row r="2351" spans="1:2" x14ac:dyDescent="0.25">
      <c r="A2351" s="81" t="s">
        <v>4568</v>
      </c>
      <c r="B2351" s="80" t="s">
        <v>9514</v>
      </c>
    </row>
    <row r="2352" spans="1:2" x14ac:dyDescent="0.25">
      <c r="A2352" s="81" t="s">
        <v>4569</v>
      </c>
      <c r="B2352" s="80" t="s">
        <v>9514</v>
      </c>
    </row>
    <row r="2353" spans="1:2" x14ac:dyDescent="0.25">
      <c r="A2353" s="81" t="s">
        <v>4570</v>
      </c>
      <c r="B2353" s="80" t="s">
        <v>9514</v>
      </c>
    </row>
    <row r="2354" spans="1:2" x14ac:dyDescent="0.25">
      <c r="A2354" s="81" t="s">
        <v>4571</v>
      </c>
      <c r="B2354" s="80" t="s">
        <v>9514</v>
      </c>
    </row>
    <row r="2355" spans="1:2" x14ac:dyDescent="0.25">
      <c r="A2355" s="81" t="s">
        <v>4572</v>
      </c>
      <c r="B2355" s="80" t="s">
        <v>9514</v>
      </c>
    </row>
    <row r="2356" spans="1:2" x14ac:dyDescent="0.25">
      <c r="A2356" s="81" t="s">
        <v>4573</v>
      </c>
      <c r="B2356" s="80" t="s">
        <v>9514</v>
      </c>
    </row>
    <row r="2357" spans="1:2" x14ac:dyDescent="0.25">
      <c r="A2357" s="81" t="s">
        <v>4574</v>
      </c>
      <c r="B2357" s="80" t="s">
        <v>9514</v>
      </c>
    </row>
    <row r="2358" spans="1:2" x14ac:dyDescent="0.25">
      <c r="A2358" s="81" t="s">
        <v>4575</v>
      </c>
      <c r="B2358" s="80" t="s">
        <v>9514</v>
      </c>
    </row>
    <row r="2359" spans="1:2" x14ac:dyDescent="0.25">
      <c r="A2359" s="81" t="s">
        <v>4576</v>
      </c>
      <c r="B2359" s="80" t="s">
        <v>9514</v>
      </c>
    </row>
    <row r="2360" spans="1:2" x14ac:dyDescent="0.25">
      <c r="A2360" s="81" t="s">
        <v>4577</v>
      </c>
      <c r="B2360" s="80" t="s">
        <v>9514</v>
      </c>
    </row>
    <row r="2361" spans="1:2" x14ac:dyDescent="0.25">
      <c r="A2361" s="81" t="s">
        <v>4578</v>
      </c>
      <c r="B2361" s="80" t="s">
        <v>9514</v>
      </c>
    </row>
    <row r="2362" spans="1:2" x14ac:dyDescent="0.25">
      <c r="A2362" s="81" t="s">
        <v>4579</v>
      </c>
      <c r="B2362" s="80" t="s">
        <v>9514</v>
      </c>
    </row>
    <row r="2363" spans="1:2" x14ac:dyDescent="0.25">
      <c r="A2363" s="81" t="s">
        <v>4580</v>
      </c>
      <c r="B2363" s="80" t="s">
        <v>9514</v>
      </c>
    </row>
    <row r="2364" spans="1:2" x14ac:dyDescent="0.25">
      <c r="A2364" s="81" t="s">
        <v>4581</v>
      </c>
      <c r="B2364" s="80" t="s">
        <v>9514</v>
      </c>
    </row>
    <row r="2365" spans="1:2" x14ac:dyDescent="0.25">
      <c r="A2365" s="81" t="s">
        <v>4582</v>
      </c>
      <c r="B2365" s="80" t="s">
        <v>9514</v>
      </c>
    </row>
    <row r="2366" spans="1:2" x14ac:dyDescent="0.25">
      <c r="A2366" s="81" t="s">
        <v>4583</v>
      </c>
      <c r="B2366" s="80" t="s">
        <v>9514</v>
      </c>
    </row>
    <row r="2367" spans="1:2" x14ac:dyDescent="0.25">
      <c r="A2367" s="81" t="s">
        <v>4584</v>
      </c>
      <c r="B2367" s="80" t="s">
        <v>9514</v>
      </c>
    </row>
    <row r="2368" spans="1:2" x14ac:dyDescent="0.25">
      <c r="A2368" s="81" t="s">
        <v>4585</v>
      </c>
      <c r="B2368" s="80" t="s">
        <v>9514</v>
      </c>
    </row>
    <row r="2369" spans="1:2" x14ac:dyDescent="0.25">
      <c r="A2369" s="81" t="s">
        <v>4586</v>
      </c>
      <c r="B2369" s="80" t="s">
        <v>9514</v>
      </c>
    </row>
    <row r="2370" spans="1:2" x14ac:dyDescent="0.25">
      <c r="A2370" s="81" t="s">
        <v>4587</v>
      </c>
      <c r="B2370" s="80" t="s">
        <v>9514</v>
      </c>
    </row>
    <row r="2371" spans="1:2" x14ac:dyDescent="0.25">
      <c r="A2371" s="81" t="s">
        <v>4588</v>
      </c>
      <c r="B2371" s="80" t="s">
        <v>9514</v>
      </c>
    </row>
    <row r="2372" spans="1:2" x14ac:dyDescent="0.25">
      <c r="A2372" s="81" t="s">
        <v>2244</v>
      </c>
      <c r="B2372" s="80" t="s">
        <v>9514</v>
      </c>
    </row>
    <row r="2373" spans="1:2" x14ac:dyDescent="0.25">
      <c r="A2373" s="81" t="s">
        <v>4589</v>
      </c>
      <c r="B2373" s="80" t="s">
        <v>9514</v>
      </c>
    </row>
    <row r="2374" spans="1:2" x14ac:dyDescent="0.25">
      <c r="A2374" s="81" t="s">
        <v>4590</v>
      </c>
      <c r="B2374" s="80" t="s">
        <v>9514</v>
      </c>
    </row>
    <row r="2375" spans="1:2" x14ac:dyDescent="0.25">
      <c r="A2375" s="81" t="s">
        <v>4591</v>
      </c>
      <c r="B2375" s="80" t="s">
        <v>9514</v>
      </c>
    </row>
    <row r="2376" spans="1:2" x14ac:dyDescent="0.25">
      <c r="A2376" s="81" t="s">
        <v>4592</v>
      </c>
      <c r="B2376" s="80" t="s">
        <v>9514</v>
      </c>
    </row>
    <row r="2377" spans="1:2" x14ac:dyDescent="0.25">
      <c r="A2377" s="81" t="s">
        <v>4593</v>
      </c>
      <c r="B2377" s="80" t="s">
        <v>9514</v>
      </c>
    </row>
    <row r="2378" spans="1:2" x14ac:dyDescent="0.25">
      <c r="A2378" s="81" t="s">
        <v>4594</v>
      </c>
      <c r="B2378" s="80" t="s">
        <v>9514</v>
      </c>
    </row>
    <row r="2379" spans="1:2" x14ac:dyDescent="0.25">
      <c r="A2379" s="81" t="s">
        <v>4595</v>
      </c>
      <c r="B2379" s="80" t="s">
        <v>9514</v>
      </c>
    </row>
    <row r="2380" spans="1:2" x14ac:dyDescent="0.25">
      <c r="A2380" s="81" t="s">
        <v>4596</v>
      </c>
      <c r="B2380" s="80" t="s">
        <v>9514</v>
      </c>
    </row>
    <row r="2381" spans="1:2" x14ac:dyDescent="0.25">
      <c r="A2381" s="81" t="s">
        <v>4597</v>
      </c>
      <c r="B2381" s="80" t="s">
        <v>9514</v>
      </c>
    </row>
    <row r="2382" spans="1:2" x14ac:dyDescent="0.25">
      <c r="A2382" s="81" t="s">
        <v>4598</v>
      </c>
      <c r="B2382" s="80" t="s">
        <v>9514</v>
      </c>
    </row>
    <row r="2383" spans="1:2" x14ac:dyDescent="0.25">
      <c r="A2383" s="81" t="s">
        <v>4599</v>
      </c>
      <c r="B2383" s="80" t="s">
        <v>9514</v>
      </c>
    </row>
    <row r="2384" spans="1:2" x14ac:dyDescent="0.25">
      <c r="A2384" s="81" t="s">
        <v>4600</v>
      </c>
      <c r="B2384" s="80" t="s">
        <v>9514</v>
      </c>
    </row>
    <row r="2385" spans="1:2" x14ac:dyDescent="0.25">
      <c r="A2385" s="81" t="s">
        <v>4601</v>
      </c>
      <c r="B2385" s="80" t="s">
        <v>9514</v>
      </c>
    </row>
    <row r="2386" spans="1:2" x14ac:dyDescent="0.25">
      <c r="A2386" s="81" t="s">
        <v>4602</v>
      </c>
      <c r="B2386" s="80" t="s">
        <v>9514</v>
      </c>
    </row>
    <row r="2387" spans="1:2" x14ac:dyDescent="0.25">
      <c r="A2387" s="81" t="s">
        <v>4603</v>
      </c>
      <c r="B2387" s="80" t="s">
        <v>9514</v>
      </c>
    </row>
    <row r="2388" spans="1:2" x14ac:dyDescent="0.25">
      <c r="A2388" s="81" t="s">
        <v>4604</v>
      </c>
      <c r="B2388" s="80" t="s">
        <v>9514</v>
      </c>
    </row>
    <row r="2389" spans="1:2" x14ac:dyDescent="0.25">
      <c r="A2389" s="81" t="s">
        <v>4605</v>
      </c>
      <c r="B2389" s="80" t="s">
        <v>9514</v>
      </c>
    </row>
    <row r="2390" spans="1:2" x14ac:dyDescent="0.25">
      <c r="A2390" s="81" t="s">
        <v>4606</v>
      </c>
      <c r="B2390" s="80" t="s">
        <v>9514</v>
      </c>
    </row>
    <row r="2391" spans="1:2" x14ac:dyDescent="0.25">
      <c r="A2391" s="81" t="s">
        <v>4607</v>
      </c>
      <c r="B2391" s="80" t="s">
        <v>9514</v>
      </c>
    </row>
    <row r="2392" spans="1:2" x14ac:dyDescent="0.25">
      <c r="A2392" s="81" t="s">
        <v>4608</v>
      </c>
      <c r="B2392" s="80" t="s">
        <v>9514</v>
      </c>
    </row>
    <row r="2393" spans="1:2" x14ac:dyDescent="0.25">
      <c r="A2393" s="81" t="s">
        <v>4609</v>
      </c>
      <c r="B2393" s="80" t="s">
        <v>9514</v>
      </c>
    </row>
    <row r="2394" spans="1:2" x14ac:dyDescent="0.25">
      <c r="A2394" s="81" t="s">
        <v>4610</v>
      </c>
      <c r="B2394" s="80" t="s">
        <v>9514</v>
      </c>
    </row>
    <row r="2395" spans="1:2" x14ac:dyDescent="0.25">
      <c r="A2395" s="81" t="s">
        <v>4611</v>
      </c>
      <c r="B2395" s="80" t="s">
        <v>9514</v>
      </c>
    </row>
    <row r="2396" spans="1:2" x14ac:dyDescent="0.25">
      <c r="A2396" s="81" t="s">
        <v>4612</v>
      </c>
      <c r="B2396" s="80" t="s">
        <v>9514</v>
      </c>
    </row>
    <row r="2397" spans="1:2" x14ac:dyDescent="0.25">
      <c r="A2397" s="81" t="s">
        <v>4613</v>
      </c>
      <c r="B2397" s="80" t="s">
        <v>9514</v>
      </c>
    </row>
    <row r="2398" spans="1:2" x14ac:dyDescent="0.25">
      <c r="A2398" s="81" t="s">
        <v>4614</v>
      </c>
      <c r="B2398" s="80" t="s">
        <v>9514</v>
      </c>
    </row>
    <row r="2399" spans="1:2" x14ac:dyDescent="0.25">
      <c r="A2399" s="81" t="s">
        <v>4615</v>
      </c>
      <c r="B2399" s="80" t="s">
        <v>9514</v>
      </c>
    </row>
    <row r="2400" spans="1:2" x14ac:dyDescent="0.25">
      <c r="A2400" s="81" t="s">
        <v>4616</v>
      </c>
      <c r="B2400" s="80" t="s">
        <v>9514</v>
      </c>
    </row>
    <row r="2401" spans="1:2" x14ac:dyDescent="0.25">
      <c r="A2401" s="81" t="s">
        <v>4617</v>
      </c>
      <c r="B2401" s="80" t="s">
        <v>9514</v>
      </c>
    </row>
    <row r="2402" spans="1:2" x14ac:dyDescent="0.25">
      <c r="A2402" s="81" t="s">
        <v>4618</v>
      </c>
      <c r="B2402" s="80" t="s">
        <v>9514</v>
      </c>
    </row>
    <row r="2403" spans="1:2" x14ac:dyDescent="0.25">
      <c r="A2403" s="81" t="s">
        <v>4619</v>
      </c>
      <c r="B2403" s="80" t="s">
        <v>9514</v>
      </c>
    </row>
    <row r="2404" spans="1:2" x14ac:dyDescent="0.25">
      <c r="A2404" s="81" t="s">
        <v>4620</v>
      </c>
      <c r="B2404" s="80" t="s">
        <v>9514</v>
      </c>
    </row>
    <row r="2405" spans="1:2" x14ac:dyDescent="0.25">
      <c r="A2405" s="81" t="s">
        <v>4621</v>
      </c>
      <c r="B2405" s="80" t="s">
        <v>9514</v>
      </c>
    </row>
    <row r="2406" spans="1:2" x14ac:dyDescent="0.25">
      <c r="A2406" s="81" t="s">
        <v>4622</v>
      </c>
      <c r="B2406" s="80" t="s">
        <v>9514</v>
      </c>
    </row>
    <row r="2407" spans="1:2" x14ac:dyDescent="0.25">
      <c r="A2407" s="81" t="s">
        <v>4623</v>
      </c>
      <c r="B2407" s="80" t="s">
        <v>9514</v>
      </c>
    </row>
    <row r="2408" spans="1:2" x14ac:dyDescent="0.25">
      <c r="A2408" s="81" t="s">
        <v>4624</v>
      </c>
      <c r="B2408" s="80" t="s">
        <v>9514</v>
      </c>
    </row>
    <row r="2409" spans="1:2" x14ac:dyDescent="0.25">
      <c r="A2409" s="81" t="s">
        <v>4625</v>
      </c>
      <c r="B2409" s="80" t="s">
        <v>9514</v>
      </c>
    </row>
    <row r="2410" spans="1:2" x14ac:dyDescent="0.25">
      <c r="A2410" s="81" t="s">
        <v>4626</v>
      </c>
      <c r="B2410" s="80" t="s">
        <v>9514</v>
      </c>
    </row>
    <row r="2411" spans="1:2" x14ac:dyDescent="0.25">
      <c r="A2411" s="81" t="s">
        <v>4627</v>
      </c>
      <c r="B2411" s="80" t="s">
        <v>9514</v>
      </c>
    </row>
    <row r="2412" spans="1:2" x14ac:dyDescent="0.25">
      <c r="A2412" s="81" t="s">
        <v>4628</v>
      </c>
      <c r="B2412" s="80" t="s">
        <v>9514</v>
      </c>
    </row>
    <row r="2413" spans="1:2" x14ac:dyDescent="0.25">
      <c r="A2413" s="81" t="s">
        <v>4629</v>
      </c>
      <c r="B2413" s="80" t="s">
        <v>9514</v>
      </c>
    </row>
    <row r="2414" spans="1:2" x14ac:dyDescent="0.25">
      <c r="A2414" s="81" t="s">
        <v>4630</v>
      </c>
      <c r="B2414" s="80" t="s">
        <v>9514</v>
      </c>
    </row>
    <row r="2415" spans="1:2" x14ac:dyDescent="0.25">
      <c r="A2415" s="81" t="s">
        <v>4631</v>
      </c>
      <c r="B2415" s="80" t="s">
        <v>9514</v>
      </c>
    </row>
    <row r="2416" spans="1:2" x14ac:dyDescent="0.25">
      <c r="A2416" s="81" t="s">
        <v>4632</v>
      </c>
      <c r="B2416" s="80" t="s">
        <v>9514</v>
      </c>
    </row>
    <row r="2417" spans="1:2" x14ac:dyDescent="0.25">
      <c r="A2417" s="81" t="s">
        <v>4633</v>
      </c>
      <c r="B2417" s="80" t="s">
        <v>9514</v>
      </c>
    </row>
    <row r="2418" spans="1:2" x14ac:dyDescent="0.25">
      <c r="A2418" s="81" t="s">
        <v>4634</v>
      </c>
      <c r="B2418" s="80" t="s">
        <v>9514</v>
      </c>
    </row>
    <row r="2419" spans="1:2" x14ac:dyDescent="0.25">
      <c r="A2419" s="81" t="s">
        <v>4635</v>
      </c>
      <c r="B2419" s="80" t="s">
        <v>9514</v>
      </c>
    </row>
    <row r="2420" spans="1:2" x14ac:dyDescent="0.25">
      <c r="A2420" s="81" t="s">
        <v>4636</v>
      </c>
      <c r="B2420" s="80" t="s">
        <v>9514</v>
      </c>
    </row>
    <row r="2421" spans="1:2" x14ac:dyDescent="0.25">
      <c r="A2421" s="81" t="s">
        <v>4637</v>
      </c>
      <c r="B2421" s="80" t="s">
        <v>9514</v>
      </c>
    </row>
    <row r="2422" spans="1:2" x14ac:dyDescent="0.25">
      <c r="A2422" s="81" t="s">
        <v>4638</v>
      </c>
      <c r="B2422" s="80" t="s">
        <v>9514</v>
      </c>
    </row>
    <row r="2423" spans="1:2" x14ac:dyDescent="0.25">
      <c r="A2423" s="81" t="s">
        <v>4639</v>
      </c>
      <c r="B2423" s="80" t="s">
        <v>9514</v>
      </c>
    </row>
    <row r="2424" spans="1:2" x14ac:dyDescent="0.25">
      <c r="A2424" s="81" t="s">
        <v>4640</v>
      </c>
      <c r="B2424" s="80" t="s">
        <v>9514</v>
      </c>
    </row>
    <row r="2425" spans="1:2" x14ac:dyDescent="0.25">
      <c r="A2425" s="81" t="s">
        <v>4641</v>
      </c>
      <c r="B2425" s="80" t="s">
        <v>9514</v>
      </c>
    </row>
    <row r="2426" spans="1:2" x14ac:dyDescent="0.25">
      <c r="A2426" s="81" t="s">
        <v>4642</v>
      </c>
      <c r="B2426" s="80" t="s">
        <v>9514</v>
      </c>
    </row>
    <row r="2427" spans="1:2" x14ac:dyDescent="0.25">
      <c r="A2427" s="81" t="s">
        <v>4643</v>
      </c>
      <c r="B2427" s="80" t="s">
        <v>9514</v>
      </c>
    </row>
    <row r="2428" spans="1:2" x14ac:dyDescent="0.25">
      <c r="A2428" s="81" t="s">
        <v>4644</v>
      </c>
      <c r="B2428" s="80" t="s">
        <v>9514</v>
      </c>
    </row>
    <row r="2429" spans="1:2" x14ac:dyDescent="0.25">
      <c r="A2429" s="81" t="s">
        <v>4645</v>
      </c>
      <c r="B2429" s="80" t="s">
        <v>9514</v>
      </c>
    </row>
    <row r="2430" spans="1:2" x14ac:dyDescent="0.25">
      <c r="A2430" s="81" t="s">
        <v>4646</v>
      </c>
      <c r="B2430" s="80" t="s">
        <v>9514</v>
      </c>
    </row>
    <row r="2431" spans="1:2" x14ac:dyDescent="0.25">
      <c r="A2431" s="81" t="s">
        <v>4647</v>
      </c>
      <c r="B2431" s="80" t="s">
        <v>9514</v>
      </c>
    </row>
    <row r="2432" spans="1:2" x14ac:dyDescent="0.25">
      <c r="A2432" s="81" t="s">
        <v>4648</v>
      </c>
      <c r="B2432" s="80" t="s">
        <v>9514</v>
      </c>
    </row>
    <row r="2433" spans="1:2" x14ac:dyDescent="0.25">
      <c r="A2433" s="81" t="s">
        <v>4649</v>
      </c>
      <c r="B2433" s="80" t="s">
        <v>9514</v>
      </c>
    </row>
    <row r="2434" spans="1:2" x14ac:dyDescent="0.25">
      <c r="A2434" s="81" t="s">
        <v>4650</v>
      </c>
      <c r="B2434" s="80" t="s">
        <v>9514</v>
      </c>
    </row>
    <row r="2435" spans="1:2" x14ac:dyDescent="0.25">
      <c r="A2435" s="81" t="s">
        <v>4651</v>
      </c>
      <c r="B2435" s="80" t="s">
        <v>9514</v>
      </c>
    </row>
    <row r="2436" spans="1:2" x14ac:dyDescent="0.25">
      <c r="A2436" s="81" t="s">
        <v>4652</v>
      </c>
      <c r="B2436" s="80" t="s">
        <v>9514</v>
      </c>
    </row>
    <row r="2437" spans="1:2" x14ac:dyDescent="0.25">
      <c r="A2437" s="81" t="s">
        <v>4653</v>
      </c>
      <c r="B2437" s="80" t="s">
        <v>9514</v>
      </c>
    </row>
    <row r="2438" spans="1:2" x14ac:dyDescent="0.25">
      <c r="A2438" s="81" t="s">
        <v>4654</v>
      </c>
      <c r="B2438" s="80" t="s">
        <v>9514</v>
      </c>
    </row>
    <row r="2439" spans="1:2" x14ac:dyDescent="0.25">
      <c r="A2439" s="81" t="s">
        <v>4655</v>
      </c>
      <c r="B2439" s="80" t="s">
        <v>9514</v>
      </c>
    </row>
    <row r="2440" spans="1:2" x14ac:dyDescent="0.25">
      <c r="A2440" s="81" t="s">
        <v>4656</v>
      </c>
      <c r="B2440" s="80" t="s">
        <v>9514</v>
      </c>
    </row>
    <row r="2441" spans="1:2" x14ac:dyDescent="0.25">
      <c r="A2441" s="81" t="s">
        <v>4657</v>
      </c>
      <c r="B2441" s="80" t="s">
        <v>9514</v>
      </c>
    </row>
    <row r="2442" spans="1:2" x14ac:dyDescent="0.25">
      <c r="A2442" s="81" t="s">
        <v>4658</v>
      </c>
      <c r="B2442" s="80" t="s">
        <v>9514</v>
      </c>
    </row>
    <row r="2443" spans="1:2" x14ac:dyDescent="0.25">
      <c r="A2443" s="81" t="s">
        <v>4659</v>
      </c>
      <c r="B2443" s="80" t="s">
        <v>9514</v>
      </c>
    </row>
    <row r="2444" spans="1:2" x14ac:dyDescent="0.25">
      <c r="A2444" s="81" t="s">
        <v>4660</v>
      </c>
      <c r="B2444" s="80" t="s">
        <v>9514</v>
      </c>
    </row>
    <row r="2445" spans="1:2" x14ac:dyDescent="0.25">
      <c r="A2445" s="81" t="s">
        <v>4661</v>
      </c>
      <c r="B2445" s="80" t="s">
        <v>9514</v>
      </c>
    </row>
    <row r="2446" spans="1:2" x14ac:dyDescent="0.25">
      <c r="A2446" s="81" t="s">
        <v>4662</v>
      </c>
      <c r="B2446" s="80" t="s">
        <v>9514</v>
      </c>
    </row>
    <row r="2447" spans="1:2" x14ac:dyDescent="0.25">
      <c r="A2447" s="81" t="s">
        <v>4663</v>
      </c>
      <c r="B2447" s="80" t="s">
        <v>9514</v>
      </c>
    </row>
    <row r="2448" spans="1:2" x14ac:dyDescent="0.25">
      <c r="A2448" s="81" t="s">
        <v>4664</v>
      </c>
      <c r="B2448" s="80" t="s">
        <v>9514</v>
      </c>
    </row>
    <row r="2449" spans="1:2" x14ac:dyDescent="0.25">
      <c r="A2449" s="81" t="s">
        <v>4665</v>
      </c>
      <c r="B2449" s="80" t="s">
        <v>9514</v>
      </c>
    </row>
    <row r="2450" spans="1:2" x14ac:dyDescent="0.25">
      <c r="A2450" s="81" t="s">
        <v>4666</v>
      </c>
      <c r="B2450" s="80" t="s">
        <v>9514</v>
      </c>
    </row>
    <row r="2451" spans="1:2" x14ac:dyDescent="0.25">
      <c r="A2451" s="81" t="s">
        <v>4667</v>
      </c>
      <c r="B2451" s="80" t="s">
        <v>9514</v>
      </c>
    </row>
    <row r="2452" spans="1:2" x14ac:dyDescent="0.25">
      <c r="A2452" s="81" t="s">
        <v>4668</v>
      </c>
      <c r="B2452" s="80" t="s">
        <v>9514</v>
      </c>
    </row>
    <row r="2453" spans="1:2" x14ac:dyDescent="0.25">
      <c r="A2453" s="81" t="s">
        <v>4669</v>
      </c>
      <c r="B2453" s="80" t="s">
        <v>9514</v>
      </c>
    </row>
    <row r="2454" spans="1:2" x14ac:dyDescent="0.25">
      <c r="A2454" s="81" t="s">
        <v>4670</v>
      </c>
      <c r="B2454" s="80" t="s">
        <v>9514</v>
      </c>
    </row>
    <row r="2455" spans="1:2" x14ac:dyDescent="0.25">
      <c r="A2455" s="81" t="s">
        <v>4671</v>
      </c>
      <c r="B2455" s="80" t="s">
        <v>9514</v>
      </c>
    </row>
    <row r="2456" spans="1:2" x14ac:dyDescent="0.25">
      <c r="A2456" s="81" t="s">
        <v>4672</v>
      </c>
      <c r="B2456" s="80" t="s">
        <v>9514</v>
      </c>
    </row>
    <row r="2457" spans="1:2" x14ac:dyDescent="0.25">
      <c r="A2457" s="81" t="s">
        <v>4673</v>
      </c>
      <c r="B2457" s="80" t="s">
        <v>9514</v>
      </c>
    </row>
    <row r="2458" spans="1:2" x14ac:dyDescent="0.25">
      <c r="A2458" s="81" t="s">
        <v>4674</v>
      </c>
      <c r="B2458" s="80" t="s">
        <v>9514</v>
      </c>
    </row>
    <row r="2459" spans="1:2" x14ac:dyDescent="0.25">
      <c r="A2459" s="81" t="s">
        <v>4675</v>
      </c>
      <c r="B2459" s="80" t="s">
        <v>9514</v>
      </c>
    </row>
    <row r="2460" spans="1:2" x14ac:dyDescent="0.25">
      <c r="A2460" s="81" t="s">
        <v>4676</v>
      </c>
      <c r="B2460" s="80" t="s">
        <v>9514</v>
      </c>
    </row>
    <row r="2461" spans="1:2" x14ac:dyDescent="0.25">
      <c r="A2461" s="81" t="s">
        <v>4677</v>
      </c>
      <c r="B2461" s="80" t="s">
        <v>9514</v>
      </c>
    </row>
    <row r="2462" spans="1:2" x14ac:dyDescent="0.25">
      <c r="A2462" s="81" t="s">
        <v>4678</v>
      </c>
      <c r="B2462" s="80" t="s">
        <v>9514</v>
      </c>
    </row>
    <row r="2463" spans="1:2" x14ac:dyDescent="0.25">
      <c r="A2463" s="81" t="s">
        <v>1935</v>
      </c>
      <c r="B2463" s="80" t="s">
        <v>9514</v>
      </c>
    </row>
    <row r="2464" spans="1:2" x14ac:dyDescent="0.25">
      <c r="A2464" s="81" t="s">
        <v>4679</v>
      </c>
      <c r="B2464" s="80" t="s">
        <v>9514</v>
      </c>
    </row>
    <row r="2465" spans="1:2" x14ac:dyDescent="0.25">
      <c r="A2465" s="81" t="s">
        <v>4680</v>
      </c>
      <c r="B2465" s="80" t="s">
        <v>9514</v>
      </c>
    </row>
    <row r="2466" spans="1:2" x14ac:dyDescent="0.25">
      <c r="A2466" s="81" t="s">
        <v>4681</v>
      </c>
      <c r="B2466" s="80" t="s">
        <v>9514</v>
      </c>
    </row>
    <row r="2467" spans="1:2" x14ac:dyDescent="0.25">
      <c r="A2467" s="81" t="s">
        <v>4682</v>
      </c>
      <c r="B2467" s="80" t="s">
        <v>9514</v>
      </c>
    </row>
    <row r="2468" spans="1:2" x14ac:dyDescent="0.25">
      <c r="A2468" s="81" t="s">
        <v>4683</v>
      </c>
      <c r="B2468" s="80" t="s">
        <v>9514</v>
      </c>
    </row>
    <row r="2469" spans="1:2" x14ac:dyDescent="0.25">
      <c r="A2469" s="81" t="s">
        <v>4684</v>
      </c>
      <c r="B2469" s="80" t="s">
        <v>9514</v>
      </c>
    </row>
    <row r="2470" spans="1:2" x14ac:dyDescent="0.25">
      <c r="A2470" s="81" t="s">
        <v>4685</v>
      </c>
      <c r="B2470" s="80" t="s">
        <v>9514</v>
      </c>
    </row>
    <row r="2471" spans="1:2" x14ac:dyDescent="0.25">
      <c r="A2471" s="81" t="s">
        <v>4686</v>
      </c>
      <c r="B2471" s="80" t="s">
        <v>9514</v>
      </c>
    </row>
    <row r="2472" spans="1:2" x14ac:dyDescent="0.25">
      <c r="A2472" s="81" t="s">
        <v>4687</v>
      </c>
      <c r="B2472" s="80" t="s">
        <v>9514</v>
      </c>
    </row>
    <row r="2473" spans="1:2" x14ac:dyDescent="0.25">
      <c r="A2473" s="81" t="s">
        <v>4688</v>
      </c>
      <c r="B2473" s="80" t="s">
        <v>9514</v>
      </c>
    </row>
    <row r="2474" spans="1:2" x14ac:dyDescent="0.25">
      <c r="A2474" s="81" t="s">
        <v>4689</v>
      </c>
      <c r="B2474" s="80" t="s">
        <v>9514</v>
      </c>
    </row>
    <row r="2475" spans="1:2" x14ac:dyDescent="0.25">
      <c r="A2475" s="81" t="s">
        <v>4690</v>
      </c>
      <c r="B2475" s="80" t="s">
        <v>9514</v>
      </c>
    </row>
    <row r="2476" spans="1:2" x14ac:dyDescent="0.25">
      <c r="A2476" s="81" t="s">
        <v>4691</v>
      </c>
      <c r="B2476" s="80" t="s">
        <v>9514</v>
      </c>
    </row>
    <row r="2477" spans="1:2" x14ac:dyDescent="0.25">
      <c r="A2477" s="81" t="s">
        <v>4692</v>
      </c>
      <c r="B2477" s="80" t="s">
        <v>9514</v>
      </c>
    </row>
    <row r="2478" spans="1:2" x14ac:dyDescent="0.25">
      <c r="A2478" s="81" t="s">
        <v>4693</v>
      </c>
      <c r="B2478" s="80" t="s">
        <v>9514</v>
      </c>
    </row>
    <row r="2479" spans="1:2" x14ac:dyDescent="0.25">
      <c r="A2479" s="81" t="s">
        <v>4694</v>
      </c>
      <c r="B2479" s="80" t="s">
        <v>9514</v>
      </c>
    </row>
    <row r="2480" spans="1:2" x14ac:dyDescent="0.25">
      <c r="A2480" s="81" t="s">
        <v>4695</v>
      </c>
      <c r="B2480" s="80" t="s">
        <v>9514</v>
      </c>
    </row>
    <row r="2481" spans="1:2" x14ac:dyDescent="0.25">
      <c r="A2481" s="81" t="s">
        <v>4696</v>
      </c>
      <c r="B2481" s="80" t="s">
        <v>9514</v>
      </c>
    </row>
    <row r="2482" spans="1:2" x14ac:dyDescent="0.25">
      <c r="A2482" s="81" t="s">
        <v>4697</v>
      </c>
      <c r="B2482" s="80" t="s">
        <v>9514</v>
      </c>
    </row>
    <row r="2483" spans="1:2" x14ac:dyDescent="0.25">
      <c r="A2483" s="81" t="s">
        <v>4698</v>
      </c>
      <c r="B2483" s="80" t="s">
        <v>9514</v>
      </c>
    </row>
    <row r="2484" spans="1:2" x14ac:dyDescent="0.25">
      <c r="A2484" s="81" t="s">
        <v>4699</v>
      </c>
      <c r="B2484" s="80" t="s">
        <v>9514</v>
      </c>
    </row>
    <row r="2485" spans="1:2" x14ac:dyDescent="0.25">
      <c r="A2485" s="81" t="s">
        <v>4700</v>
      </c>
      <c r="B2485" s="80" t="s">
        <v>9514</v>
      </c>
    </row>
    <row r="2486" spans="1:2" x14ac:dyDescent="0.25">
      <c r="A2486" s="81" t="s">
        <v>4701</v>
      </c>
      <c r="B2486" s="80" t="s">
        <v>9514</v>
      </c>
    </row>
    <row r="2487" spans="1:2" x14ac:dyDescent="0.25">
      <c r="A2487" s="81" t="s">
        <v>4702</v>
      </c>
      <c r="B2487" s="80" t="s">
        <v>9514</v>
      </c>
    </row>
    <row r="2488" spans="1:2" x14ac:dyDescent="0.25">
      <c r="A2488" s="81" t="s">
        <v>4703</v>
      </c>
      <c r="B2488" s="80" t="s">
        <v>9514</v>
      </c>
    </row>
    <row r="2489" spans="1:2" x14ac:dyDescent="0.25">
      <c r="A2489" s="81" t="s">
        <v>4704</v>
      </c>
      <c r="B2489" s="80" t="s">
        <v>9514</v>
      </c>
    </row>
    <row r="2490" spans="1:2" x14ac:dyDescent="0.25">
      <c r="A2490" s="81" t="s">
        <v>4705</v>
      </c>
      <c r="B2490" s="80" t="s">
        <v>9514</v>
      </c>
    </row>
    <row r="2491" spans="1:2" x14ac:dyDescent="0.25">
      <c r="A2491" s="81" t="s">
        <v>4706</v>
      </c>
      <c r="B2491" s="80" t="s">
        <v>9514</v>
      </c>
    </row>
    <row r="2492" spans="1:2" x14ac:dyDescent="0.25">
      <c r="A2492" s="81" t="s">
        <v>4707</v>
      </c>
      <c r="B2492" s="80" t="s">
        <v>9514</v>
      </c>
    </row>
    <row r="2493" spans="1:2" x14ac:dyDescent="0.25">
      <c r="A2493" s="81" t="s">
        <v>4708</v>
      </c>
      <c r="B2493" s="80" t="s">
        <v>9514</v>
      </c>
    </row>
    <row r="2494" spans="1:2" x14ac:dyDescent="0.25">
      <c r="A2494" s="81" t="s">
        <v>4709</v>
      </c>
      <c r="B2494" s="80" t="s">
        <v>9514</v>
      </c>
    </row>
    <row r="2495" spans="1:2" x14ac:dyDescent="0.25">
      <c r="A2495" s="81" t="s">
        <v>4710</v>
      </c>
      <c r="B2495" s="80" t="s">
        <v>9514</v>
      </c>
    </row>
    <row r="2496" spans="1:2" x14ac:dyDescent="0.25">
      <c r="A2496" s="81" t="s">
        <v>4711</v>
      </c>
      <c r="B2496" s="80" t="s">
        <v>9514</v>
      </c>
    </row>
    <row r="2497" spans="1:2" x14ac:dyDescent="0.25">
      <c r="A2497" s="81" t="s">
        <v>4712</v>
      </c>
      <c r="B2497" s="80" t="s">
        <v>9514</v>
      </c>
    </row>
    <row r="2498" spans="1:2" x14ac:dyDescent="0.25">
      <c r="A2498" s="81" t="s">
        <v>4713</v>
      </c>
      <c r="B2498" s="80" t="s">
        <v>9514</v>
      </c>
    </row>
    <row r="2499" spans="1:2" x14ac:dyDescent="0.25">
      <c r="A2499" s="81" t="s">
        <v>1695</v>
      </c>
      <c r="B2499" s="80" t="s">
        <v>9514</v>
      </c>
    </row>
    <row r="2500" spans="1:2" x14ac:dyDescent="0.25">
      <c r="A2500" s="81" t="s">
        <v>1730</v>
      </c>
      <c r="B2500" s="80" t="s">
        <v>9514</v>
      </c>
    </row>
    <row r="2501" spans="1:2" x14ac:dyDescent="0.25">
      <c r="A2501" s="81" t="s">
        <v>4714</v>
      </c>
      <c r="B2501" s="80" t="s">
        <v>9514</v>
      </c>
    </row>
    <row r="2502" spans="1:2" x14ac:dyDescent="0.25">
      <c r="A2502" s="81" t="s">
        <v>1858</v>
      </c>
      <c r="B2502" s="80" t="s">
        <v>9514</v>
      </c>
    </row>
    <row r="2503" spans="1:2" x14ac:dyDescent="0.25">
      <c r="A2503" s="81" t="s">
        <v>4715</v>
      </c>
      <c r="B2503" s="80" t="s">
        <v>9514</v>
      </c>
    </row>
    <row r="2504" spans="1:2" x14ac:dyDescent="0.25">
      <c r="A2504" s="81" t="s">
        <v>4716</v>
      </c>
      <c r="B2504" s="80" t="s">
        <v>9514</v>
      </c>
    </row>
    <row r="2505" spans="1:2" x14ac:dyDescent="0.25">
      <c r="A2505" s="81" t="s">
        <v>4717</v>
      </c>
      <c r="B2505" s="80" t="s">
        <v>9514</v>
      </c>
    </row>
    <row r="2506" spans="1:2" x14ac:dyDescent="0.25">
      <c r="A2506" s="81" t="s">
        <v>2157</v>
      </c>
      <c r="B2506" s="80" t="s">
        <v>9514</v>
      </c>
    </row>
    <row r="2507" spans="1:2" x14ac:dyDescent="0.25">
      <c r="A2507" s="81" t="s">
        <v>4718</v>
      </c>
      <c r="B2507" s="80" t="s">
        <v>9514</v>
      </c>
    </row>
    <row r="2508" spans="1:2" x14ac:dyDescent="0.25">
      <c r="A2508" s="81" t="s">
        <v>4719</v>
      </c>
      <c r="B2508" s="80" t="s">
        <v>9514</v>
      </c>
    </row>
    <row r="2509" spans="1:2" x14ac:dyDescent="0.25">
      <c r="A2509" s="81" t="s">
        <v>4720</v>
      </c>
      <c r="B2509" s="80" t="s">
        <v>9514</v>
      </c>
    </row>
    <row r="2510" spans="1:2" x14ac:dyDescent="0.25">
      <c r="A2510" s="81" t="s">
        <v>4721</v>
      </c>
      <c r="B2510" s="80" t="s">
        <v>9514</v>
      </c>
    </row>
    <row r="2511" spans="1:2" x14ac:dyDescent="0.25">
      <c r="A2511" s="81" t="s">
        <v>4722</v>
      </c>
      <c r="B2511" s="80" t="s">
        <v>9514</v>
      </c>
    </row>
    <row r="2512" spans="1:2" x14ac:dyDescent="0.25">
      <c r="A2512" s="81" t="s">
        <v>4723</v>
      </c>
      <c r="B2512" s="80" t="s">
        <v>9514</v>
      </c>
    </row>
    <row r="2513" spans="1:2" x14ac:dyDescent="0.25">
      <c r="A2513" s="81" t="s">
        <v>4724</v>
      </c>
      <c r="B2513" s="80" t="s">
        <v>9514</v>
      </c>
    </row>
    <row r="2514" spans="1:2" x14ac:dyDescent="0.25">
      <c r="A2514" s="81" t="s">
        <v>4725</v>
      </c>
      <c r="B2514" s="80" t="s">
        <v>9514</v>
      </c>
    </row>
    <row r="2515" spans="1:2" x14ac:dyDescent="0.25">
      <c r="A2515" s="81" t="s">
        <v>1690</v>
      </c>
      <c r="B2515" s="80" t="s">
        <v>9514</v>
      </c>
    </row>
    <row r="2516" spans="1:2" x14ac:dyDescent="0.25">
      <c r="A2516" s="81" t="s">
        <v>4726</v>
      </c>
      <c r="B2516" s="80" t="s">
        <v>9514</v>
      </c>
    </row>
    <row r="2517" spans="1:2" x14ac:dyDescent="0.25">
      <c r="A2517" s="81" t="s">
        <v>4727</v>
      </c>
      <c r="B2517" s="80" t="s">
        <v>9514</v>
      </c>
    </row>
    <row r="2518" spans="1:2" x14ac:dyDescent="0.25">
      <c r="A2518" s="81" t="s">
        <v>2040</v>
      </c>
      <c r="B2518" s="80" t="s">
        <v>9514</v>
      </c>
    </row>
    <row r="2519" spans="1:2" x14ac:dyDescent="0.25">
      <c r="A2519" s="81" t="s">
        <v>4728</v>
      </c>
      <c r="B2519" s="80" t="s">
        <v>9514</v>
      </c>
    </row>
    <row r="2520" spans="1:2" x14ac:dyDescent="0.25">
      <c r="A2520" s="81" t="s">
        <v>1945</v>
      </c>
      <c r="B2520" s="80" t="s">
        <v>9514</v>
      </c>
    </row>
    <row r="2521" spans="1:2" x14ac:dyDescent="0.25">
      <c r="A2521" s="81" t="s">
        <v>4729</v>
      </c>
      <c r="B2521" s="80" t="s">
        <v>9514</v>
      </c>
    </row>
    <row r="2522" spans="1:2" x14ac:dyDescent="0.25">
      <c r="A2522" s="81" t="s">
        <v>4730</v>
      </c>
      <c r="B2522" s="80" t="s">
        <v>9514</v>
      </c>
    </row>
    <row r="2523" spans="1:2" x14ac:dyDescent="0.25">
      <c r="A2523" s="81" t="s">
        <v>4731</v>
      </c>
      <c r="B2523" s="80" t="s">
        <v>9514</v>
      </c>
    </row>
    <row r="2524" spans="1:2" x14ac:dyDescent="0.25">
      <c r="A2524" s="81" t="s">
        <v>4732</v>
      </c>
      <c r="B2524" s="80" t="s">
        <v>9514</v>
      </c>
    </row>
    <row r="2525" spans="1:2" x14ac:dyDescent="0.25">
      <c r="A2525" s="81" t="s">
        <v>4733</v>
      </c>
      <c r="B2525" s="80" t="s">
        <v>9514</v>
      </c>
    </row>
    <row r="2526" spans="1:2" x14ac:dyDescent="0.25">
      <c r="A2526" s="81" t="s">
        <v>4734</v>
      </c>
      <c r="B2526" s="80" t="s">
        <v>9514</v>
      </c>
    </row>
    <row r="2527" spans="1:2" x14ac:dyDescent="0.25">
      <c r="A2527" s="81" t="s">
        <v>4735</v>
      </c>
      <c r="B2527" s="80" t="s">
        <v>9514</v>
      </c>
    </row>
    <row r="2528" spans="1:2" x14ac:dyDescent="0.25">
      <c r="A2528" s="81" t="s">
        <v>4736</v>
      </c>
      <c r="B2528" s="80" t="s">
        <v>9514</v>
      </c>
    </row>
    <row r="2529" spans="1:2" x14ac:dyDescent="0.25">
      <c r="A2529" s="81" t="s">
        <v>4737</v>
      </c>
      <c r="B2529" s="80" t="s">
        <v>9514</v>
      </c>
    </row>
    <row r="2530" spans="1:2" x14ac:dyDescent="0.25">
      <c r="A2530" s="81" t="s">
        <v>4738</v>
      </c>
      <c r="B2530" s="80" t="s">
        <v>9514</v>
      </c>
    </row>
    <row r="2531" spans="1:2" x14ac:dyDescent="0.25">
      <c r="A2531" s="81" t="s">
        <v>4739</v>
      </c>
      <c r="B2531" s="80" t="s">
        <v>9514</v>
      </c>
    </row>
    <row r="2532" spans="1:2" x14ac:dyDescent="0.25">
      <c r="A2532" s="81" t="s">
        <v>4740</v>
      </c>
      <c r="B2532" s="80" t="s">
        <v>9514</v>
      </c>
    </row>
    <row r="2533" spans="1:2" x14ac:dyDescent="0.25">
      <c r="A2533" s="81" t="s">
        <v>4741</v>
      </c>
      <c r="B2533" s="80" t="s">
        <v>9514</v>
      </c>
    </row>
    <row r="2534" spans="1:2" x14ac:dyDescent="0.25">
      <c r="A2534" s="81" t="s">
        <v>4742</v>
      </c>
      <c r="B2534" s="80" t="s">
        <v>9514</v>
      </c>
    </row>
    <row r="2535" spans="1:2" x14ac:dyDescent="0.25">
      <c r="A2535" s="81" t="s">
        <v>4743</v>
      </c>
      <c r="B2535" s="80" t="s">
        <v>9515</v>
      </c>
    </row>
    <row r="2536" spans="1:2" x14ac:dyDescent="0.25">
      <c r="A2536" s="81" t="s">
        <v>4744</v>
      </c>
      <c r="B2536" s="80" t="s">
        <v>9515</v>
      </c>
    </row>
    <row r="2537" spans="1:2" x14ac:dyDescent="0.25">
      <c r="A2537" s="81" t="s">
        <v>4745</v>
      </c>
      <c r="B2537" s="80" t="s">
        <v>9515</v>
      </c>
    </row>
    <row r="2538" spans="1:2" x14ac:dyDescent="0.25">
      <c r="A2538" s="81" t="s">
        <v>4746</v>
      </c>
      <c r="B2538" s="80" t="s">
        <v>9515</v>
      </c>
    </row>
    <row r="2539" spans="1:2" x14ac:dyDescent="0.25">
      <c r="A2539" s="81" t="s">
        <v>4747</v>
      </c>
      <c r="B2539" s="80" t="s">
        <v>9515</v>
      </c>
    </row>
    <row r="2540" spans="1:2" x14ac:dyDescent="0.25">
      <c r="A2540" s="81" t="s">
        <v>4748</v>
      </c>
      <c r="B2540" s="80" t="s">
        <v>9515</v>
      </c>
    </row>
    <row r="2541" spans="1:2" x14ac:dyDescent="0.25">
      <c r="A2541" s="81" t="s">
        <v>4749</v>
      </c>
      <c r="B2541" s="80" t="s">
        <v>9515</v>
      </c>
    </row>
    <row r="2542" spans="1:2" x14ac:dyDescent="0.25">
      <c r="A2542" s="81" t="s">
        <v>4750</v>
      </c>
      <c r="B2542" s="80" t="s">
        <v>9515</v>
      </c>
    </row>
    <row r="2543" spans="1:2" x14ac:dyDescent="0.25">
      <c r="A2543" s="81" t="s">
        <v>4751</v>
      </c>
      <c r="B2543" s="80" t="s">
        <v>9515</v>
      </c>
    </row>
    <row r="2544" spans="1:2" x14ac:dyDescent="0.25">
      <c r="A2544" s="81" t="s">
        <v>4752</v>
      </c>
      <c r="B2544" s="80" t="s">
        <v>9515</v>
      </c>
    </row>
    <row r="2545" spans="1:2" x14ac:dyDescent="0.25">
      <c r="A2545" s="81" t="s">
        <v>4753</v>
      </c>
      <c r="B2545" s="80" t="s">
        <v>9515</v>
      </c>
    </row>
    <row r="2546" spans="1:2" x14ac:dyDescent="0.25">
      <c r="A2546" s="81" t="s">
        <v>4754</v>
      </c>
      <c r="B2546" s="80" t="s">
        <v>9515</v>
      </c>
    </row>
    <row r="2547" spans="1:2" x14ac:dyDescent="0.25">
      <c r="A2547" s="81" t="s">
        <v>4755</v>
      </c>
      <c r="B2547" s="80" t="s">
        <v>9515</v>
      </c>
    </row>
    <row r="2548" spans="1:2" x14ac:dyDescent="0.25">
      <c r="A2548" s="81" t="s">
        <v>4756</v>
      </c>
      <c r="B2548" s="80" t="s">
        <v>9515</v>
      </c>
    </row>
    <row r="2549" spans="1:2" x14ac:dyDescent="0.25">
      <c r="A2549" s="81" t="s">
        <v>4757</v>
      </c>
      <c r="B2549" s="80" t="s">
        <v>9515</v>
      </c>
    </row>
    <row r="2550" spans="1:2" x14ac:dyDescent="0.25">
      <c r="A2550" s="81" t="s">
        <v>4758</v>
      </c>
      <c r="B2550" s="80" t="s">
        <v>9515</v>
      </c>
    </row>
    <row r="2551" spans="1:2" x14ac:dyDescent="0.25">
      <c r="A2551" s="81" t="s">
        <v>4759</v>
      </c>
      <c r="B2551" s="80" t="s">
        <v>9515</v>
      </c>
    </row>
    <row r="2552" spans="1:2" x14ac:dyDescent="0.25">
      <c r="A2552" s="81" t="s">
        <v>4760</v>
      </c>
      <c r="B2552" s="80" t="s">
        <v>9515</v>
      </c>
    </row>
    <row r="2553" spans="1:2" x14ac:dyDescent="0.25">
      <c r="A2553" s="81" t="s">
        <v>4761</v>
      </c>
      <c r="B2553" s="80" t="s">
        <v>9515</v>
      </c>
    </row>
    <row r="2554" spans="1:2" x14ac:dyDescent="0.25">
      <c r="A2554" s="81" t="s">
        <v>4762</v>
      </c>
      <c r="B2554" s="80" t="s">
        <v>9515</v>
      </c>
    </row>
    <row r="2555" spans="1:2" x14ac:dyDescent="0.25">
      <c r="A2555" s="81" t="s">
        <v>4763</v>
      </c>
      <c r="B2555" s="80" t="s">
        <v>9515</v>
      </c>
    </row>
    <row r="2556" spans="1:2" x14ac:dyDescent="0.25">
      <c r="A2556" s="81" t="s">
        <v>4764</v>
      </c>
      <c r="B2556" s="80" t="s">
        <v>9515</v>
      </c>
    </row>
    <row r="2557" spans="1:2" x14ac:dyDescent="0.25">
      <c r="A2557" s="81" t="s">
        <v>4765</v>
      </c>
      <c r="B2557" s="80" t="s">
        <v>9515</v>
      </c>
    </row>
    <row r="2558" spans="1:2" x14ac:dyDescent="0.25">
      <c r="A2558" s="81" t="s">
        <v>4766</v>
      </c>
      <c r="B2558" s="80" t="s">
        <v>9515</v>
      </c>
    </row>
    <row r="2559" spans="1:2" x14ac:dyDescent="0.25">
      <c r="A2559" s="81" t="s">
        <v>4767</v>
      </c>
      <c r="B2559" s="80" t="s">
        <v>9515</v>
      </c>
    </row>
    <row r="2560" spans="1:2" x14ac:dyDescent="0.25">
      <c r="A2560" s="81" t="s">
        <v>4768</v>
      </c>
      <c r="B2560" s="80" t="s">
        <v>9515</v>
      </c>
    </row>
    <row r="2561" spans="1:2" x14ac:dyDescent="0.25">
      <c r="A2561" s="81" t="s">
        <v>4769</v>
      </c>
      <c r="B2561" s="80" t="s">
        <v>9515</v>
      </c>
    </row>
    <row r="2562" spans="1:2" x14ac:dyDescent="0.25">
      <c r="A2562" s="81" t="s">
        <v>4770</v>
      </c>
      <c r="B2562" s="80" t="s">
        <v>9515</v>
      </c>
    </row>
    <row r="2563" spans="1:2" x14ac:dyDescent="0.25">
      <c r="A2563" s="81" t="s">
        <v>4771</v>
      </c>
      <c r="B2563" s="80" t="s">
        <v>9515</v>
      </c>
    </row>
    <row r="2564" spans="1:2" x14ac:dyDescent="0.25">
      <c r="A2564" s="81" t="s">
        <v>4772</v>
      </c>
      <c r="B2564" s="80" t="s">
        <v>9515</v>
      </c>
    </row>
    <row r="2565" spans="1:2" x14ac:dyDescent="0.25">
      <c r="A2565" s="81" t="s">
        <v>4773</v>
      </c>
      <c r="B2565" s="80" t="s">
        <v>9515</v>
      </c>
    </row>
    <row r="2566" spans="1:2" x14ac:dyDescent="0.25">
      <c r="A2566" s="81" t="s">
        <v>4774</v>
      </c>
      <c r="B2566" s="80" t="s">
        <v>9515</v>
      </c>
    </row>
    <row r="2567" spans="1:2" x14ac:dyDescent="0.25">
      <c r="A2567" s="81" t="s">
        <v>4775</v>
      </c>
      <c r="B2567" s="80" t="s">
        <v>9515</v>
      </c>
    </row>
    <row r="2568" spans="1:2" x14ac:dyDescent="0.25">
      <c r="A2568" s="81" t="s">
        <v>4776</v>
      </c>
      <c r="B2568" s="80" t="s">
        <v>9515</v>
      </c>
    </row>
    <row r="2569" spans="1:2" x14ac:dyDescent="0.25">
      <c r="A2569" s="81" t="s">
        <v>4777</v>
      </c>
      <c r="B2569" s="80" t="s">
        <v>9515</v>
      </c>
    </row>
    <row r="2570" spans="1:2" x14ac:dyDescent="0.25">
      <c r="A2570" s="81" t="s">
        <v>4778</v>
      </c>
      <c r="B2570" s="80" t="s">
        <v>9515</v>
      </c>
    </row>
    <row r="2571" spans="1:2" x14ac:dyDescent="0.25">
      <c r="A2571" s="81" t="s">
        <v>4779</v>
      </c>
      <c r="B2571" s="80" t="s">
        <v>9515</v>
      </c>
    </row>
    <row r="2572" spans="1:2" x14ac:dyDescent="0.25">
      <c r="A2572" s="81" t="s">
        <v>4780</v>
      </c>
      <c r="B2572" s="80" t="s">
        <v>9515</v>
      </c>
    </row>
    <row r="2573" spans="1:2" x14ac:dyDescent="0.25">
      <c r="A2573" s="81" t="s">
        <v>4781</v>
      </c>
      <c r="B2573" s="80" t="s">
        <v>9515</v>
      </c>
    </row>
    <row r="2574" spans="1:2" x14ac:dyDescent="0.25">
      <c r="A2574" s="81" t="s">
        <v>4782</v>
      </c>
      <c r="B2574" s="80" t="s">
        <v>9515</v>
      </c>
    </row>
    <row r="2575" spans="1:2" x14ac:dyDescent="0.25">
      <c r="A2575" s="81" t="s">
        <v>4783</v>
      </c>
      <c r="B2575" s="80" t="s">
        <v>9515</v>
      </c>
    </row>
    <row r="2576" spans="1:2" x14ac:dyDescent="0.25">
      <c r="A2576" s="81" t="s">
        <v>4784</v>
      </c>
      <c r="B2576" s="80" t="s">
        <v>9515</v>
      </c>
    </row>
    <row r="2577" spans="1:2" x14ac:dyDescent="0.25">
      <c r="A2577" s="81" t="s">
        <v>4785</v>
      </c>
      <c r="B2577" s="80" t="s">
        <v>9515</v>
      </c>
    </row>
    <row r="2578" spans="1:2" x14ac:dyDescent="0.25">
      <c r="A2578" s="81" t="s">
        <v>4786</v>
      </c>
      <c r="B2578" s="80" t="s">
        <v>9515</v>
      </c>
    </row>
    <row r="2579" spans="1:2" x14ac:dyDescent="0.25">
      <c r="A2579" s="81" t="s">
        <v>4787</v>
      </c>
      <c r="B2579" s="80" t="s">
        <v>9515</v>
      </c>
    </row>
    <row r="2580" spans="1:2" x14ac:dyDescent="0.25">
      <c r="A2580" s="81" t="s">
        <v>4788</v>
      </c>
      <c r="B2580" s="80" t="s">
        <v>9515</v>
      </c>
    </row>
    <row r="2581" spans="1:2" x14ac:dyDescent="0.25">
      <c r="A2581" s="81" t="s">
        <v>4789</v>
      </c>
      <c r="B2581" s="80" t="s">
        <v>9515</v>
      </c>
    </row>
    <row r="2582" spans="1:2" x14ac:dyDescent="0.25">
      <c r="A2582" s="81" t="s">
        <v>4790</v>
      </c>
      <c r="B2582" s="80" t="s">
        <v>9515</v>
      </c>
    </row>
    <row r="2583" spans="1:2" x14ac:dyDescent="0.25">
      <c r="A2583" s="81" t="s">
        <v>4791</v>
      </c>
      <c r="B2583" s="80" t="s">
        <v>9515</v>
      </c>
    </row>
    <row r="2584" spans="1:2" x14ac:dyDescent="0.25">
      <c r="A2584" s="81" t="s">
        <v>4792</v>
      </c>
      <c r="B2584" s="80" t="s">
        <v>9515</v>
      </c>
    </row>
    <row r="2585" spans="1:2" x14ac:dyDescent="0.25">
      <c r="A2585" s="81" t="s">
        <v>4793</v>
      </c>
      <c r="B2585" s="80" t="s">
        <v>9515</v>
      </c>
    </row>
    <row r="2586" spans="1:2" x14ac:dyDescent="0.25">
      <c r="A2586" s="81" t="s">
        <v>4794</v>
      </c>
      <c r="B2586" s="80" t="s">
        <v>9515</v>
      </c>
    </row>
    <row r="2587" spans="1:2" x14ac:dyDescent="0.25">
      <c r="A2587" s="81" t="s">
        <v>4795</v>
      </c>
      <c r="B2587" s="80" t="s">
        <v>9515</v>
      </c>
    </row>
    <row r="2588" spans="1:2" x14ac:dyDescent="0.25">
      <c r="A2588" s="81" t="s">
        <v>4796</v>
      </c>
      <c r="B2588" s="80" t="s">
        <v>9515</v>
      </c>
    </row>
    <row r="2589" spans="1:2" x14ac:dyDescent="0.25">
      <c r="A2589" s="81" t="s">
        <v>4797</v>
      </c>
      <c r="B2589" s="80" t="s">
        <v>9515</v>
      </c>
    </row>
    <row r="2590" spans="1:2" x14ac:dyDescent="0.25">
      <c r="A2590" s="81" t="s">
        <v>4798</v>
      </c>
      <c r="B2590" s="80" t="s">
        <v>9515</v>
      </c>
    </row>
    <row r="2591" spans="1:2" x14ac:dyDescent="0.25">
      <c r="A2591" s="81" t="s">
        <v>4799</v>
      </c>
      <c r="B2591" s="80" t="s">
        <v>9515</v>
      </c>
    </row>
    <row r="2592" spans="1:2" x14ac:dyDescent="0.25">
      <c r="A2592" s="81" t="s">
        <v>4800</v>
      </c>
      <c r="B2592" s="80" t="s">
        <v>9515</v>
      </c>
    </row>
    <row r="2593" spans="1:2" x14ac:dyDescent="0.25">
      <c r="A2593" s="81" t="s">
        <v>4801</v>
      </c>
      <c r="B2593" s="80" t="s">
        <v>9515</v>
      </c>
    </row>
    <row r="2594" spans="1:2" x14ac:dyDescent="0.25">
      <c r="A2594" s="81" t="s">
        <v>4802</v>
      </c>
      <c r="B2594" s="80" t="s">
        <v>9515</v>
      </c>
    </row>
    <row r="2595" spans="1:2" x14ac:dyDescent="0.25">
      <c r="A2595" s="81" t="s">
        <v>4803</v>
      </c>
      <c r="B2595" s="80" t="s">
        <v>9515</v>
      </c>
    </row>
    <row r="2596" spans="1:2" x14ac:dyDescent="0.25">
      <c r="A2596" s="81" t="s">
        <v>4804</v>
      </c>
      <c r="B2596" s="80" t="s">
        <v>9515</v>
      </c>
    </row>
    <row r="2597" spans="1:2" x14ac:dyDescent="0.25">
      <c r="A2597" s="81" t="s">
        <v>4805</v>
      </c>
      <c r="B2597" s="80" t="s">
        <v>9515</v>
      </c>
    </row>
    <row r="2598" spans="1:2" x14ac:dyDescent="0.25">
      <c r="A2598" s="81" t="s">
        <v>4806</v>
      </c>
      <c r="B2598" s="80" t="s">
        <v>9515</v>
      </c>
    </row>
    <row r="2599" spans="1:2" x14ac:dyDescent="0.25">
      <c r="A2599" s="81" t="s">
        <v>4807</v>
      </c>
      <c r="B2599" s="80" t="s">
        <v>9515</v>
      </c>
    </row>
    <row r="2600" spans="1:2" x14ac:dyDescent="0.25">
      <c r="A2600" s="81" t="s">
        <v>4808</v>
      </c>
      <c r="B2600" s="80" t="s">
        <v>9515</v>
      </c>
    </row>
    <row r="2601" spans="1:2" x14ac:dyDescent="0.25">
      <c r="A2601" s="81" t="s">
        <v>4809</v>
      </c>
      <c r="B2601" s="80" t="s">
        <v>9515</v>
      </c>
    </row>
    <row r="2602" spans="1:2" x14ac:dyDescent="0.25">
      <c r="A2602" s="81" t="s">
        <v>4810</v>
      </c>
      <c r="B2602" s="80" t="s">
        <v>9515</v>
      </c>
    </row>
    <row r="2603" spans="1:2" x14ac:dyDescent="0.25">
      <c r="A2603" s="81" t="s">
        <v>4811</v>
      </c>
      <c r="B2603" s="80" t="s">
        <v>9515</v>
      </c>
    </row>
    <row r="2604" spans="1:2" x14ac:dyDescent="0.25">
      <c r="A2604" s="81" t="s">
        <v>4812</v>
      </c>
      <c r="B2604" s="80" t="s">
        <v>9515</v>
      </c>
    </row>
    <row r="2605" spans="1:2" x14ac:dyDescent="0.25">
      <c r="A2605" s="81" t="s">
        <v>4813</v>
      </c>
      <c r="B2605" s="80" t="s">
        <v>9515</v>
      </c>
    </row>
    <row r="2606" spans="1:2" x14ac:dyDescent="0.25">
      <c r="A2606" s="81" t="s">
        <v>4814</v>
      </c>
      <c r="B2606" s="80" t="s">
        <v>9515</v>
      </c>
    </row>
    <row r="2607" spans="1:2" x14ac:dyDescent="0.25">
      <c r="A2607" s="81" t="s">
        <v>4815</v>
      </c>
      <c r="B2607" s="80" t="s">
        <v>9515</v>
      </c>
    </row>
    <row r="2608" spans="1:2" x14ac:dyDescent="0.25">
      <c r="A2608" s="81" t="s">
        <v>4816</v>
      </c>
      <c r="B2608" s="80" t="s">
        <v>9515</v>
      </c>
    </row>
    <row r="2609" spans="1:2" x14ac:dyDescent="0.25">
      <c r="A2609" s="81" t="s">
        <v>4817</v>
      </c>
      <c r="B2609" s="80" t="s">
        <v>9515</v>
      </c>
    </row>
    <row r="2610" spans="1:2" x14ac:dyDescent="0.25">
      <c r="A2610" s="81" t="s">
        <v>4818</v>
      </c>
      <c r="B2610" s="80" t="s">
        <v>9515</v>
      </c>
    </row>
    <row r="2611" spans="1:2" x14ac:dyDescent="0.25">
      <c r="A2611" s="81" t="s">
        <v>4819</v>
      </c>
      <c r="B2611" s="80" t="s">
        <v>9515</v>
      </c>
    </row>
    <row r="2612" spans="1:2" x14ac:dyDescent="0.25">
      <c r="A2612" s="81" t="s">
        <v>4820</v>
      </c>
      <c r="B2612" s="80" t="s">
        <v>9515</v>
      </c>
    </row>
    <row r="2613" spans="1:2" x14ac:dyDescent="0.25">
      <c r="A2613" s="81" t="s">
        <v>4821</v>
      </c>
      <c r="B2613" s="80" t="s">
        <v>9515</v>
      </c>
    </row>
    <row r="2614" spans="1:2" x14ac:dyDescent="0.25">
      <c r="A2614" s="81" t="s">
        <v>4822</v>
      </c>
      <c r="B2614" s="80" t="s">
        <v>9515</v>
      </c>
    </row>
    <row r="2615" spans="1:2" x14ac:dyDescent="0.25">
      <c r="A2615" s="81" t="s">
        <v>4823</v>
      </c>
      <c r="B2615" s="80" t="s">
        <v>9515</v>
      </c>
    </row>
    <row r="2616" spans="1:2" x14ac:dyDescent="0.25">
      <c r="A2616" s="81" t="s">
        <v>4824</v>
      </c>
      <c r="B2616" s="80" t="s">
        <v>9515</v>
      </c>
    </row>
    <row r="2617" spans="1:2" x14ac:dyDescent="0.25">
      <c r="A2617" s="81" t="s">
        <v>4825</v>
      </c>
      <c r="B2617" s="80" t="s">
        <v>9515</v>
      </c>
    </row>
    <row r="2618" spans="1:2" x14ac:dyDescent="0.25">
      <c r="A2618" s="81" t="s">
        <v>4826</v>
      </c>
      <c r="B2618" s="80" t="s">
        <v>9515</v>
      </c>
    </row>
    <row r="2619" spans="1:2" x14ac:dyDescent="0.25">
      <c r="A2619" s="81" t="s">
        <v>4827</v>
      </c>
      <c r="B2619" s="80" t="s">
        <v>9515</v>
      </c>
    </row>
    <row r="2620" spans="1:2" x14ac:dyDescent="0.25">
      <c r="A2620" s="81" t="s">
        <v>4828</v>
      </c>
      <c r="B2620" s="80" t="s">
        <v>9515</v>
      </c>
    </row>
    <row r="2621" spans="1:2" x14ac:dyDescent="0.25">
      <c r="A2621" s="81" t="s">
        <v>4829</v>
      </c>
      <c r="B2621" s="80" t="s">
        <v>9515</v>
      </c>
    </row>
    <row r="2622" spans="1:2" x14ac:dyDescent="0.25">
      <c r="A2622" s="81" t="s">
        <v>4830</v>
      </c>
      <c r="B2622" s="80" t="s">
        <v>9515</v>
      </c>
    </row>
    <row r="2623" spans="1:2" x14ac:dyDescent="0.25">
      <c r="A2623" s="81" t="s">
        <v>4831</v>
      </c>
      <c r="B2623" s="80" t="s">
        <v>9515</v>
      </c>
    </row>
    <row r="2624" spans="1:2" x14ac:dyDescent="0.25">
      <c r="A2624" s="81" t="s">
        <v>4832</v>
      </c>
      <c r="B2624" s="80" t="s">
        <v>9515</v>
      </c>
    </row>
    <row r="2625" spans="1:2" x14ac:dyDescent="0.25">
      <c r="A2625" s="81" t="s">
        <v>4833</v>
      </c>
      <c r="B2625" s="80" t="s">
        <v>9515</v>
      </c>
    </row>
    <row r="2626" spans="1:2" x14ac:dyDescent="0.25">
      <c r="A2626" s="81" t="s">
        <v>4834</v>
      </c>
      <c r="B2626" s="80" t="s">
        <v>9515</v>
      </c>
    </row>
    <row r="2627" spans="1:2" x14ac:dyDescent="0.25">
      <c r="A2627" s="81" t="s">
        <v>4835</v>
      </c>
      <c r="B2627" s="80" t="s">
        <v>9515</v>
      </c>
    </row>
    <row r="2628" spans="1:2" x14ac:dyDescent="0.25">
      <c r="A2628" s="81" t="s">
        <v>4836</v>
      </c>
      <c r="B2628" s="80" t="s">
        <v>9515</v>
      </c>
    </row>
    <row r="2629" spans="1:2" x14ac:dyDescent="0.25">
      <c r="A2629" s="81" t="s">
        <v>4837</v>
      </c>
      <c r="B2629" s="80" t="s">
        <v>9515</v>
      </c>
    </row>
    <row r="2630" spans="1:2" x14ac:dyDescent="0.25">
      <c r="A2630" s="81" t="s">
        <v>4838</v>
      </c>
      <c r="B2630" s="80" t="s">
        <v>9515</v>
      </c>
    </row>
    <row r="2631" spans="1:2" x14ac:dyDescent="0.25">
      <c r="A2631" s="81" t="s">
        <v>4839</v>
      </c>
      <c r="B2631" s="80" t="s">
        <v>9515</v>
      </c>
    </row>
    <row r="2632" spans="1:2" x14ac:dyDescent="0.25">
      <c r="A2632" s="81" t="s">
        <v>4840</v>
      </c>
      <c r="B2632" s="80" t="s">
        <v>9515</v>
      </c>
    </row>
    <row r="2633" spans="1:2" x14ac:dyDescent="0.25">
      <c r="A2633" s="81" t="s">
        <v>4841</v>
      </c>
      <c r="B2633" s="80" t="s">
        <v>9515</v>
      </c>
    </row>
    <row r="2634" spans="1:2" x14ac:dyDescent="0.25">
      <c r="A2634" s="81" t="s">
        <v>4842</v>
      </c>
      <c r="B2634" s="80" t="s">
        <v>9515</v>
      </c>
    </row>
    <row r="2635" spans="1:2" x14ac:dyDescent="0.25">
      <c r="A2635" s="81" t="s">
        <v>4843</v>
      </c>
      <c r="B2635" s="80" t="s">
        <v>9515</v>
      </c>
    </row>
    <row r="2636" spans="1:2" x14ac:dyDescent="0.25">
      <c r="A2636" s="81" t="s">
        <v>4844</v>
      </c>
      <c r="B2636" s="80" t="s">
        <v>9515</v>
      </c>
    </row>
    <row r="2637" spans="1:2" x14ac:dyDescent="0.25">
      <c r="A2637" s="81" t="s">
        <v>4845</v>
      </c>
      <c r="B2637" s="80" t="s">
        <v>9515</v>
      </c>
    </row>
    <row r="2638" spans="1:2" x14ac:dyDescent="0.25">
      <c r="A2638" s="81" t="s">
        <v>4846</v>
      </c>
      <c r="B2638" s="80" t="s">
        <v>9515</v>
      </c>
    </row>
    <row r="2639" spans="1:2" x14ac:dyDescent="0.25">
      <c r="A2639" s="81" t="s">
        <v>4847</v>
      </c>
      <c r="B2639" s="80" t="s">
        <v>9515</v>
      </c>
    </row>
    <row r="2640" spans="1:2" x14ac:dyDescent="0.25">
      <c r="A2640" s="81" t="s">
        <v>4848</v>
      </c>
      <c r="B2640" s="80" t="s">
        <v>9515</v>
      </c>
    </row>
    <row r="2641" spans="1:2" x14ac:dyDescent="0.25">
      <c r="A2641" s="81" t="s">
        <v>4849</v>
      </c>
      <c r="B2641" s="80" t="s">
        <v>9515</v>
      </c>
    </row>
    <row r="2642" spans="1:2" x14ac:dyDescent="0.25">
      <c r="A2642" s="81" t="s">
        <v>4850</v>
      </c>
      <c r="B2642" s="80" t="s">
        <v>9515</v>
      </c>
    </row>
    <row r="2643" spans="1:2" x14ac:dyDescent="0.25">
      <c r="A2643" s="81" t="s">
        <v>4851</v>
      </c>
      <c r="B2643" s="80" t="s">
        <v>9515</v>
      </c>
    </row>
    <row r="2644" spans="1:2" x14ac:dyDescent="0.25">
      <c r="A2644" s="81" t="s">
        <v>4852</v>
      </c>
      <c r="B2644" s="80" t="s">
        <v>9515</v>
      </c>
    </row>
    <row r="2645" spans="1:2" x14ac:dyDescent="0.25">
      <c r="A2645" s="81" t="s">
        <v>4853</v>
      </c>
      <c r="B2645" s="80" t="s">
        <v>9515</v>
      </c>
    </row>
    <row r="2646" spans="1:2" x14ac:dyDescent="0.25">
      <c r="A2646" s="81" t="s">
        <v>4854</v>
      </c>
      <c r="B2646" s="80" t="s">
        <v>9515</v>
      </c>
    </row>
    <row r="2647" spans="1:2" x14ac:dyDescent="0.25">
      <c r="A2647" s="81" t="s">
        <v>4855</v>
      </c>
      <c r="B2647" s="80" t="s">
        <v>9515</v>
      </c>
    </row>
    <row r="2648" spans="1:2" x14ac:dyDescent="0.25">
      <c r="A2648" s="81" t="s">
        <v>4856</v>
      </c>
      <c r="B2648" s="80" t="s">
        <v>9515</v>
      </c>
    </row>
    <row r="2649" spans="1:2" x14ac:dyDescent="0.25">
      <c r="A2649" s="81" t="s">
        <v>4857</v>
      </c>
      <c r="B2649" s="80" t="s">
        <v>9515</v>
      </c>
    </row>
    <row r="2650" spans="1:2" x14ac:dyDescent="0.25">
      <c r="A2650" s="81" t="s">
        <v>4858</v>
      </c>
      <c r="B2650" s="80" t="s">
        <v>9515</v>
      </c>
    </row>
    <row r="2651" spans="1:2" x14ac:dyDescent="0.25">
      <c r="A2651" s="81" t="s">
        <v>4859</v>
      </c>
      <c r="B2651" s="80" t="s">
        <v>9515</v>
      </c>
    </row>
    <row r="2652" spans="1:2" x14ac:dyDescent="0.25">
      <c r="A2652" s="81" t="s">
        <v>4860</v>
      </c>
      <c r="B2652" s="80" t="s">
        <v>9515</v>
      </c>
    </row>
    <row r="2653" spans="1:2" x14ac:dyDescent="0.25">
      <c r="A2653" s="81" t="s">
        <v>4861</v>
      </c>
      <c r="B2653" s="80" t="s">
        <v>9515</v>
      </c>
    </row>
    <row r="2654" spans="1:2" x14ac:dyDescent="0.25">
      <c r="A2654" s="81" t="s">
        <v>4862</v>
      </c>
      <c r="B2654" s="80" t="s">
        <v>9515</v>
      </c>
    </row>
    <row r="2655" spans="1:2" x14ac:dyDescent="0.25">
      <c r="A2655" s="81" t="s">
        <v>4863</v>
      </c>
      <c r="B2655" s="80" t="s">
        <v>9515</v>
      </c>
    </row>
    <row r="2656" spans="1:2" x14ac:dyDescent="0.25">
      <c r="A2656" s="81" t="s">
        <v>4864</v>
      </c>
      <c r="B2656" s="80" t="s">
        <v>9515</v>
      </c>
    </row>
    <row r="2657" spans="1:2" x14ac:dyDescent="0.25">
      <c r="A2657" s="81" t="s">
        <v>4865</v>
      </c>
      <c r="B2657" s="80" t="s">
        <v>9515</v>
      </c>
    </row>
    <row r="2658" spans="1:2" x14ac:dyDescent="0.25">
      <c r="A2658" s="81" t="s">
        <v>4866</v>
      </c>
      <c r="B2658" s="80" t="s">
        <v>9515</v>
      </c>
    </row>
    <row r="2659" spans="1:2" x14ac:dyDescent="0.25">
      <c r="A2659" s="81" t="s">
        <v>4867</v>
      </c>
      <c r="B2659" s="80" t="s">
        <v>9515</v>
      </c>
    </row>
    <row r="2660" spans="1:2" x14ac:dyDescent="0.25">
      <c r="A2660" s="81" t="s">
        <v>4868</v>
      </c>
      <c r="B2660" s="80" t="s">
        <v>9515</v>
      </c>
    </row>
    <row r="2661" spans="1:2" x14ac:dyDescent="0.25">
      <c r="A2661" s="81" t="s">
        <v>4869</v>
      </c>
      <c r="B2661" s="80" t="s">
        <v>9515</v>
      </c>
    </row>
    <row r="2662" spans="1:2" x14ac:dyDescent="0.25">
      <c r="A2662" s="81" t="s">
        <v>4870</v>
      </c>
      <c r="B2662" s="80" t="s">
        <v>9515</v>
      </c>
    </row>
    <row r="2663" spans="1:2" x14ac:dyDescent="0.25">
      <c r="A2663" s="81" t="s">
        <v>4871</v>
      </c>
      <c r="B2663" s="80" t="s">
        <v>9515</v>
      </c>
    </row>
    <row r="2664" spans="1:2" x14ac:dyDescent="0.25">
      <c r="A2664" s="81" t="s">
        <v>4872</v>
      </c>
      <c r="B2664" s="80" t="s">
        <v>9515</v>
      </c>
    </row>
    <row r="2665" spans="1:2" x14ac:dyDescent="0.25">
      <c r="A2665" s="81" t="s">
        <v>4873</v>
      </c>
      <c r="B2665" s="80" t="s">
        <v>9515</v>
      </c>
    </row>
    <row r="2666" spans="1:2" x14ac:dyDescent="0.25">
      <c r="A2666" s="81" t="s">
        <v>4874</v>
      </c>
      <c r="B2666" s="80" t="s">
        <v>9515</v>
      </c>
    </row>
    <row r="2667" spans="1:2" x14ac:dyDescent="0.25">
      <c r="A2667" s="81" t="s">
        <v>4875</v>
      </c>
      <c r="B2667" s="80" t="s">
        <v>9515</v>
      </c>
    </row>
    <row r="2668" spans="1:2" x14ac:dyDescent="0.25">
      <c r="A2668" s="81" t="s">
        <v>4876</v>
      </c>
      <c r="B2668" s="80" t="s">
        <v>9515</v>
      </c>
    </row>
    <row r="2669" spans="1:2" x14ac:dyDescent="0.25">
      <c r="A2669" s="81" t="s">
        <v>4877</v>
      </c>
      <c r="B2669" s="80" t="s">
        <v>9515</v>
      </c>
    </row>
    <row r="2670" spans="1:2" x14ac:dyDescent="0.25">
      <c r="A2670" s="81" t="s">
        <v>4878</v>
      </c>
      <c r="B2670" s="80" t="s">
        <v>9515</v>
      </c>
    </row>
    <row r="2671" spans="1:2" x14ac:dyDescent="0.25">
      <c r="A2671" s="81" t="s">
        <v>4879</v>
      </c>
      <c r="B2671" s="80" t="s">
        <v>9515</v>
      </c>
    </row>
    <row r="2672" spans="1:2" x14ac:dyDescent="0.25">
      <c r="A2672" s="81" t="s">
        <v>4880</v>
      </c>
      <c r="B2672" s="80" t="s">
        <v>9515</v>
      </c>
    </row>
    <row r="2673" spans="1:2" x14ac:dyDescent="0.25">
      <c r="A2673" s="81" t="s">
        <v>4881</v>
      </c>
      <c r="B2673" s="80" t="s">
        <v>9515</v>
      </c>
    </row>
    <row r="2674" spans="1:2" x14ac:dyDescent="0.25">
      <c r="A2674" s="81" t="s">
        <v>4882</v>
      </c>
      <c r="B2674" s="80" t="s">
        <v>9515</v>
      </c>
    </row>
    <row r="2675" spans="1:2" x14ac:dyDescent="0.25">
      <c r="A2675" s="81" t="s">
        <v>4883</v>
      </c>
      <c r="B2675" s="80" t="s">
        <v>9515</v>
      </c>
    </row>
    <row r="2676" spans="1:2" x14ac:dyDescent="0.25">
      <c r="A2676" s="81" t="s">
        <v>4884</v>
      </c>
      <c r="B2676" s="80" t="s">
        <v>9515</v>
      </c>
    </row>
    <row r="2677" spans="1:2" x14ac:dyDescent="0.25">
      <c r="A2677" s="81" t="s">
        <v>4885</v>
      </c>
      <c r="B2677" s="80" t="s">
        <v>9515</v>
      </c>
    </row>
    <row r="2678" spans="1:2" x14ac:dyDescent="0.25">
      <c r="A2678" s="81" t="s">
        <v>4886</v>
      </c>
      <c r="B2678" s="80" t="s">
        <v>9515</v>
      </c>
    </row>
    <row r="2679" spans="1:2" x14ac:dyDescent="0.25">
      <c r="A2679" s="81" t="s">
        <v>4887</v>
      </c>
      <c r="B2679" s="80" t="s">
        <v>9515</v>
      </c>
    </row>
    <row r="2680" spans="1:2" x14ac:dyDescent="0.25">
      <c r="A2680" s="81" t="s">
        <v>4888</v>
      </c>
      <c r="B2680" s="80" t="s">
        <v>9515</v>
      </c>
    </row>
    <row r="2681" spans="1:2" x14ac:dyDescent="0.25">
      <c r="A2681" s="81" t="s">
        <v>4889</v>
      </c>
      <c r="B2681" s="80" t="s">
        <v>9515</v>
      </c>
    </row>
    <row r="2682" spans="1:2" x14ac:dyDescent="0.25">
      <c r="A2682" s="81" t="s">
        <v>4890</v>
      </c>
      <c r="B2682" s="80" t="s">
        <v>9515</v>
      </c>
    </row>
    <row r="2683" spans="1:2" x14ac:dyDescent="0.25">
      <c r="A2683" s="81" t="s">
        <v>4891</v>
      </c>
      <c r="B2683" s="80" t="s">
        <v>9515</v>
      </c>
    </row>
    <row r="2684" spans="1:2" x14ac:dyDescent="0.25">
      <c r="A2684" s="81" t="s">
        <v>4892</v>
      </c>
      <c r="B2684" s="80" t="s">
        <v>9515</v>
      </c>
    </row>
    <row r="2685" spans="1:2" x14ac:dyDescent="0.25">
      <c r="A2685" s="81" t="s">
        <v>4893</v>
      </c>
      <c r="B2685" s="80" t="s">
        <v>9515</v>
      </c>
    </row>
    <row r="2686" spans="1:2" x14ac:dyDescent="0.25">
      <c r="A2686" s="81" t="s">
        <v>4894</v>
      </c>
      <c r="B2686" s="80" t="s">
        <v>9515</v>
      </c>
    </row>
    <row r="2687" spans="1:2" x14ac:dyDescent="0.25">
      <c r="A2687" s="81" t="s">
        <v>4895</v>
      </c>
      <c r="B2687" s="80" t="s">
        <v>9515</v>
      </c>
    </row>
    <row r="2688" spans="1:2" x14ac:dyDescent="0.25">
      <c r="A2688" s="81" t="s">
        <v>4896</v>
      </c>
      <c r="B2688" s="80" t="s">
        <v>9515</v>
      </c>
    </row>
    <row r="2689" spans="1:2" x14ac:dyDescent="0.25">
      <c r="A2689" s="81" t="s">
        <v>4897</v>
      </c>
      <c r="B2689" s="80" t="s">
        <v>9515</v>
      </c>
    </row>
    <row r="2690" spans="1:2" x14ac:dyDescent="0.25">
      <c r="A2690" s="81" t="s">
        <v>4898</v>
      </c>
      <c r="B2690" s="80" t="s">
        <v>9515</v>
      </c>
    </row>
    <row r="2691" spans="1:2" x14ac:dyDescent="0.25">
      <c r="A2691" s="81" t="s">
        <v>4899</v>
      </c>
      <c r="B2691" s="80" t="s">
        <v>9515</v>
      </c>
    </row>
    <row r="2692" spans="1:2" x14ac:dyDescent="0.25">
      <c r="A2692" s="81" t="s">
        <v>4900</v>
      </c>
      <c r="B2692" s="80" t="s">
        <v>9515</v>
      </c>
    </row>
    <row r="2693" spans="1:2" x14ac:dyDescent="0.25">
      <c r="A2693" s="81" t="s">
        <v>4901</v>
      </c>
      <c r="B2693" s="80" t="s">
        <v>9515</v>
      </c>
    </row>
    <row r="2694" spans="1:2" x14ac:dyDescent="0.25">
      <c r="A2694" s="81" t="s">
        <v>4902</v>
      </c>
      <c r="B2694" s="80" t="s">
        <v>9515</v>
      </c>
    </row>
    <row r="2695" spans="1:2" x14ac:dyDescent="0.25">
      <c r="A2695" s="81" t="s">
        <v>4903</v>
      </c>
      <c r="B2695" s="80" t="s">
        <v>9515</v>
      </c>
    </row>
    <row r="2696" spans="1:2" x14ac:dyDescent="0.25">
      <c r="A2696" s="81" t="s">
        <v>4904</v>
      </c>
      <c r="B2696" s="80" t="s">
        <v>9515</v>
      </c>
    </row>
    <row r="2697" spans="1:2" x14ac:dyDescent="0.25">
      <c r="A2697" s="81" t="s">
        <v>4905</v>
      </c>
      <c r="B2697" s="80" t="s">
        <v>9515</v>
      </c>
    </row>
    <row r="2698" spans="1:2" x14ac:dyDescent="0.25">
      <c r="A2698" s="81" t="s">
        <v>4906</v>
      </c>
      <c r="B2698" s="80" t="s">
        <v>9515</v>
      </c>
    </row>
    <row r="2699" spans="1:2" x14ac:dyDescent="0.25">
      <c r="A2699" s="81" t="s">
        <v>4907</v>
      </c>
      <c r="B2699" s="80" t="s">
        <v>9515</v>
      </c>
    </row>
    <row r="2700" spans="1:2" x14ac:dyDescent="0.25">
      <c r="A2700" s="81" t="s">
        <v>4908</v>
      </c>
      <c r="B2700" s="80" t="s">
        <v>9515</v>
      </c>
    </row>
    <row r="2701" spans="1:2" x14ac:dyDescent="0.25">
      <c r="A2701" s="81" t="s">
        <v>4909</v>
      </c>
      <c r="B2701" s="80" t="s">
        <v>9515</v>
      </c>
    </row>
    <row r="2702" spans="1:2" x14ac:dyDescent="0.25">
      <c r="A2702" s="81" t="s">
        <v>4910</v>
      </c>
      <c r="B2702" s="80" t="s">
        <v>9515</v>
      </c>
    </row>
    <row r="2703" spans="1:2" x14ac:dyDescent="0.25">
      <c r="A2703" s="81" t="s">
        <v>4911</v>
      </c>
      <c r="B2703" s="80" t="s">
        <v>9515</v>
      </c>
    </row>
    <row r="2704" spans="1:2" x14ac:dyDescent="0.25">
      <c r="A2704" s="81" t="s">
        <v>4912</v>
      </c>
      <c r="B2704" s="80" t="s">
        <v>9515</v>
      </c>
    </row>
    <row r="2705" spans="1:2" x14ac:dyDescent="0.25">
      <c r="A2705" s="81" t="s">
        <v>4913</v>
      </c>
      <c r="B2705" s="80" t="s">
        <v>9515</v>
      </c>
    </row>
    <row r="2706" spans="1:2" x14ac:dyDescent="0.25">
      <c r="A2706" s="81" t="s">
        <v>4914</v>
      </c>
      <c r="B2706" s="80" t="s">
        <v>9515</v>
      </c>
    </row>
    <row r="2707" spans="1:2" x14ac:dyDescent="0.25">
      <c r="A2707" s="81" t="s">
        <v>4915</v>
      </c>
      <c r="B2707" s="80" t="s">
        <v>9515</v>
      </c>
    </row>
    <row r="2708" spans="1:2" x14ac:dyDescent="0.25">
      <c r="A2708" s="81" t="s">
        <v>4916</v>
      </c>
      <c r="B2708" s="80" t="s">
        <v>9515</v>
      </c>
    </row>
    <row r="2709" spans="1:2" x14ac:dyDescent="0.25">
      <c r="A2709" s="81" t="s">
        <v>4917</v>
      </c>
      <c r="B2709" s="80" t="s">
        <v>9515</v>
      </c>
    </row>
    <row r="2710" spans="1:2" x14ac:dyDescent="0.25">
      <c r="A2710" s="81" t="s">
        <v>4918</v>
      </c>
      <c r="B2710" s="80" t="s">
        <v>9515</v>
      </c>
    </row>
    <row r="2711" spans="1:2" x14ac:dyDescent="0.25">
      <c r="A2711" s="81" t="s">
        <v>4919</v>
      </c>
      <c r="B2711" s="80" t="s">
        <v>9515</v>
      </c>
    </row>
    <row r="2712" spans="1:2" x14ac:dyDescent="0.25">
      <c r="A2712" s="81" t="s">
        <v>4920</v>
      </c>
      <c r="B2712" s="80" t="s">
        <v>9515</v>
      </c>
    </row>
    <row r="2713" spans="1:2" x14ac:dyDescent="0.25">
      <c r="A2713" s="81" t="s">
        <v>4921</v>
      </c>
      <c r="B2713" s="80" t="s">
        <v>9515</v>
      </c>
    </row>
    <row r="2714" spans="1:2" x14ac:dyDescent="0.25">
      <c r="A2714" s="81" t="s">
        <v>4922</v>
      </c>
      <c r="B2714" s="80" t="s">
        <v>9515</v>
      </c>
    </row>
    <row r="2715" spans="1:2" x14ac:dyDescent="0.25">
      <c r="A2715" s="81" t="s">
        <v>4923</v>
      </c>
      <c r="B2715" s="80" t="s">
        <v>9515</v>
      </c>
    </row>
    <row r="2716" spans="1:2" x14ac:dyDescent="0.25">
      <c r="A2716" s="81" t="s">
        <v>4924</v>
      </c>
      <c r="B2716" s="80" t="s">
        <v>9515</v>
      </c>
    </row>
    <row r="2717" spans="1:2" x14ac:dyDescent="0.25">
      <c r="A2717" s="81" t="s">
        <v>4925</v>
      </c>
      <c r="B2717" s="80" t="s">
        <v>9515</v>
      </c>
    </row>
    <row r="2718" spans="1:2" x14ac:dyDescent="0.25">
      <c r="A2718" s="81" t="s">
        <v>4926</v>
      </c>
      <c r="B2718" s="80" t="s">
        <v>9515</v>
      </c>
    </row>
    <row r="2719" spans="1:2" x14ac:dyDescent="0.25">
      <c r="A2719" s="81" t="s">
        <v>4927</v>
      </c>
      <c r="B2719" s="80" t="s">
        <v>9515</v>
      </c>
    </row>
    <row r="2720" spans="1:2" x14ac:dyDescent="0.25">
      <c r="A2720" s="81" t="s">
        <v>4928</v>
      </c>
      <c r="B2720" s="80" t="s">
        <v>9515</v>
      </c>
    </row>
    <row r="2721" spans="1:2" x14ac:dyDescent="0.25">
      <c r="A2721" s="81" t="s">
        <v>4929</v>
      </c>
      <c r="B2721" s="80" t="s">
        <v>9515</v>
      </c>
    </row>
    <row r="2722" spans="1:2" x14ac:dyDescent="0.25">
      <c r="A2722" s="81" t="s">
        <v>4930</v>
      </c>
      <c r="B2722" s="80" t="s">
        <v>9515</v>
      </c>
    </row>
    <row r="2723" spans="1:2" x14ac:dyDescent="0.25">
      <c r="A2723" s="81" t="s">
        <v>4931</v>
      </c>
      <c r="B2723" s="80" t="s">
        <v>9515</v>
      </c>
    </row>
    <row r="2724" spans="1:2" x14ac:dyDescent="0.25">
      <c r="A2724" s="81" t="s">
        <v>4932</v>
      </c>
      <c r="B2724" s="80" t="s">
        <v>9515</v>
      </c>
    </row>
    <row r="2725" spans="1:2" x14ac:dyDescent="0.25">
      <c r="A2725" s="81" t="s">
        <v>4933</v>
      </c>
      <c r="B2725" s="80" t="s">
        <v>9515</v>
      </c>
    </row>
    <row r="2726" spans="1:2" x14ac:dyDescent="0.25">
      <c r="A2726" s="81" t="s">
        <v>4934</v>
      </c>
      <c r="B2726" s="80" t="s">
        <v>9515</v>
      </c>
    </row>
    <row r="2727" spans="1:2" x14ac:dyDescent="0.25">
      <c r="A2727" s="81" t="s">
        <v>4935</v>
      </c>
      <c r="B2727" s="80" t="s">
        <v>9515</v>
      </c>
    </row>
    <row r="2728" spans="1:2" x14ac:dyDescent="0.25">
      <c r="A2728" s="81" t="s">
        <v>4936</v>
      </c>
      <c r="B2728" s="80" t="s">
        <v>9515</v>
      </c>
    </row>
    <row r="2729" spans="1:2" x14ac:dyDescent="0.25">
      <c r="A2729" s="81" t="s">
        <v>4937</v>
      </c>
      <c r="B2729" s="80" t="s">
        <v>9515</v>
      </c>
    </row>
    <row r="2730" spans="1:2" x14ac:dyDescent="0.25">
      <c r="A2730" s="81" t="s">
        <v>4938</v>
      </c>
      <c r="B2730" s="80" t="s">
        <v>9515</v>
      </c>
    </row>
    <row r="2731" spans="1:2" x14ac:dyDescent="0.25">
      <c r="A2731" s="81" t="s">
        <v>4939</v>
      </c>
      <c r="B2731" s="80" t="s">
        <v>9515</v>
      </c>
    </row>
    <row r="2732" spans="1:2" x14ac:dyDescent="0.25">
      <c r="A2732" s="81" t="s">
        <v>4940</v>
      </c>
      <c r="B2732" s="80" t="s">
        <v>9515</v>
      </c>
    </row>
    <row r="2733" spans="1:2" x14ac:dyDescent="0.25">
      <c r="A2733" s="81" t="s">
        <v>4941</v>
      </c>
      <c r="B2733" s="80" t="s">
        <v>9515</v>
      </c>
    </row>
    <row r="2734" spans="1:2" x14ac:dyDescent="0.25">
      <c r="A2734" s="81" t="s">
        <v>4942</v>
      </c>
      <c r="B2734" s="80" t="s">
        <v>9515</v>
      </c>
    </row>
    <row r="2735" spans="1:2" x14ac:dyDescent="0.25">
      <c r="A2735" s="81" t="s">
        <v>4943</v>
      </c>
      <c r="B2735" s="80" t="s">
        <v>9515</v>
      </c>
    </row>
    <row r="2736" spans="1:2" x14ac:dyDescent="0.25">
      <c r="A2736" s="81" t="s">
        <v>4944</v>
      </c>
      <c r="B2736" s="80" t="s">
        <v>9515</v>
      </c>
    </row>
    <row r="2737" spans="1:2" x14ac:dyDescent="0.25">
      <c r="A2737" s="81" t="s">
        <v>4945</v>
      </c>
      <c r="B2737" s="80" t="s">
        <v>9515</v>
      </c>
    </row>
    <row r="2738" spans="1:2" x14ac:dyDescent="0.25">
      <c r="A2738" s="81" t="s">
        <v>4946</v>
      </c>
      <c r="B2738" s="80" t="s">
        <v>9515</v>
      </c>
    </row>
    <row r="2739" spans="1:2" x14ac:dyDescent="0.25">
      <c r="A2739" s="81" t="s">
        <v>4947</v>
      </c>
      <c r="B2739" s="80" t="s">
        <v>9515</v>
      </c>
    </row>
    <row r="2740" spans="1:2" x14ac:dyDescent="0.25">
      <c r="A2740" s="81" t="s">
        <v>4948</v>
      </c>
      <c r="B2740" s="80" t="s">
        <v>9515</v>
      </c>
    </row>
    <row r="2741" spans="1:2" x14ac:dyDescent="0.25">
      <c r="A2741" s="81" t="s">
        <v>4949</v>
      </c>
      <c r="B2741" s="80" t="s">
        <v>9515</v>
      </c>
    </row>
    <row r="2742" spans="1:2" x14ac:dyDescent="0.25">
      <c r="A2742" s="81" t="s">
        <v>4950</v>
      </c>
      <c r="B2742" s="80" t="s">
        <v>9515</v>
      </c>
    </row>
    <row r="2743" spans="1:2" x14ac:dyDescent="0.25">
      <c r="A2743" s="81" t="s">
        <v>4951</v>
      </c>
      <c r="B2743" s="80" t="s">
        <v>9515</v>
      </c>
    </row>
    <row r="2744" spans="1:2" x14ac:dyDescent="0.25">
      <c r="A2744" s="81" t="s">
        <v>4952</v>
      </c>
      <c r="B2744" s="80" t="s">
        <v>9515</v>
      </c>
    </row>
    <row r="2745" spans="1:2" x14ac:dyDescent="0.25">
      <c r="A2745" s="81" t="s">
        <v>4953</v>
      </c>
      <c r="B2745" s="80" t="s">
        <v>9515</v>
      </c>
    </row>
    <row r="2746" spans="1:2" x14ac:dyDescent="0.25">
      <c r="A2746" s="81" t="s">
        <v>4954</v>
      </c>
      <c r="B2746" s="80" t="s">
        <v>9515</v>
      </c>
    </row>
    <row r="2747" spans="1:2" x14ac:dyDescent="0.25">
      <c r="A2747" s="81" t="s">
        <v>4955</v>
      </c>
      <c r="B2747" s="80" t="s">
        <v>9515</v>
      </c>
    </row>
    <row r="2748" spans="1:2" x14ac:dyDescent="0.25">
      <c r="A2748" s="81" t="s">
        <v>4956</v>
      </c>
      <c r="B2748" s="80" t="s">
        <v>9515</v>
      </c>
    </row>
    <row r="2749" spans="1:2" x14ac:dyDescent="0.25">
      <c r="A2749" s="81" t="s">
        <v>4957</v>
      </c>
      <c r="B2749" s="80" t="s">
        <v>9515</v>
      </c>
    </row>
    <row r="2750" spans="1:2" x14ac:dyDescent="0.25">
      <c r="A2750" s="81" t="s">
        <v>4958</v>
      </c>
      <c r="B2750" s="80" t="s">
        <v>9515</v>
      </c>
    </row>
    <row r="2751" spans="1:2" x14ac:dyDescent="0.25">
      <c r="A2751" s="81" t="s">
        <v>4959</v>
      </c>
      <c r="B2751" s="80" t="s">
        <v>9515</v>
      </c>
    </row>
    <row r="2752" spans="1:2" x14ac:dyDescent="0.25">
      <c r="A2752" s="81" t="s">
        <v>4960</v>
      </c>
      <c r="B2752" s="80" t="s">
        <v>9515</v>
      </c>
    </row>
    <row r="2753" spans="1:2" x14ac:dyDescent="0.25">
      <c r="A2753" s="81" t="s">
        <v>4961</v>
      </c>
      <c r="B2753" s="80" t="s">
        <v>9515</v>
      </c>
    </row>
    <row r="2754" spans="1:2" x14ac:dyDescent="0.25">
      <c r="A2754" s="81" t="s">
        <v>4962</v>
      </c>
      <c r="B2754" s="80" t="s">
        <v>9515</v>
      </c>
    </row>
    <row r="2755" spans="1:2" x14ac:dyDescent="0.25">
      <c r="A2755" s="81" t="s">
        <v>4963</v>
      </c>
      <c r="B2755" s="80" t="s">
        <v>9515</v>
      </c>
    </row>
    <row r="2756" spans="1:2" x14ac:dyDescent="0.25">
      <c r="A2756" s="81" t="s">
        <v>4964</v>
      </c>
      <c r="B2756" s="80" t="s">
        <v>9515</v>
      </c>
    </row>
    <row r="2757" spans="1:2" x14ac:dyDescent="0.25">
      <c r="A2757" s="81" t="s">
        <v>4965</v>
      </c>
      <c r="B2757" s="80" t="s">
        <v>9515</v>
      </c>
    </row>
    <row r="2758" spans="1:2" x14ac:dyDescent="0.25">
      <c r="A2758" s="81" t="s">
        <v>4966</v>
      </c>
      <c r="B2758" s="80" t="s">
        <v>9515</v>
      </c>
    </row>
    <row r="2759" spans="1:2" x14ac:dyDescent="0.25">
      <c r="A2759" s="81" t="s">
        <v>4967</v>
      </c>
      <c r="B2759" s="80" t="s">
        <v>9515</v>
      </c>
    </row>
    <row r="2760" spans="1:2" x14ac:dyDescent="0.25">
      <c r="A2760" s="81" t="s">
        <v>4968</v>
      </c>
      <c r="B2760" s="80" t="s">
        <v>9515</v>
      </c>
    </row>
    <row r="2761" spans="1:2" x14ac:dyDescent="0.25">
      <c r="A2761" s="81" t="s">
        <v>4969</v>
      </c>
      <c r="B2761" s="80" t="s">
        <v>9515</v>
      </c>
    </row>
    <row r="2762" spans="1:2" x14ac:dyDescent="0.25">
      <c r="A2762" s="81" t="s">
        <v>4970</v>
      </c>
      <c r="B2762" s="80" t="s">
        <v>9515</v>
      </c>
    </row>
    <row r="2763" spans="1:2" x14ac:dyDescent="0.25">
      <c r="A2763" s="81" t="s">
        <v>4971</v>
      </c>
      <c r="B2763" s="80" t="s">
        <v>9515</v>
      </c>
    </row>
    <row r="2764" spans="1:2" x14ac:dyDescent="0.25">
      <c r="A2764" s="81" t="s">
        <v>4972</v>
      </c>
      <c r="B2764" s="80" t="s">
        <v>9515</v>
      </c>
    </row>
    <row r="2765" spans="1:2" x14ac:dyDescent="0.25">
      <c r="A2765" s="81" t="s">
        <v>4973</v>
      </c>
      <c r="B2765" s="80" t="s">
        <v>9515</v>
      </c>
    </row>
    <row r="2766" spans="1:2" x14ac:dyDescent="0.25">
      <c r="A2766" s="81" t="s">
        <v>4974</v>
      </c>
      <c r="B2766" s="80" t="s">
        <v>9515</v>
      </c>
    </row>
    <row r="2767" spans="1:2" x14ac:dyDescent="0.25">
      <c r="A2767" s="81" t="s">
        <v>4975</v>
      </c>
      <c r="B2767" s="80" t="s">
        <v>9515</v>
      </c>
    </row>
    <row r="2768" spans="1:2" x14ac:dyDescent="0.25">
      <c r="A2768" s="81" t="s">
        <v>4976</v>
      </c>
      <c r="B2768" s="80" t="s">
        <v>9515</v>
      </c>
    </row>
    <row r="2769" spans="1:2" x14ac:dyDescent="0.25">
      <c r="A2769" s="81" t="s">
        <v>4977</v>
      </c>
      <c r="B2769" s="80" t="s">
        <v>9515</v>
      </c>
    </row>
    <row r="2770" spans="1:2" x14ac:dyDescent="0.25">
      <c r="A2770" s="81" t="s">
        <v>4978</v>
      </c>
      <c r="B2770" s="80" t="s">
        <v>9515</v>
      </c>
    </row>
    <row r="2771" spans="1:2" x14ac:dyDescent="0.25">
      <c r="A2771" s="81" t="s">
        <v>4979</v>
      </c>
      <c r="B2771" s="80" t="s">
        <v>9515</v>
      </c>
    </row>
    <row r="2772" spans="1:2" x14ac:dyDescent="0.25">
      <c r="A2772" s="81" t="s">
        <v>4980</v>
      </c>
      <c r="B2772" s="80" t="s">
        <v>9515</v>
      </c>
    </row>
    <row r="2773" spans="1:2" x14ac:dyDescent="0.25">
      <c r="A2773" s="81" t="s">
        <v>4981</v>
      </c>
      <c r="B2773" s="80" t="s">
        <v>9515</v>
      </c>
    </row>
    <row r="2774" spans="1:2" x14ac:dyDescent="0.25">
      <c r="A2774" s="81" t="s">
        <v>4982</v>
      </c>
      <c r="B2774" s="80" t="s">
        <v>9515</v>
      </c>
    </row>
    <row r="2775" spans="1:2" x14ac:dyDescent="0.25">
      <c r="A2775" s="81" t="s">
        <v>4983</v>
      </c>
      <c r="B2775" s="80" t="s">
        <v>9515</v>
      </c>
    </row>
    <row r="2776" spans="1:2" x14ac:dyDescent="0.25">
      <c r="A2776" s="81" t="s">
        <v>4984</v>
      </c>
      <c r="B2776" s="80" t="s">
        <v>9515</v>
      </c>
    </row>
    <row r="2777" spans="1:2" x14ac:dyDescent="0.25">
      <c r="A2777" s="81" t="s">
        <v>4985</v>
      </c>
      <c r="B2777" s="80" t="s">
        <v>9515</v>
      </c>
    </row>
    <row r="2778" spans="1:2" x14ac:dyDescent="0.25">
      <c r="A2778" s="81" t="s">
        <v>4986</v>
      </c>
      <c r="B2778" s="80" t="s">
        <v>9515</v>
      </c>
    </row>
    <row r="2779" spans="1:2" x14ac:dyDescent="0.25">
      <c r="A2779" s="81" t="s">
        <v>4987</v>
      </c>
      <c r="B2779" s="80" t="s">
        <v>9515</v>
      </c>
    </row>
    <row r="2780" spans="1:2" x14ac:dyDescent="0.25">
      <c r="A2780" s="81" t="s">
        <v>4988</v>
      </c>
      <c r="B2780" s="80" t="s">
        <v>9515</v>
      </c>
    </row>
    <row r="2781" spans="1:2" x14ac:dyDescent="0.25">
      <c r="A2781" s="81" t="s">
        <v>4989</v>
      </c>
      <c r="B2781" s="80" t="s">
        <v>9515</v>
      </c>
    </row>
    <row r="2782" spans="1:2" x14ac:dyDescent="0.25">
      <c r="A2782" s="81" t="s">
        <v>4990</v>
      </c>
      <c r="B2782" s="80" t="s">
        <v>9515</v>
      </c>
    </row>
    <row r="2783" spans="1:2" x14ac:dyDescent="0.25">
      <c r="A2783" s="81" t="s">
        <v>4991</v>
      </c>
      <c r="B2783" s="80" t="s">
        <v>9515</v>
      </c>
    </row>
    <row r="2784" spans="1:2" x14ac:dyDescent="0.25">
      <c r="A2784" s="81" t="s">
        <v>4992</v>
      </c>
      <c r="B2784" s="80" t="s">
        <v>9515</v>
      </c>
    </row>
    <row r="2785" spans="1:2" x14ac:dyDescent="0.25">
      <c r="A2785" s="81" t="s">
        <v>4993</v>
      </c>
      <c r="B2785" s="80" t="s">
        <v>9515</v>
      </c>
    </row>
    <row r="2786" spans="1:2" x14ac:dyDescent="0.25">
      <c r="A2786" s="81" t="s">
        <v>4994</v>
      </c>
      <c r="B2786" s="80" t="s">
        <v>9515</v>
      </c>
    </row>
    <row r="2787" spans="1:2" x14ac:dyDescent="0.25">
      <c r="A2787" s="81" t="s">
        <v>4995</v>
      </c>
      <c r="B2787" s="80" t="s">
        <v>9515</v>
      </c>
    </row>
    <row r="2788" spans="1:2" x14ac:dyDescent="0.25">
      <c r="A2788" s="81" t="s">
        <v>4996</v>
      </c>
      <c r="B2788" s="80" t="s">
        <v>9515</v>
      </c>
    </row>
    <row r="2789" spans="1:2" x14ac:dyDescent="0.25">
      <c r="A2789" s="81" t="s">
        <v>4997</v>
      </c>
      <c r="B2789" s="80" t="s">
        <v>9515</v>
      </c>
    </row>
    <row r="2790" spans="1:2" x14ac:dyDescent="0.25">
      <c r="A2790" s="81" t="s">
        <v>4998</v>
      </c>
      <c r="B2790" s="80" t="s">
        <v>9515</v>
      </c>
    </row>
    <row r="2791" spans="1:2" x14ac:dyDescent="0.25">
      <c r="A2791" s="81" t="s">
        <v>4999</v>
      </c>
      <c r="B2791" s="80" t="s">
        <v>9515</v>
      </c>
    </row>
    <row r="2792" spans="1:2" x14ac:dyDescent="0.25">
      <c r="A2792" s="81" t="s">
        <v>5000</v>
      </c>
      <c r="B2792" s="80" t="s">
        <v>9515</v>
      </c>
    </row>
    <row r="2793" spans="1:2" x14ac:dyDescent="0.25">
      <c r="A2793" s="81" t="s">
        <v>5001</v>
      </c>
      <c r="B2793" s="80" t="s">
        <v>9515</v>
      </c>
    </row>
    <row r="2794" spans="1:2" x14ac:dyDescent="0.25">
      <c r="A2794" s="81" t="s">
        <v>5002</v>
      </c>
      <c r="B2794" s="80" t="s">
        <v>9515</v>
      </c>
    </row>
    <row r="2795" spans="1:2" x14ac:dyDescent="0.25">
      <c r="A2795" s="81" t="s">
        <v>5003</v>
      </c>
      <c r="B2795" s="80" t="s">
        <v>9515</v>
      </c>
    </row>
    <row r="2796" spans="1:2" x14ac:dyDescent="0.25">
      <c r="A2796" s="81" t="s">
        <v>5004</v>
      </c>
      <c r="B2796" s="80" t="s">
        <v>9515</v>
      </c>
    </row>
    <row r="2797" spans="1:2" x14ac:dyDescent="0.25">
      <c r="A2797" s="81" t="s">
        <v>5005</v>
      </c>
      <c r="B2797" s="80" t="s">
        <v>9515</v>
      </c>
    </row>
    <row r="2798" spans="1:2" x14ac:dyDescent="0.25">
      <c r="A2798" s="81" t="s">
        <v>5006</v>
      </c>
      <c r="B2798" s="80" t="s">
        <v>9515</v>
      </c>
    </row>
    <row r="2799" spans="1:2" x14ac:dyDescent="0.25">
      <c r="A2799" s="81" t="s">
        <v>5007</v>
      </c>
      <c r="B2799" s="80" t="s">
        <v>9515</v>
      </c>
    </row>
    <row r="2800" spans="1:2" x14ac:dyDescent="0.25">
      <c r="A2800" s="81" t="s">
        <v>5008</v>
      </c>
      <c r="B2800" s="80" t="s">
        <v>9515</v>
      </c>
    </row>
    <row r="2801" spans="1:2" x14ac:dyDescent="0.25">
      <c r="A2801" s="81" t="s">
        <v>5009</v>
      </c>
      <c r="B2801" s="80" t="s">
        <v>9515</v>
      </c>
    </row>
    <row r="2802" spans="1:2" x14ac:dyDescent="0.25">
      <c r="A2802" s="81" t="s">
        <v>5010</v>
      </c>
      <c r="B2802" s="80" t="s">
        <v>9515</v>
      </c>
    </row>
    <row r="2803" spans="1:2" x14ac:dyDescent="0.25">
      <c r="A2803" s="81" t="s">
        <v>5011</v>
      </c>
      <c r="B2803" s="80" t="s">
        <v>9515</v>
      </c>
    </row>
    <row r="2804" spans="1:2" x14ac:dyDescent="0.25">
      <c r="A2804" s="81" t="s">
        <v>5012</v>
      </c>
      <c r="B2804" s="80" t="s">
        <v>9515</v>
      </c>
    </row>
    <row r="2805" spans="1:2" x14ac:dyDescent="0.25">
      <c r="A2805" s="81" t="s">
        <v>5013</v>
      </c>
      <c r="B2805" s="80" t="s">
        <v>9515</v>
      </c>
    </row>
    <row r="2806" spans="1:2" x14ac:dyDescent="0.25">
      <c r="A2806" s="81" t="s">
        <v>5014</v>
      </c>
      <c r="B2806" s="80" t="s">
        <v>9515</v>
      </c>
    </row>
    <row r="2807" spans="1:2" x14ac:dyDescent="0.25">
      <c r="A2807" s="81" t="s">
        <v>5015</v>
      </c>
      <c r="B2807" s="80" t="s">
        <v>9515</v>
      </c>
    </row>
    <row r="2808" spans="1:2" x14ac:dyDescent="0.25">
      <c r="A2808" s="81" t="s">
        <v>5016</v>
      </c>
      <c r="B2808" s="80" t="s">
        <v>9515</v>
      </c>
    </row>
    <row r="2809" spans="1:2" x14ac:dyDescent="0.25">
      <c r="A2809" s="81" t="s">
        <v>5017</v>
      </c>
      <c r="B2809" s="80" t="s">
        <v>9515</v>
      </c>
    </row>
    <row r="2810" spans="1:2" x14ac:dyDescent="0.25">
      <c r="A2810" s="81" t="s">
        <v>5018</v>
      </c>
      <c r="B2810" s="80" t="s">
        <v>9515</v>
      </c>
    </row>
    <row r="2811" spans="1:2" x14ac:dyDescent="0.25">
      <c r="A2811" s="81" t="s">
        <v>5019</v>
      </c>
      <c r="B2811" s="80" t="s">
        <v>9515</v>
      </c>
    </row>
    <row r="2812" spans="1:2" x14ac:dyDescent="0.25">
      <c r="A2812" s="81" t="s">
        <v>5020</v>
      </c>
      <c r="B2812" s="80" t="s">
        <v>9515</v>
      </c>
    </row>
    <row r="2813" spans="1:2" x14ac:dyDescent="0.25">
      <c r="A2813" s="81" t="s">
        <v>5021</v>
      </c>
      <c r="B2813" s="80" t="s">
        <v>9515</v>
      </c>
    </row>
    <row r="2814" spans="1:2" x14ac:dyDescent="0.25">
      <c r="A2814" s="81" t="s">
        <v>5022</v>
      </c>
      <c r="B2814" s="80" t="s">
        <v>9515</v>
      </c>
    </row>
    <row r="2815" spans="1:2" x14ac:dyDescent="0.25">
      <c r="A2815" s="81" t="s">
        <v>5023</v>
      </c>
      <c r="B2815" s="80" t="s">
        <v>9515</v>
      </c>
    </row>
    <row r="2816" spans="1:2" x14ac:dyDescent="0.25">
      <c r="A2816" s="81" t="s">
        <v>5024</v>
      </c>
      <c r="B2816" s="80" t="s">
        <v>9515</v>
      </c>
    </row>
    <row r="2817" spans="1:2" x14ac:dyDescent="0.25">
      <c r="A2817" s="81" t="s">
        <v>5025</v>
      </c>
      <c r="B2817" s="80" t="s">
        <v>9515</v>
      </c>
    </row>
    <row r="2818" spans="1:2" x14ac:dyDescent="0.25">
      <c r="A2818" s="81" t="s">
        <v>5026</v>
      </c>
      <c r="B2818" s="80" t="s">
        <v>9515</v>
      </c>
    </row>
    <row r="2819" spans="1:2" x14ac:dyDescent="0.25">
      <c r="A2819" s="81" t="s">
        <v>5027</v>
      </c>
      <c r="B2819" s="80" t="s">
        <v>9515</v>
      </c>
    </row>
    <row r="2820" spans="1:2" x14ac:dyDescent="0.25">
      <c r="A2820" s="81" t="s">
        <v>5028</v>
      </c>
      <c r="B2820" s="80" t="s">
        <v>9515</v>
      </c>
    </row>
    <row r="2821" spans="1:2" x14ac:dyDescent="0.25">
      <c r="A2821" s="81" t="s">
        <v>5029</v>
      </c>
      <c r="B2821" s="80" t="s">
        <v>9515</v>
      </c>
    </row>
    <row r="2822" spans="1:2" x14ac:dyDescent="0.25">
      <c r="A2822" s="81" t="s">
        <v>5030</v>
      </c>
      <c r="B2822" s="80" t="s">
        <v>9515</v>
      </c>
    </row>
    <row r="2823" spans="1:2" x14ac:dyDescent="0.25">
      <c r="A2823" s="81" t="s">
        <v>5031</v>
      </c>
      <c r="B2823" s="80" t="s">
        <v>9515</v>
      </c>
    </row>
    <row r="2824" spans="1:2" x14ac:dyDescent="0.25">
      <c r="A2824" s="81" t="s">
        <v>5032</v>
      </c>
      <c r="B2824" s="80" t="s">
        <v>9515</v>
      </c>
    </row>
    <row r="2825" spans="1:2" x14ac:dyDescent="0.25">
      <c r="A2825" s="81" t="s">
        <v>5033</v>
      </c>
      <c r="B2825" s="80" t="s">
        <v>9515</v>
      </c>
    </row>
    <row r="2826" spans="1:2" x14ac:dyDescent="0.25">
      <c r="A2826" s="81" t="s">
        <v>5034</v>
      </c>
      <c r="B2826" s="80" t="s">
        <v>9515</v>
      </c>
    </row>
    <row r="2827" spans="1:2" x14ac:dyDescent="0.25">
      <c r="A2827" s="81" t="s">
        <v>5035</v>
      </c>
      <c r="B2827" s="80" t="s">
        <v>9515</v>
      </c>
    </row>
    <row r="2828" spans="1:2" x14ac:dyDescent="0.25">
      <c r="A2828" s="81" t="s">
        <v>5036</v>
      </c>
      <c r="B2828" s="80" t="s">
        <v>9515</v>
      </c>
    </row>
    <row r="2829" spans="1:2" x14ac:dyDescent="0.25">
      <c r="A2829" s="81" t="s">
        <v>5037</v>
      </c>
      <c r="B2829" s="80" t="s">
        <v>9515</v>
      </c>
    </row>
    <row r="2830" spans="1:2" x14ac:dyDescent="0.25">
      <c r="A2830" s="81" t="s">
        <v>5038</v>
      </c>
      <c r="B2830" s="80" t="s">
        <v>9515</v>
      </c>
    </row>
    <row r="2831" spans="1:2" x14ac:dyDescent="0.25">
      <c r="A2831" s="81" t="s">
        <v>5039</v>
      </c>
      <c r="B2831" s="80" t="s">
        <v>9515</v>
      </c>
    </row>
    <row r="2832" spans="1:2" x14ac:dyDescent="0.25">
      <c r="A2832" s="81" t="s">
        <v>5040</v>
      </c>
      <c r="B2832" s="80" t="s">
        <v>9515</v>
      </c>
    </row>
    <row r="2833" spans="1:2" x14ac:dyDescent="0.25">
      <c r="A2833" s="81" t="s">
        <v>5041</v>
      </c>
      <c r="B2833" s="80" t="s">
        <v>9515</v>
      </c>
    </row>
    <row r="2834" spans="1:2" x14ac:dyDescent="0.25">
      <c r="A2834" s="81" t="s">
        <v>5042</v>
      </c>
      <c r="B2834" s="80" t="s">
        <v>9515</v>
      </c>
    </row>
    <row r="2835" spans="1:2" x14ac:dyDescent="0.25">
      <c r="A2835" s="81" t="s">
        <v>5043</v>
      </c>
      <c r="B2835" s="80" t="s">
        <v>9515</v>
      </c>
    </row>
    <row r="2836" spans="1:2" x14ac:dyDescent="0.25">
      <c r="A2836" s="81" t="s">
        <v>5044</v>
      </c>
      <c r="B2836" s="80" t="s">
        <v>9515</v>
      </c>
    </row>
    <row r="2837" spans="1:2" x14ac:dyDescent="0.25">
      <c r="A2837" s="81" t="s">
        <v>5045</v>
      </c>
      <c r="B2837" s="80" t="s">
        <v>9515</v>
      </c>
    </row>
    <row r="2838" spans="1:2" x14ac:dyDescent="0.25">
      <c r="A2838" s="81" t="s">
        <v>5046</v>
      </c>
      <c r="B2838" s="80" t="s">
        <v>9515</v>
      </c>
    </row>
    <row r="2839" spans="1:2" x14ac:dyDescent="0.25">
      <c r="A2839" s="81" t="s">
        <v>5047</v>
      </c>
      <c r="B2839" s="80" t="s">
        <v>9515</v>
      </c>
    </row>
    <row r="2840" spans="1:2" x14ac:dyDescent="0.25">
      <c r="A2840" s="81" t="s">
        <v>5048</v>
      </c>
      <c r="B2840" s="80" t="s">
        <v>9515</v>
      </c>
    </row>
    <row r="2841" spans="1:2" x14ac:dyDescent="0.25">
      <c r="A2841" s="81" t="s">
        <v>5049</v>
      </c>
      <c r="B2841" s="80" t="s">
        <v>9515</v>
      </c>
    </row>
    <row r="2842" spans="1:2" x14ac:dyDescent="0.25">
      <c r="A2842" s="81" t="s">
        <v>5050</v>
      </c>
      <c r="B2842" s="80" t="s">
        <v>9515</v>
      </c>
    </row>
    <row r="2843" spans="1:2" x14ac:dyDescent="0.25">
      <c r="A2843" s="81" t="s">
        <v>5051</v>
      </c>
      <c r="B2843" s="80" t="s">
        <v>9515</v>
      </c>
    </row>
    <row r="2844" spans="1:2" x14ac:dyDescent="0.25">
      <c r="A2844" s="81" t="s">
        <v>5052</v>
      </c>
      <c r="B2844" s="80" t="s">
        <v>9515</v>
      </c>
    </row>
    <row r="2845" spans="1:2" x14ac:dyDescent="0.25">
      <c r="A2845" s="81" t="s">
        <v>5053</v>
      </c>
      <c r="B2845" s="80" t="s">
        <v>9515</v>
      </c>
    </row>
    <row r="2846" spans="1:2" x14ac:dyDescent="0.25">
      <c r="A2846" s="81" t="s">
        <v>5054</v>
      </c>
      <c r="B2846" s="80" t="s">
        <v>9515</v>
      </c>
    </row>
    <row r="2847" spans="1:2" x14ac:dyDescent="0.25">
      <c r="A2847" s="81" t="s">
        <v>5055</v>
      </c>
      <c r="B2847" s="80" t="s">
        <v>9515</v>
      </c>
    </row>
    <row r="2848" spans="1:2" x14ac:dyDescent="0.25">
      <c r="A2848" s="81" t="s">
        <v>5056</v>
      </c>
      <c r="B2848" s="80" t="s">
        <v>9515</v>
      </c>
    </row>
    <row r="2849" spans="1:2" x14ac:dyDescent="0.25">
      <c r="A2849" s="81" t="s">
        <v>5057</v>
      </c>
      <c r="B2849" s="80" t="s">
        <v>9515</v>
      </c>
    </row>
    <row r="2850" spans="1:2" x14ac:dyDescent="0.25">
      <c r="A2850" s="81" t="s">
        <v>5058</v>
      </c>
      <c r="B2850" s="80" t="s">
        <v>9515</v>
      </c>
    </row>
    <row r="2851" spans="1:2" x14ac:dyDescent="0.25">
      <c r="A2851" s="81" t="s">
        <v>5059</v>
      </c>
      <c r="B2851" s="80" t="s">
        <v>9515</v>
      </c>
    </row>
    <row r="2852" spans="1:2" x14ac:dyDescent="0.25">
      <c r="A2852" s="81" t="s">
        <v>5060</v>
      </c>
      <c r="B2852" s="80" t="s">
        <v>9515</v>
      </c>
    </row>
    <row r="2853" spans="1:2" x14ac:dyDescent="0.25">
      <c r="A2853" s="81" t="s">
        <v>5061</v>
      </c>
      <c r="B2853" s="80" t="s">
        <v>9515</v>
      </c>
    </row>
    <row r="2854" spans="1:2" x14ac:dyDescent="0.25">
      <c r="A2854" s="81" t="s">
        <v>5062</v>
      </c>
      <c r="B2854" s="80" t="s">
        <v>9515</v>
      </c>
    </row>
    <row r="2855" spans="1:2" x14ac:dyDescent="0.25">
      <c r="A2855" s="81" t="s">
        <v>5063</v>
      </c>
      <c r="B2855" s="80" t="s">
        <v>9515</v>
      </c>
    </row>
    <row r="2856" spans="1:2" x14ac:dyDescent="0.25">
      <c r="A2856" s="81" t="s">
        <v>5064</v>
      </c>
      <c r="B2856" s="80" t="s">
        <v>9515</v>
      </c>
    </row>
    <row r="2857" spans="1:2" x14ac:dyDescent="0.25">
      <c r="A2857" s="81" t="s">
        <v>5065</v>
      </c>
      <c r="B2857" s="80" t="s">
        <v>9515</v>
      </c>
    </row>
    <row r="2858" spans="1:2" x14ac:dyDescent="0.25">
      <c r="A2858" s="81" t="s">
        <v>5066</v>
      </c>
      <c r="B2858" s="80" t="s">
        <v>9515</v>
      </c>
    </row>
    <row r="2859" spans="1:2" x14ac:dyDescent="0.25">
      <c r="A2859" s="81" t="s">
        <v>5067</v>
      </c>
      <c r="B2859" s="80" t="s">
        <v>9515</v>
      </c>
    </row>
    <row r="2860" spans="1:2" x14ac:dyDescent="0.25">
      <c r="A2860" s="81" t="s">
        <v>5068</v>
      </c>
      <c r="B2860" s="80" t="s">
        <v>9515</v>
      </c>
    </row>
    <row r="2861" spans="1:2" x14ac:dyDescent="0.25">
      <c r="A2861" s="81" t="s">
        <v>5069</v>
      </c>
      <c r="B2861" s="80" t="s">
        <v>9515</v>
      </c>
    </row>
    <row r="2862" spans="1:2" x14ac:dyDescent="0.25">
      <c r="A2862" s="81" t="s">
        <v>5070</v>
      </c>
      <c r="B2862" s="80" t="s">
        <v>9515</v>
      </c>
    </row>
    <row r="2863" spans="1:2" x14ac:dyDescent="0.25">
      <c r="A2863" s="81" t="s">
        <v>5071</v>
      </c>
      <c r="B2863" s="80" t="s">
        <v>9515</v>
      </c>
    </row>
    <row r="2864" spans="1:2" x14ac:dyDescent="0.25">
      <c r="A2864" s="81" t="s">
        <v>5072</v>
      </c>
      <c r="B2864" s="80" t="s">
        <v>9515</v>
      </c>
    </row>
    <row r="2865" spans="1:2" x14ac:dyDescent="0.25">
      <c r="A2865" s="81" t="s">
        <v>5073</v>
      </c>
      <c r="B2865" s="80" t="s">
        <v>9515</v>
      </c>
    </row>
    <row r="2866" spans="1:2" x14ac:dyDescent="0.25">
      <c r="A2866" s="81" t="s">
        <v>5074</v>
      </c>
      <c r="B2866" s="80" t="s">
        <v>9515</v>
      </c>
    </row>
    <row r="2867" spans="1:2" x14ac:dyDescent="0.25">
      <c r="A2867" s="81" t="s">
        <v>5075</v>
      </c>
      <c r="B2867" s="80" t="s">
        <v>9515</v>
      </c>
    </row>
    <row r="2868" spans="1:2" x14ac:dyDescent="0.25">
      <c r="A2868" s="81" t="s">
        <v>5076</v>
      </c>
      <c r="B2868" s="80" t="s">
        <v>9515</v>
      </c>
    </row>
    <row r="2869" spans="1:2" x14ac:dyDescent="0.25">
      <c r="A2869" s="81" t="s">
        <v>5077</v>
      </c>
      <c r="B2869" s="80" t="s">
        <v>9515</v>
      </c>
    </row>
    <row r="2870" spans="1:2" x14ac:dyDescent="0.25">
      <c r="A2870" s="81" t="s">
        <v>5078</v>
      </c>
      <c r="B2870" s="80" t="s">
        <v>9515</v>
      </c>
    </row>
    <row r="2871" spans="1:2" x14ac:dyDescent="0.25">
      <c r="A2871" s="81" t="s">
        <v>5079</v>
      </c>
      <c r="B2871" s="80" t="s">
        <v>9515</v>
      </c>
    </row>
    <row r="2872" spans="1:2" x14ac:dyDescent="0.25">
      <c r="A2872" s="81" t="s">
        <v>5080</v>
      </c>
      <c r="B2872" s="80" t="s">
        <v>9515</v>
      </c>
    </row>
    <row r="2873" spans="1:2" x14ac:dyDescent="0.25">
      <c r="A2873" s="81" t="s">
        <v>5081</v>
      </c>
      <c r="B2873" s="80" t="s">
        <v>9515</v>
      </c>
    </row>
    <row r="2874" spans="1:2" x14ac:dyDescent="0.25">
      <c r="A2874" s="81" t="s">
        <v>5082</v>
      </c>
      <c r="B2874" s="80" t="s">
        <v>9515</v>
      </c>
    </row>
    <row r="2875" spans="1:2" x14ac:dyDescent="0.25">
      <c r="A2875" s="81" t="s">
        <v>5083</v>
      </c>
      <c r="B2875" s="80" t="s">
        <v>9515</v>
      </c>
    </row>
    <row r="2876" spans="1:2" x14ac:dyDescent="0.25">
      <c r="A2876" s="81" t="s">
        <v>5084</v>
      </c>
      <c r="B2876" s="80" t="s">
        <v>9515</v>
      </c>
    </row>
    <row r="2877" spans="1:2" x14ac:dyDescent="0.25">
      <c r="A2877" s="81" t="s">
        <v>5085</v>
      </c>
      <c r="B2877" s="80" t="s">
        <v>9515</v>
      </c>
    </row>
    <row r="2878" spans="1:2" x14ac:dyDescent="0.25">
      <c r="A2878" s="81" t="s">
        <v>5086</v>
      </c>
      <c r="B2878" s="80" t="s">
        <v>9515</v>
      </c>
    </row>
    <row r="2879" spans="1:2" x14ac:dyDescent="0.25">
      <c r="A2879" s="81" t="s">
        <v>5087</v>
      </c>
      <c r="B2879" s="80" t="s">
        <v>9515</v>
      </c>
    </row>
    <row r="2880" spans="1:2" x14ac:dyDescent="0.25">
      <c r="A2880" s="81" t="s">
        <v>5088</v>
      </c>
      <c r="B2880" s="80" t="s">
        <v>9515</v>
      </c>
    </row>
    <row r="2881" spans="1:2" x14ac:dyDescent="0.25">
      <c r="A2881" s="81" t="s">
        <v>5089</v>
      </c>
      <c r="B2881" s="80" t="s">
        <v>9515</v>
      </c>
    </row>
    <row r="2882" spans="1:2" x14ac:dyDescent="0.25">
      <c r="A2882" s="81" t="s">
        <v>5090</v>
      </c>
      <c r="B2882" s="80" t="s">
        <v>9515</v>
      </c>
    </row>
    <row r="2883" spans="1:2" x14ac:dyDescent="0.25">
      <c r="A2883" s="81" t="s">
        <v>5091</v>
      </c>
      <c r="B2883" s="80" t="s">
        <v>9515</v>
      </c>
    </row>
    <row r="2884" spans="1:2" x14ac:dyDescent="0.25">
      <c r="A2884" s="81" t="s">
        <v>5092</v>
      </c>
      <c r="B2884" s="80" t="s">
        <v>9515</v>
      </c>
    </row>
    <row r="2885" spans="1:2" x14ac:dyDescent="0.25">
      <c r="A2885" s="81" t="s">
        <v>5093</v>
      </c>
      <c r="B2885" s="80" t="s">
        <v>9515</v>
      </c>
    </row>
    <row r="2886" spans="1:2" x14ac:dyDescent="0.25">
      <c r="A2886" s="81" t="s">
        <v>5094</v>
      </c>
      <c r="B2886" s="80" t="s">
        <v>9515</v>
      </c>
    </row>
    <row r="2887" spans="1:2" x14ac:dyDescent="0.25">
      <c r="A2887" s="81" t="s">
        <v>5095</v>
      </c>
      <c r="B2887" s="80" t="s">
        <v>9515</v>
      </c>
    </row>
    <row r="2888" spans="1:2" x14ac:dyDescent="0.25">
      <c r="A2888" s="81" t="s">
        <v>5096</v>
      </c>
      <c r="B2888" s="80" t="s">
        <v>9515</v>
      </c>
    </row>
    <row r="2889" spans="1:2" x14ac:dyDescent="0.25">
      <c r="A2889" s="81" t="s">
        <v>5097</v>
      </c>
      <c r="B2889" s="80" t="s">
        <v>9515</v>
      </c>
    </row>
    <row r="2890" spans="1:2" x14ac:dyDescent="0.25">
      <c r="A2890" s="81" t="s">
        <v>5098</v>
      </c>
      <c r="B2890" s="80" t="s">
        <v>9515</v>
      </c>
    </row>
    <row r="2891" spans="1:2" x14ac:dyDescent="0.25">
      <c r="A2891" s="81" t="s">
        <v>5099</v>
      </c>
      <c r="B2891" s="80" t="s">
        <v>9515</v>
      </c>
    </row>
    <row r="2892" spans="1:2" x14ac:dyDescent="0.25">
      <c r="A2892" s="81" t="s">
        <v>5100</v>
      </c>
      <c r="B2892" s="80" t="s">
        <v>9515</v>
      </c>
    </row>
    <row r="2893" spans="1:2" x14ac:dyDescent="0.25">
      <c r="A2893" s="81" t="s">
        <v>5101</v>
      </c>
      <c r="B2893" s="80" t="s">
        <v>9515</v>
      </c>
    </row>
    <row r="2894" spans="1:2" x14ac:dyDescent="0.25">
      <c r="A2894" s="81" t="s">
        <v>5102</v>
      </c>
      <c r="B2894" s="80" t="s">
        <v>9515</v>
      </c>
    </row>
    <row r="2895" spans="1:2" x14ac:dyDescent="0.25">
      <c r="A2895" s="81" t="s">
        <v>5103</v>
      </c>
      <c r="B2895" s="80" t="s">
        <v>9515</v>
      </c>
    </row>
    <row r="2896" spans="1:2" x14ac:dyDescent="0.25">
      <c r="A2896" s="81" t="s">
        <v>5104</v>
      </c>
      <c r="B2896" s="80" t="s">
        <v>9515</v>
      </c>
    </row>
    <row r="2897" spans="1:2" x14ac:dyDescent="0.25">
      <c r="A2897" s="81" t="s">
        <v>5105</v>
      </c>
      <c r="B2897" s="80" t="s">
        <v>9515</v>
      </c>
    </row>
    <row r="2898" spans="1:2" x14ac:dyDescent="0.25">
      <c r="A2898" s="81" t="s">
        <v>5106</v>
      </c>
      <c r="B2898" s="80" t="s">
        <v>9515</v>
      </c>
    </row>
    <row r="2899" spans="1:2" x14ac:dyDescent="0.25">
      <c r="A2899" s="81" t="s">
        <v>5107</v>
      </c>
      <c r="B2899" s="80" t="s">
        <v>9515</v>
      </c>
    </row>
    <row r="2900" spans="1:2" x14ac:dyDescent="0.25">
      <c r="A2900" s="81" t="s">
        <v>5108</v>
      </c>
      <c r="B2900" s="80" t="s">
        <v>9515</v>
      </c>
    </row>
    <row r="2901" spans="1:2" x14ac:dyDescent="0.25">
      <c r="A2901" s="81" t="s">
        <v>5109</v>
      </c>
      <c r="B2901" s="80" t="s">
        <v>9515</v>
      </c>
    </row>
    <row r="2902" spans="1:2" x14ac:dyDescent="0.25">
      <c r="A2902" s="81" t="s">
        <v>5110</v>
      </c>
      <c r="B2902" s="80" t="s">
        <v>9515</v>
      </c>
    </row>
    <row r="2903" spans="1:2" x14ac:dyDescent="0.25">
      <c r="A2903" s="81" t="s">
        <v>5111</v>
      </c>
      <c r="B2903" s="80" t="s">
        <v>9515</v>
      </c>
    </row>
    <row r="2904" spans="1:2" x14ac:dyDescent="0.25">
      <c r="A2904" s="81" t="s">
        <v>5112</v>
      </c>
      <c r="B2904" s="80" t="s">
        <v>9515</v>
      </c>
    </row>
    <row r="2905" spans="1:2" x14ac:dyDescent="0.25">
      <c r="A2905" s="81" t="s">
        <v>5113</v>
      </c>
      <c r="B2905" s="80" t="s">
        <v>9515</v>
      </c>
    </row>
    <row r="2906" spans="1:2" x14ac:dyDescent="0.25">
      <c r="A2906" s="81" t="s">
        <v>5114</v>
      </c>
      <c r="B2906" s="80" t="s">
        <v>9515</v>
      </c>
    </row>
    <row r="2907" spans="1:2" x14ac:dyDescent="0.25">
      <c r="A2907" s="81" t="s">
        <v>5115</v>
      </c>
      <c r="B2907" s="80" t="s">
        <v>9515</v>
      </c>
    </row>
    <row r="2908" spans="1:2" x14ac:dyDescent="0.25">
      <c r="A2908" s="81" t="s">
        <v>5116</v>
      </c>
      <c r="B2908" s="80" t="s">
        <v>9515</v>
      </c>
    </row>
    <row r="2909" spans="1:2" x14ac:dyDescent="0.25">
      <c r="A2909" s="81" t="s">
        <v>5117</v>
      </c>
      <c r="B2909" s="80" t="s">
        <v>9515</v>
      </c>
    </row>
    <row r="2910" spans="1:2" x14ac:dyDescent="0.25">
      <c r="A2910" s="81" t="s">
        <v>5118</v>
      </c>
      <c r="B2910" s="80" t="s">
        <v>9515</v>
      </c>
    </row>
    <row r="2911" spans="1:2" x14ac:dyDescent="0.25">
      <c r="A2911" s="81" t="s">
        <v>5119</v>
      </c>
      <c r="B2911" s="80" t="s">
        <v>9515</v>
      </c>
    </row>
    <row r="2912" spans="1:2" x14ac:dyDescent="0.25">
      <c r="A2912" s="81" t="s">
        <v>5120</v>
      </c>
      <c r="B2912" s="80" t="s">
        <v>9515</v>
      </c>
    </row>
    <row r="2913" spans="1:2" x14ac:dyDescent="0.25">
      <c r="A2913" s="81" t="s">
        <v>5121</v>
      </c>
      <c r="B2913" s="80" t="s">
        <v>9515</v>
      </c>
    </row>
    <row r="2914" spans="1:2" x14ac:dyDescent="0.25">
      <c r="A2914" s="81" t="s">
        <v>5122</v>
      </c>
      <c r="B2914" s="80" t="s">
        <v>9515</v>
      </c>
    </row>
    <row r="2915" spans="1:2" x14ac:dyDescent="0.25">
      <c r="A2915" s="81" t="s">
        <v>5123</v>
      </c>
      <c r="B2915" s="80" t="s">
        <v>9515</v>
      </c>
    </row>
    <row r="2916" spans="1:2" x14ac:dyDescent="0.25">
      <c r="A2916" s="81" t="s">
        <v>5124</v>
      </c>
      <c r="B2916" s="80" t="s">
        <v>9515</v>
      </c>
    </row>
    <row r="2917" spans="1:2" x14ac:dyDescent="0.25">
      <c r="A2917" s="81" t="s">
        <v>5125</v>
      </c>
      <c r="B2917" s="80" t="s">
        <v>9515</v>
      </c>
    </row>
    <row r="2918" spans="1:2" x14ac:dyDescent="0.25">
      <c r="A2918" s="81" t="s">
        <v>5126</v>
      </c>
      <c r="B2918" s="80" t="s">
        <v>9515</v>
      </c>
    </row>
    <row r="2919" spans="1:2" x14ac:dyDescent="0.25">
      <c r="A2919" s="81" t="s">
        <v>5127</v>
      </c>
      <c r="B2919" s="80" t="s">
        <v>9515</v>
      </c>
    </row>
    <row r="2920" spans="1:2" x14ac:dyDescent="0.25">
      <c r="A2920" s="81" t="s">
        <v>5128</v>
      </c>
      <c r="B2920" s="80" t="s">
        <v>9515</v>
      </c>
    </row>
    <row r="2921" spans="1:2" x14ac:dyDescent="0.25">
      <c r="A2921" s="81" t="s">
        <v>5129</v>
      </c>
      <c r="B2921" s="80" t="s">
        <v>9515</v>
      </c>
    </row>
    <row r="2922" spans="1:2" x14ac:dyDescent="0.25">
      <c r="A2922" s="81" t="s">
        <v>5130</v>
      </c>
      <c r="B2922" s="80" t="s">
        <v>9515</v>
      </c>
    </row>
    <row r="2923" spans="1:2" x14ac:dyDescent="0.25">
      <c r="A2923" s="81" t="s">
        <v>5131</v>
      </c>
      <c r="B2923" s="80" t="s">
        <v>9515</v>
      </c>
    </row>
    <row r="2924" spans="1:2" x14ac:dyDescent="0.25">
      <c r="A2924" s="81" t="s">
        <v>5132</v>
      </c>
      <c r="B2924" s="80" t="s">
        <v>9515</v>
      </c>
    </row>
    <row r="2925" spans="1:2" x14ac:dyDescent="0.25">
      <c r="A2925" s="81" t="s">
        <v>5133</v>
      </c>
      <c r="B2925" s="80" t="s">
        <v>9515</v>
      </c>
    </row>
    <row r="2926" spans="1:2" x14ac:dyDescent="0.25">
      <c r="A2926" s="81" t="s">
        <v>5134</v>
      </c>
      <c r="B2926" s="80" t="s">
        <v>9515</v>
      </c>
    </row>
    <row r="2927" spans="1:2" x14ac:dyDescent="0.25">
      <c r="A2927" s="81" t="s">
        <v>5135</v>
      </c>
      <c r="B2927" s="80" t="s">
        <v>9515</v>
      </c>
    </row>
    <row r="2928" spans="1:2" x14ac:dyDescent="0.25">
      <c r="A2928" s="81" t="s">
        <v>5136</v>
      </c>
      <c r="B2928" s="80" t="s">
        <v>9515</v>
      </c>
    </row>
    <row r="2929" spans="1:2" x14ac:dyDescent="0.25">
      <c r="A2929" s="81" t="s">
        <v>5137</v>
      </c>
      <c r="B2929" s="80" t="s">
        <v>9515</v>
      </c>
    </row>
    <row r="2930" spans="1:2" x14ac:dyDescent="0.25">
      <c r="A2930" s="81" t="s">
        <v>5138</v>
      </c>
      <c r="B2930" s="80" t="s">
        <v>9515</v>
      </c>
    </row>
    <row r="2931" spans="1:2" x14ac:dyDescent="0.25">
      <c r="A2931" s="81" t="s">
        <v>5139</v>
      </c>
      <c r="B2931" s="80" t="s">
        <v>9515</v>
      </c>
    </row>
    <row r="2932" spans="1:2" x14ac:dyDescent="0.25">
      <c r="A2932" s="81" t="s">
        <v>5140</v>
      </c>
      <c r="B2932" s="80" t="s">
        <v>9515</v>
      </c>
    </row>
    <row r="2933" spans="1:2" x14ac:dyDescent="0.25">
      <c r="A2933" s="81" t="s">
        <v>5141</v>
      </c>
      <c r="B2933" s="80" t="s">
        <v>9515</v>
      </c>
    </row>
    <row r="2934" spans="1:2" x14ac:dyDescent="0.25">
      <c r="A2934" s="81" t="s">
        <v>5142</v>
      </c>
      <c r="B2934" s="80" t="s">
        <v>9515</v>
      </c>
    </row>
    <row r="2935" spans="1:2" x14ac:dyDescent="0.25">
      <c r="A2935" s="81" t="s">
        <v>5143</v>
      </c>
      <c r="B2935" s="80" t="s">
        <v>9515</v>
      </c>
    </row>
    <row r="2936" spans="1:2" x14ac:dyDescent="0.25">
      <c r="A2936" s="81" t="s">
        <v>5144</v>
      </c>
      <c r="B2936" s="80" t="s">
        <v>9515</v>
      </c>
    </row>
    <row r="2937" spans="1:2" x14ac:dyDescent="0.25">
      <c r="A2937" s="81" t="s">
        <v>5145</v>
      </c>
      <c r="B2937" s="80" t="s">
        <v>9515</v>
      </c>
    </row>
    <row r="2938" spans="1:2" x14ac:dyDescent="0.25">
      <c r="A2938" s="81" t="s">
        <v>5146</v>
      </c>
      <c r="B2938" s="80" t="s">
        <v>9515</v>
      </c>
    </row>
    <row r="2939" spans="1:2" x14ac:dyDescent="0.25">
      <c r="A2939" s="81" t="s">
        <v>5147</v>
      </c>
      <c r="B2939" s="80" t="s">
        <v>9515</v>
      </c>
    </row>
    <row r="2940" spans="1:2" x14ac:dyDescent="0.25">
      <c r="A2940" s="81" t="s">
        <v>5148</v>
      </c>
      <c r="B2940" s="80" t="s">
        <v>9515</v>
      </c>
    </row>
    <row r="2941" spans="1:2" x14ac:dyDescent="0.25">
      <c r="A2941" s="81" t="s">
        <v>5149</v>
      </c>
      <c r="B2941" s="80" t="s">
        <v>9515</v>
      </c>
    </row>
    <row r="2942" spans="1:2" x14ac:dyDescent="0.25">
      <c r="A2942" s="81" t="s">
        <v>5150</v>
      </c>
      <c r="B2942" s="80" t="s">
        <v>9515</v>
      </c>
    </row>
    <row r="2943" spans="1:2" x14ac:dyDescent="0.25">
      <c r="A2943" s="81" t="s">
        <v>5151</v>
      </c>
      <c r="B2943" s="80" t="s">
        <v>9515</v>
      </c>
    </row>
    <row r="2944" spans="1:2" x14ac:dyDescent="0.25">
      <c r="A2944" s="81" t="s">
        <v>5152</v>
      </c>
      <c r="B2944" s="80" t="s">
        <v>9515</v>
      </c>
    </row>
    <row r="2945" spans="1:2" x14ac:dyDescent="0.25">
      <c r="A2945" s="81" t="s">
        <v>5153</v>
      </c>
      <c r="B2945" s="80" t="s">
        <v>9515</v>
      </c>
    </row>
    <row r="2946" spans="1:2" x14ac:dyDescent="0.25">
      <c r="A2946" s="81" t="s">
        <v>5154</v>
      </c>
      <c r="B2946" s="80" t="s">
        <v>9515</v>
      </c>
    </row>
    <row r="2947" spans="1:2" x14ac:dyDescent="0.25">
      <c r="A2947" s="81" t="s">
        <v>5155</v>
      </c>
      <c r="B2947" s="80" t="s">
        <v>9515</v>
      </c>
    </row>
    <row r="2948" spans="1:2" x14ac:dyDescent="0.25">
      <c r="A2948" s="81" t="s">
        <v>5156</v>
      </c>
      <c r="B2948" s="80" t="s">
        <v>9515</v>
      </c>
    </row>
    <row r="2949" spans="1:2" x14ac:dyDescent="0.25">
      <c r="A2949" s="81" t="s">
        <v>5157</v>
      </c>
      <c r="B2949" s="80" t="s">
        <v>9515</v>
      </c>
    </row>
    <row r="2950" spans="1:2" x14ac:dyDescent="0.25">
      <c r="A2950" s="81" t="s">
        <v>5158</v>
      </c>
      <c r="B2950" s="80" t="s">
        <v>9515</v>
      </c>
    </row>
    <row r="2951" spans="1:2" x14ac:dyDescent="0.25">
      <c r="A2951" s="81" t="s">
        <v>5159</v>
      </c>
      <c r="B2951" s="80" t="s">
        <v>9515</v>
      </c>
    </row>
    <row r="2952" spans="1:2" x14ac:dyDescent="0.25">
      <c r="A2952" s="81" t="s">
        <v>5160</v>
      </c>
      <c r="B2952" s="80" t="s">
        <v>9515</v>
      </c>
    </row>
    <row r="2953" spans="1:2" x14ac:dyDescent="0.25">
      <c r="A2953" s="81" t="s">
        <v>5161</v>
      </c>
      <c r="B2953" s="80" t="s">
        <v>9515</v>
      </c>
    </row>
    <row r="2954" spans="1:2" x14ac:dyDescent="0.25">
      <c r="A2954" s="81" t="s">
        <v>5162</v>
      </c>
      <c r="B2954" s="80" t="s">
        <v>9515</v>
      </c>
    </row>
    <row r="2955" spans="1:2" x14ac:dyDescent="0.25">
      <c r="A2955" s="81" t="s">
        <v>5163</v>
      </c>
      <c r="B2955" s="80" t="s">
        <v>9515</v>
      </c>
    </row>
    <row r="2956" spans="1:2" x14ac:dyDescent="0.25">
      <c r="A2956" s="81" t="s">
        <v>5164</v>
      </c>
      <c r="B2956" s="80" t="s">
        <v>9515</v>
      </c>
    </row>
    <row r="2957" spans="1:2" x14ac:dyDescent="0.25">
      <c r="A2957" s="81" t="s">
        <v>5165</v>
      </c>
      <c r="B2957" s="80" t="s">
        <v>9515</v>
      </c>
    </row>
    <row r="2958" spans="1:2" x14ac:dyDescent="0.25">
      <c r="A2958" s="81" t="s">
        <v>5166</v>
      </c>
      <c r="B2958" s="80" t="s">
        <v>9515</v>
      </c>
    </row>
    <row r="2959" spans="1:2" x14ac:dyDescent="0.25">
      <c r="A2959" s="81" t="s">
        <v>5167</v>
      </c>
      <c r="B2959" s="80" t="s">
        <v>9515</v>
      </c>
    </row>
    <row r="2960" spans="1:2" x14ac:dyDescent="0.25">
      <c r="A2960" s="81" t="s">
        <v>5168</v>
      </c>
      <c r="B2960" s="80" t="s">
        <v>9515</v>
      </c>
    </row>
    <row r="2961" spans="1:2" x14ac:dyDescent="0.25">
      <c r="A2961" s="81" t="s">
        <v>5169</v>
      </c>
      <c r="B2961" s="80" t="s">
        <v>9515</v>
      </c>
    </row>
    <row r="2962" spans="1:2" x14ac:dyDescent="0.25">
      <c r="A2962" s="81" t="s">
        <v>5170</v>
      </c>
      <c r="B2962" s="80" t="s">
        <v>9515</v>
      </c>
    </row>
    <row r="2963" spans="1:2" x14ac:dyDescent="0.25">
      <c r="A2963" s="81" t="s">
        <v>5171</v>
      </c>
      <c r="B2963" s="80" t="s">
        <v>9515</v>
      </c>
    </row>
    <row r="2964" spans="1:2" x14ac:dyDescent="0.25">
      <c r="A2964" s="81" t="s">
        <v>5172</v>
      </c>
      <c r="B2964" s="80" t="s">
        <v>9515</v>
      </c>
    </row>
    <row r="2965" spans="1:2" x14ac:dyDescent="0.25">
      <c r="A2965" s="81" t="s">
        <v>5173</v>
      </c>
      <c r="B2965" s="80" t="s">
        <v>9515</v>
      </c>
    </row>
    <row r="2966" spans="1:2" x14ac:dyDescent="0.25">
      <c r="A2966" s="81" t="s">
        <v>5174</v>
      </c>
      <c r="B2966" s="80" t="s">
        <v>9515</v>
      </c>
    </row>
    <row r="2967" spans="1:2" x14ac:dyDescent="0.25">
      <c r="A2967" s="81" t="s">
        <v>5175</v>
      </c>
      <c r="B2967" s="80" t="s">
        <v>9515</v>
      </c>
    </row>
    <row r="2968" spans="1:2" x14ac:dyDescent="0.25">
      <c r="A2968" s="81" t="s">
        <v>5176</v>
      </c>
      <c r="B2968" s="80" t="s">
        <v>9515</v>
      </c>
    </row>
    <row r="2969" spans="1:2" x14ac:dyDescent="0.25">
      <c r="A2969" s="81" t="s">
        <v>5177</v>
      </c>
      <c r="B2969" s="80" t="s">
        <v>9515</v>
      </c>
    </row>
    <row r="2970" spans="1:2" x14ac:dyDescent="0.25">
      <c r="A2970" s="81" t="s">
        <v>5178</v>
      </c>
      <c r="B2970" s="80" t="s">
        <v>9515</v>
      </c>
    </row>
    <row r="2971" spans="1:2" x14ac:dyDescent="0.25">
      <c r="A2971" s="81" t="s">
        <v>5179</v>
      </c>
      <c r="B2971" s="80" t="s">
        <v>9515</v>
      </c>
    </row>
    <row r="2972" spans="1:2" x14ac:dyDescent="0.25">
      <c r="A2972" s="81" t="s">
        <v>5180</v>
      </c>
      <c r="B2972" s="80" t="s">
        <v>9515</v>
      </c>
    </row>
    <row r="2973" spans="1:2" x14ac:dyDescent="0.25">
      <c r="A2973" s="81" t="s">
        <v>5181</v>
      </c>
      <c r="B2973" s="80" t="s">
        <v>9515</v>
      </c>
    </row>
    <row r="2974" spans="1:2" x14ac:dyDescent="0.25">
      <c r="A2974" s="81" t="s">
        <v>5182</v>
      </c>
      <c r="B2974" s="80" t="s">
        <v>9515</v>
      </c>
    </row>
    <row r="2975" spans="1:2" x14ac:dyDescent="0.25">
      <c r="A2975" s="81" t="s">
        <v>5183</v>
      </c>
      <c r="B2975" s="80" t="s">
        <v>9515</v>
      </c>
    </row>
    <row r="2976" spans="1:2" x14ac:dyDescent="0.25">
      <c r="A2976" s="81" t="s">
        <v>5184</v>
      </c>
      <c r="B2976" s="80" t="s">
        <v>9515</v>
      </c>
    </row>
    <row r="2977" spans="1:2" x14ac:dyDescent="0.25">
      <c r="A2977" s="81" t="s">
        <v>5185</v>
      </c>
      <c r="B2977" s="80" t="s">
        <v>9515</v>
      </c>
    </row>
    <row r="2978" spans="1:2" x14ac:dyDescent="0.25">
      <c r="A2978" s="81" t="s">
        <v>5186</v>
      </c>
      <c r="B2978" s="80" t="s">
        <v>9515</v>
      </c>
    </row>
    <row r="2979" spans="1:2" x14ac:dyDescent="0.25">
      <c r="A2979" s="81" t="s">
        <v>5187</v>
      </c>
      <c r="B2979" s="80" t="s">
        <v>9515</v>
      </c>
    </row>
    <row r="2980" spans="1:2" x14ac:dyDescent="0.25">
      <c r="A2980" s="81" t="s">
        <v>5188</v>
      </c>
      <c r="B2980" s="80" t="s">
        <v>9515</v>
      </c>
    </row>
    <row r="2981" spans="1:2" x14ac:dyDescent="0.25">
      <c r="A2981" s="81" t="s">
        <v>5189</v>
      </c>
      <c r="B2981" s="80" t="s">
        <v>9515</v>
      </c>
    </row>
    <row r="2982" spans="1:2" x14ac:dyDescent="0.25">
      <c r="A2982" s="81" t="s">
        <v>5190</v>
      </c>
      <c r="B2982" s="80" t="s">
        <v>9515</v>
      </c>
    </row>
    <row r="2983" spans="1:2" x14ac:dyDescent="0.25">
      <c r="A2983" s="81" t="s">
        <v>5191</v>
      </c>
      <c r="B2983" s="80" t="s">
        <v>9515</v>
      </c>
    </row>
    <row r="2984" spans="1:2" x14ac:dyDescent="0.25">
      <c r="A2984" s="81" t="s">
        <v>5192</v>
      </c>
      <c r="B2984" s="80" t="s">
        <v>9515</v>
      </c>
    </row>
    <row r="2985" spans="1:2" x14ac:dyDescent="0.25">
      <c r="A2985" s="81" t="s">
        <v>5193</v>
      </c>
      <c r="B2985" s="80" t="s">
        <v>9515</v>
      </c>
    </row>
    <row r="2986" spans="1:2" x14ac:dyDescent="0.25">
      <c r="A2986" s="81" t="s">
        <v>1989</v>
      </c>
      <c r="B2986" s="80" t="s">
        <v>9515</v>
      </c>
    </row>
    <row r="2987" spans="1:2" x14ac:dyDescent="0.25">
      <c r="A2987" s="81" t="s">
        <v>5194</v>
      </c>
      <c r="B2987" s="80" t="s">
        <v>9515</v>
      </c>
    </row>
    <row r="2988" spans="1:2" x14ac:dyDescent="0.25">
      <c r="A2988" s="81" t="s">
        <v>5195</v>
      </c>
      <c r="B2988" s="80" t="s">
        <v>9515</v>
      </c>
    </row>
    <row r="2989" spans="1:2" x14ac:dyDescent="0.25">
      <c r="A2989" s="81" t="s">
        <v>5196</v>
      </c>
      <c r="B2989" s="80" t="s">
        <v>9515</v>
      </c>
    </row>
    <row r="2990" spans="1:2" x14ac:dyDescent="0.25">
      <c r="A2990" s="81" t="s">
        <v>5197</v>
      </c>
      <c r="B2990" s="80" t="s">
        <v>9515</v>
      </c>
    </row>
    <row r="2991" spans="1:2" x14ac:dyDescent="0.25">
      <c r="A2991" s="81" t="s">
        <v>5198</v>
      </c>
      <c r="B2991" s="80" t="s">
        <v>9515</v>
      </c>
    </row>
    <row r="2992" spans="1:2" x14ac:dyDescent="0.25">
      <c r="A2992" s="81" t="s">
        <v>5199</v>
      </c>
      <c r="B2992" s="80" t="s">
        <v>9515</v>
      </c>
    </row>
    <row r="2993" spans="1:2" x14ac:dyDescent="0.25">
      <c r="A2993" s="81" t="s">
        <v>5200</v>
      </c>
      <c r="B2993" s="80" t="s">
        <v>9515</v>
      </c>
    </row>
    <row r="2994" spans="1:2" x14ac:dyDescent="0.25">
      <c r="A2994" s="81" t="s">
        <v>5201</v>
      </c>
      <c r="B2994" s="80" t="s">
        <v>9515</v>
      </c>
    </row>
    <row r="2995" spans="1:2" x14ac:dyDescent="0.25">
      <c r="A2995" s="81" t="s">
        <v>5202</v>
      </c>
      <c r="B2995" s="80" t="s">
        <v>9515</v>
      </c>
    </row>
    <row r="2996" spans="1:2" x14ac:dyDescent="0.25">
      <c r="A2996" s="81" t="s">
        <v>5203</v>
      </c>
      <c r="B2996" s="80" t="s">
        <v>9515</v>
      </c>
    </row>
    <row r="2997" spans="1:2" x14ac:dyDescent="0.25">
      <c r="A2997" s="81" t="s">
        <v>5204</v>
      </c>
      <c r="B2997" s="80" t="s">
        <v>9515</v>
      </c>
    </row>
    <row r="2998" spans="1:2" x14ac:dyDescent="0.25">
      <c r="A2998" s="81" t="s">
        <v>5205</v>
      </c>
      <c r="B2998" s="80" t="s">
        <v>9515</v>
      </c>
    </row>
    <row r="2999" spans="1:2" x14ac:dyDescent="0.25">
      <c r="A2999" s="81" t="s">
        <v>5206</v>
      </c>
      <c r="B2999" s="80" t="s">
        <v>9515</v>
      </c>
    </row>
    <row r="3000" spans="1:2" x14ac:dyDescent="0.25">
      <c r="A3000" s="81" t="s">
        <v>5207</v>
      </c>
      <c r="B3000" s="80" t="s">
        <v>9515</v>
      </c>
    </row>
    <row r="3001" spans="1:2" x14ac:dyDescent="0.25">
      <c r="A3001" s="81" t="s">
        <v>5208</v>
      </c>
      <c r="B3001" s="80" t="s">
        <v>9515</v>
      </c>
    </row>
    <row r="3002" spans="1:2" x14ac:dyDescent="0.25">
      <c r="A3002" s="81" t="s">
        <v>5209</v>
      </c>
      <c r="B3002" s="80" t="s">
        <v>9515</v>
      </c>
    </row>
    <row r="3003" spans="1:2" x14ac:dyDescent="0.25">
      <c r="A3003" s="81" t="s">
        <v>5210</v>
      </c>
      <c r="B3003" s="80" t="s">
        <v>9515</v>
      </c>
    </row>
    <row r="3004" spans="1:2" x14ac:dyDescent="0.25">
      <c r="A3004" s="81" t="s">
        <v>5211</v>
      </c>
      <c r="B3004" s="80" t="s">
        <v>9515</v>
      </c>
    </row>
    <row r="3005" spans="1:2" x14ac:dyDescent="0.25">
      <c r="A3005" s="81" t="s">
        <v>5212</v>
      </c>
      <c r="B3005" s="80" t="s">
        <v>9515</v>
      </c>
    </row>
    <row r="3006" spans="1:2" x14ac:dyDescent="0.25">
      <c r="A3006" s="81" t="s">
        <v>5213</v>
      </c>
      <c r="B3006" s="80" t="s">
        <v>9515</v>
      </c>
    </row>
    <row r="3007" spans="1:2" x14ac:dyDescent="0.25">
      <c r="A3007" s="81" t="s">
        <v>5214</v>
      </c>
      <c r="B3007" s="80" t="s">
        <v>9515</v>
      </c>
    </row>
    <row r="3008" spans="1:2" x14ac:dyDescent="0.25">
      <c r="A3008" s="81" t="s">
        <v>5215</v>
      </c>
      <c r="B3008" s="80" t="s">
        <v>9515</v>
      </c>
    </row>
    <row r="3009" spans="1:2" x14ac:dyDescent="0.25">
      <c r="A3009" s="81" t="s">
        <v>5216</v>
      </c>
      <c r="B3009" s="80" t="s">
        <v>9515</v>
      </c>
    </row>
    <row r="3010" spans="1:2" x14ac:dyDescent="0.25">
      <c r="A3010" s="81" t="s">
        <v>5217</v>
      </c>
      <c r="B3010" s="80" t="s">
        <v>9515</v>
      </c>
    </row>
    <row r="3011" spans="1:2" x14ac:dyDescent="0.25">
      <c r="A3011" s="81" t="s">
        <v>5218</v>
      </c>
      <c r="B3011" s="80" t="s">
        <v>9515</v>
      </c>
    </row>
    <row r="3012" spans="1:2" x14ac:dyDescent="0.25">
      <c r="A3012" s="81" t="s">
        <v>5219</v>
      </c>
      <c r="B3012" s="80" t="s">
        <v>9515</v>
      </c>
    </row>
    <row r="3013" spans="1:2" x14ac:dyDescent="0.25">
      <c r="A3013" s="81" t="s">
        <v>5220</v>
      </c>
      <c r="B3013" s="80" t="s">
        <v>9515</v>
      </c>
    </row>
    <row r="3014" spans="1:2" x14ac:dyDescent="0.25">
      <c r="A3014" s="81" t="s">
        <v>5221</v>
      </c>
      <c r="B3014" s="80" t="s">
        <v>9515</v>
      </c>
    </row>
    <row r="3015" spans="1:2" x14ac:dyDescent="0.25">
      <c r="A3015" s="81" t="s">
        <v>5222</v>
      </c>
      <c r="B3015" s="80" t="s">
        <v>9515</v>
      </c>
    </row>
    <row r="3016" spans="1:2" x14ac:dyDescent="0.25">
      <c r="A3016" s="81" t="s">
        <v>5223</v>
      </c>
      <c r="B3016" s="80" t="s">
        <v>9515</v>
      </c>
    </row>
    <row r="3017" spans="1:2" x14ac:dyDescent="0.25">
      <c r="A3017" s="81" t="s">
        <v>5224</v>
      </c>
      <c r="B3017" s="80" t="s">
        <v>9515</v>
      </c>
    </row>
    <row r="3018" spans="1:2" x14ac:dyDescent="0.25">
      <c r="A3018" s="81" t="s">
        <v>5225</v>
      </c>
      <c r="B3018" s="80" t="s">
        <v>9515</v>
      </c>
    </row>
    <row r="3019" spans="1:2" x14ac:dyDescent="0.25">
      <c r="A3019" s="81" t="s">
        <v>5226</v>
      </c>
      <c r="B3019" s="80" t="s">
        <v>9515</v>
      </c>
    </row>
    <row r="3020" spans="1:2" x14ac:dyDescent="0.25">
      <c r="A3020" s="81" t="s">
        <v>5227</v>
      </c>
      <c r="B3020" s="80" t="s">
        <v>9515</v>
      </c>
    </row>
    <row r="3021" spans="1:2" x14ac:dyDescent="0.25">
      <c r="A3021" s="81" t="s">
        <v>5228</v>
      </c>
      <c r="B3021" s="80" t="s">
        <v>9515</v>
      </c>
    </row>
    <row r="3022" spans="1:2" x14ac:dyDescent="0.25">
      <c r="A3022" s="81" t="s">
        <v>5229</v>
      </c>
      <c r="B3022" s="80" t="s">
        <v>9515</v>
      </c>
    </row>
    <row r="3023" spans="1:2" x14ac:dyDescent="0.25">
      <c r="A3023" s="81" t="s">
        <v>5230</v>
      </c>
      <c r="B3023" s="80" t="s">
        <v>9515</v>
      </c>
    </row>
    <row r="3024" spans="1:2" x14ac:dyDescent="0.25">
      <c r="A3024" s="81" t="s">
        <v>5231</v>
      </c>
      <c r="B3024" s="80" t="s">
        <v>9515</v>
      </c>
    </row>
    <row r="3025" spans="1:2" x14ac:dyDescent="0.25">
      <c r="A3025" s="81" t="s">
        <v>5232</v>
      </c>
      <c r="B3025" s="80" t="s">
        <v>9515</v>
      </c>
    </row>
    <row r="3026" spans="1:2" x14ac:dyDescent="0.25">
      <c r="A3026" s="81" t="s">
        <v>5233</v>
      </c>
      <c r="B3026" s="80" t="s">
        <v>9515</v>
      </c>
    </row>
    <row r="3027" spans="1:2" x14ac:dyDescent="0.25">
      <c r="A3027" s="81" t="s">
        <v>5234</v>
      </c>
      <c r="B3027" s="80" t="s">
        <v>9515</v>
      </c>
    </row>
    <row r="3028" spans="1:2" x14ac:dyDescent="0.25">
      <c r="A3028" s="81" t="s">
        <v>5235</v>
      </c>
      <c r="B3028" s="80" t="s">
        <v>9515</v>
      </c>
    </row>
    <row r="3029" spans="1:2" x14ac:dyDescent="0.25">
      <c r="A3029" s="81" t="s">
        <v>5236</v>
      </c>
      <c r="B3029" s="80" t="s">
        <v>9515</v>
      </c>
    </row>
    <row r="3030" spans="1:2" x14ac:dyDescent="0.25">
      <c r="A3030" s="81" t="s">
        <v>5237</v>
      </c>
      <c r="B3030" s="80" t="s">
        <v>9515</v>
      </c>
    </row>
    <row r="3031" spans="1:2" x14ac:dyDescent="0.25">
      <c r="A3031" s="81" t="s">
        <v>5238</v>
      </c>
      <c r="B3031" s="80" t="s">
        <v>9515</v>
      </c>
    </row>
    <row r="3032" spans="1:2" x14ac:dyDescent="0.25">
      <c r="A3032" s="81" t="s">
        <v>5239</v>
      </c>
      <c r="B3032" s="80" t="s">
        <v>9515</v>
      </c>
    </row>
    <row r="3033" spans="1:2" x14ac:dyDescent="0.25">
      <c r="A3033" s="81" t="s">
        <v>5240</v>
      </c>
      <c r="B3033" s="80" t="s">
        <v>9515</v>
      </c>
    </row>
    <row r="3034" spans="1:2" x14ac:dyDescent="0.25">
      <c r="A3034" s="81" t="s">
        <v>5241</v>
      </c>
      <c r="B3034" s="80" t="s">
        <v>9515</v>
      </c>
    </row>
    <row r="3035" spans="1:2" x14ac:dyDescent="0.25">
      <c r="A3035" s="81" t="s">
        <v>5242</v>
      </c>
      <c r="B3035" s="80" t="s">
        <v>9515</v>
      </c>
    </row>
    <row r="3036" spans="1:2" x14ac:dyDescent="0.25">
      <c r="A3036" s="81" t="s">
        <v>5243</v>
      </c>
      <c r="B3036" s="80" t="s">
        <v>9515</v>
      </c>
    </row>
    <row r="3037" spans="1:2" x14ac:dyDescent="0.25">
      <c r="A3037" s="81" t="s">
        <v>5244</v>
      </c>
      <c r="B3037" s="80" t="s">
        <v>9515</v>
      </c>
    </row>
    <row r="3038" spans="1:2" x14ac:dyDescent="0.25">
      <c r="A3038" s="81" t="s">
        <v>5245</v>
      </c>
      <c r="B3038" s="80" t="s">
        <v>9515</v>
      </c>
    </row>
    <row r="3039" spans="1:2" x14ac:dyDescent="0.25">
      <c r="A3039" s="81" t="s">
        <v>5246</v>
      </c>
      <c r="B3039" s="80" t="s">
        <v>9515</v>
      </c>
    </row>
    <row r="3040" spans="1:2" x14ac:dyDescent="0.25">
      <c r="A3040" s="81" t="s">
        <v>5247</v>
      </c>
      <c r="B3040" s="80" t="s">
        <v>9515</v>
      </c>
    </row>
    <row r="3041" spans="1:2" x14ac:dyDescent="0.25">
      <c r="A3041" s="81" t="s">
        <v>5248</v>
      </c>
      <c r="B3041" s="80" t="s">
        <v>9515</v>
      </c>
    </row>
    <row r="3042" spans="1:2" x14ac:dyDescent="0.25">
      <c r="A3042" s="81" t="s">
        <v>5249</v>
      </c>
      <c r="B3042" s="80" t="s">
        <v>9515</v>
      </c>
    </row>
    <row r="3043" spans="1:2" x14ac:dyDescent="0.25">
      <c r="A3043" s="81" t="s">
        <v>5250</v>
      </c>
      <c r="B3043" s="80" t="s">
        <v>9515</v>
      </c>
    </row>
    <row r="3044" spans="1:2" x14ac:dyDescent="0.25">
      <c r="A3044" s="81" t="s">
        <v>5251</v>
      </c>
      <c r="B3044" s="80" t="s">
        <v>9515</v>
      </c>
    </row>
    <row r="3045" spans="1:2" x14ac:dyDescent="0.25">
      <c r="A3045" s="81" t="s">
        <v>5252</v>
      </c>
      <c r="B3045" s="80" t="s">
        <v>9515</v>
      </c>
    </row>
    <row r="3046" spans="1:2" x14ac:dyDescent="0.25">
      <c r="A3046" s="81" t="s">
        <v>5253</v>
      </c>
      <c r="B3046" s="80" t="s">
        <v>9515</v>
      </c>
    </row>
    <row r="3047" spans="1:2" x14ac:dyDescent="0.25">
      <c r="A3047" s="81" t="s">
        <v>5254</v>
      </c>
      <c r="B3047" s="80" t="s">
        <v>9515</v>
      </c>
    </row>
    <row r="3048" spans="1:2" x14ac:dyDescent="0.25">
      <c r="A3048" s="81" t="s">
        <v>5255</v>
      </c>
      <c r="B3048" s="80" t="s">
        <v>9515</v>
      </c>
    </row>
    <row r="3049" spans="1:2" x14ac:dyDescent="0.25">
      <c r="A3049" s="81" t="s">
        <v>5256</v>
      </c>
      <c r="B3049" s="80" t="s">
        <v>9515</v>
      </c>
    </row>
    <row r="3050" spans="1:2" x14ac:dyDescent="0.25">
      <c r="A3050" s="81" t="s">
        <v>5257</v>
      </c>
      <c r="B3050" s="80" t="s">
        <v>9515</v>
      </c>
    </row>
    <row r="3051" spans="1:2" x14ac:dyDescent="0.25">
      <c r="A3051" s="81" t="s">
        <v>5258</v>
      </c>
      <c r="B3051" s="80" t="s">
        <v>9515</v>
      </c>
    </row>
    <row r="3052" spans="1:2" x14ac:dyDescent="0.25">
      <c r="A3052" s="81" t="s">
        <v>5259</v>
      </c>
      <c r="B3052" s="80" t="s">
        <v>9515</v>
      </c>
    </row>
    <row r="3053" spans="1:2" x14ac:dyDescent="0.25">
      <c r="A3053" s="81" t="s">
        <v>5260</v>
      </c>
      <c r="B3053" s="80" t="s">
        <v>9515</v>
      </c>
    </row>
    <row r="3054" spans="1:2" x14ac:dyDescent="0.25">
      <c r="A3054" s="81" t="s">
        <v>5261</v>
      </c>
      <c r="B3054" s="80" t="s">
        <v>9515</v>
      </c>
    </row>
    <row r="3055" spans="1:2" x14ac:dyDescent="0.25">
      <c r="A3055" s="81" t="s">
        <v>5262</v>
      </c>
      <c r="B3055" s="80" t="s">
        <v>9515</v>
      </c>
    </row>
    <row r="3056" spans="1:2" x14ac:dyDescent="0.25">
      <c r="A3056" s="81" t="s">
        <v>5263</v>
      </c>
      <c r="B3056" s="80" t="s">
        <v>9515</v>
      </c>
    </row>
    <row r="3057" spans="1:2" x14ac:dyDescent="0.25">
      <c r="A3057" s="81" t="s">
        <v>5264</v>
      </c>
      <c r="B3057" s="80" t="s">
        <v>9515</v>
      </c>
    </row>
    <row r="3058" spans="1:2" x14ac:dyDescent="0.25">
      <c r="A3058" s="81" t="s">
        <v>5265</v>
      </c>
      <c r="B3058" s="80" t="s">
        <v>9515</v>
      </c>
    </row>
    <row r="3059" spans="1:2" x14ac:dyDescent="0.25">
      <c r="A3059" s="81" t="s">
        <v>5266</v>
      </c>
      <c r="B3059" s="80" t="s">
        <v>9515</v>
      </c>
    </row>
    <row r="3060" spans="1:2" x14ac:dyDescent="0.25">
      <c r="A3060" s="81" t="s">
        <v>5267</v>
      </c>
      <c r="B3060" s="80" t="s">
        <v>9515</v>
      </c>
    </row>
    <row r="3061" spans="1:2" x14ac:dyDescent="0.25">
      <c r="A3061" s="81" t="s">
        <v>5268</v>
      </c>
      <c r="B3061" s="80" t="s">
        <v>9515</v>
      </c>
    </row>
    <row r="3062" spans="1:2" x14ac:dyDescent="0.25">
      <c r="A3062" s="81" t="s">
        <v>5269</v>
      </c>
      <c r="B3062" s="80" t="s">
        <v>9515</v>
      </c>
    </row>
    <row r="3063" spans="1:2" x14ac:dyDescent="0.25">
      <c r="A3063" s="81" t="s">
        <v>5270</v>
      </c>
      <c r="B3063" s="80" t="s">
        <v>9515</v>
      </c>
    </row>
    <row r="3064" spans="1:2" x14ac:dyDescent="0.25">
      <c r="A3064" s="81" t="s">
        <v>5271</v>
      </c>
      <c r="B3064" s="80" t="s">
        <v>9515</v>
      </c>
    </row>
    <row r="3065" spans="1:2" x14ac:dyDescent="0.25">
      <c r="A3065" s="81" t="s">
        <v>5272</v>
      </c>
      <c r="B3065" s="80" t="s">
        <v>9515</v>
      </c>
    </row>
    <row r="3066" spans="1:2" x14ac:dyDescent="0.25">
      <c r="A3066" s="81" t="s">
        <v>5273</v>
      </c>
      <c r="B3066" s="80" t="s">
        <v>9515</v>
      </c>
    </row>
    <row r="3067" spans="1:2" x14ac:dyDescent="0.25">
      <c r="A3067" s="81" t="s">
        <v>5274</v>
      </c>
      <c r="B3067" s="80" t="s">
        <v>9515</v>
      </c>
    </row>
    <row r="3068" spans="1:2" x14ac:dyDescent="0.25">
      <c r="A3068" s="81" t="s">
        <v>5275</v>
      </c>
      <c r="B3068" s="80" t="s">
        <v>9515</v>
      </c>
    </row>
    <row r="3069" spans="1:2" x14ac:dyDescent="0.25">
      <c r="A3069" s="81" t="s">
        <v>5276</v>
      </c>
      <c r="B3069" s="80" t="s">
        <v>9515</v>
      </c>
    </row>
    <row r="3070" spans="1:2" x14ac:dyDescent="0.25">
      <c r="A3070" s="81" t="s">
        <v>5277</v>
      </c>
      <c r="B3070" s="80" t="s">
        <v>9515</v>
      </c>
    </row>
    <row r="3071" spans="1:2" x14ac:dyDescent="0.25">
      <c r="A3071" s="81" t="s">
        <v>5278</v>
      </c>
      <c r="B3071" s="80" t="s">
        <v>9515</v>
      </c>
    </row>
    <row r="3072" spans="1:2" x14ac:dyDescent="0.25">
      <c r="A3072" s="81" t="s">
        <v>5279</v>
      </c>
      <c r="B3072" s="80" t="s">
        <v>9515</v>
      </c>
    </row>
    <row r="3073" spans="1:2" x14ac:dyDescent="0.25">
      <c r="A3073" s="81" t="s">
        <v>5280</v>
      </c>
      <c r="B3073" s="80" t="s">
        <v>9515</v>
      </c>
    </row>
    <row r="3074" spans="1:2" x14ac:dyDescent="0.25">
      <c r="A3074" s="81" t="s">
        <v>5281</v>
      </c>
      <c r="B3074" s="80" t="s">
        <v>9515</v>
      </c>
    </row>
    <row r="3075" spans="1:2" x14ac:dyDescent="0.25">
      <c r="A3075" s="81" t="s">
        <v>5282</v>
      </c>
      <c r="B3075" s="80" t="s">
        <v>9515</v>
      </c>
    </row>
    <row r="3076" spans="1:2" x14ac:dyDescent="0.25">
      <c r="A3076" s="81" t="s">
        <v>5283</v>
      </c>
      <c r="B3076" s="80" t="s">
        <v>9515</v>
      </c>
    </row>
    <row r="3077" spans="1:2" x14ac:dyDescent="0.25">
      <c r="A3077" s="81" t="s">
        <v>5284</v>
      </c>
      <c r="B3077" s="80" t="s">
        <v>9515</v>
      </c>
    </row>
    <row r="3078" spans="1:2" x14ac:dyDescent="0.25">
      <c r="A3078" s="81" t="s">
        <v>5285</v>
      </c>
      <c r="B3078" s="80" t="s">
        <v>9515</v>
      </c>
    </row>
    <row r="3079" spans="1:2" x14ac:dyDescent="0.25">
      <c r="A3079" s="81" t="s">
        <v>5286</v>
      </c>
      <c r="B3079" s="80" t="s">
        <v>9515</v>
      </c>
    </row>
    <row r="3080" spans="1:2" x14ac:dyDescent="0.25">
      <c r="A3080" s="81" t="s">
        <v>5287</v>
      </c>
      <c r="B3080" s="80" t="s">
        <v>9515</v>
      </c>
    </row>
    <row r="3081" spans="1:2" x14ac:dyDescent="0.25">
      <c r="A3081" s="81" t="s">
        <v>5288</v>
      </c>
      <c r="B3081" s="80" t="s">
        <v>9515</v>
      </c>
    </row>
    <row r="3082" spans="1:2" x14ac:dyDescent="0.25">
      <c r="A3082" s="81" t="s">
        <v>5289</v>
      </c>
      <c r="B3082" s="80" t="s">
        <v>9515</v>
      </c>
    </row>
    <row r="3083" spans="1:2" x14ac:dyDescent="0.25">
      <c r="A3083" s="81" t="s">
        <v>5290</v>
      </c>
      <c r="B3083" s="80" t="s">
        <v>9515</v>
      </c>
    </row>
    <row r="3084" spans="1:2" x14ac:dyDescent="0.25">
      <c r="A3084" s="81" t="s">
        <v>5291</v>
      </c>
      <c r="B3084" s="80" t="s">
        <v>9515</v>
      </c>
    </row>
    <row r="3085" spans="1:2" x14ac:dyDescent="0.25">
      <c r="A3085" s="81" t="s">
        <v>5292</v>
      </c>
      <c r="B3085" s="80" t="s">
        <v>9515</v>
      </c>
    </row>
    <row r="3086" spans="1:2" x14ac:dyDescent="0.25">
      <c r="A3086" s="81" t="s">
        <v>5293</v>
      </c>
      <c r="B3086" s="80" t="s">
        <v>9515</v>
      </c>
    </row>
    <row r="3087" spans="1:2" x14ac:dyDescent="0.25">
      <c r="A3087" s="81" t="s">
        <v>5294</v>
      </c>
      <c r="B3087" s="80" t="s">
        <v>9515</v>
      </c>
    </row>
    <row r="3088" spans="1:2" x14ac:dyDescent="0.25">
      <c r="A3088" s="81" t="s">
        <v>5295</v>
      </c>
      <c r="B3088" s="80" t="s">
        <v>9515</v>
      </c>
    </row>
    <row r="3089" spans="1:2" x14ac:dyDescent="0.25">
      <c r="A3089" s="81" t="s">
        <v>5296</v>
      </c>
      <c r="B3089" s="80" t="s">
        <v>9515</v>
      </c>
    </row>
    <row r="3090" spans="1:2" x14ac:dyDescent="0.25">
      <c r="A3090" s="81" t="s">
        <v>5297</v>
      </c>
      <c r="B3090" s="80" t="s">
        <v>9515</v>
      </c>
    </row>
    <row r="3091" spans="1:2" x14ac:dyDescent="0.25">
      <c r="A3091" s="81" t="s">
        <v>5298</v>
      </c>
      <c r="B3091" s="80" t="s">
        <v>9515</v>
      </c>
    </row>
    <row r="3092" spans="1:2" x14ac:dyDescent="0.25">
      <c r="A3092" s="81" t="s">
        <v>5299</v>
      </c>
      <c r="B3092" s="80" t="s">
        <v>9515</v>
      </c>
    </row>
    <row r="3093" spans="1:2" x14ac:dyDescent="0.25">
      <c r="A3093" s="81" t="s">
        <v>5300</v>
      </c>
      <c r="B3093" s="80" t="s">
        <v>9515</v>
      </c>
    </row>
    <row r="3094" spans="1:2" x14ac:dyDescent="0.25">
      <c r="A3094" s="81" t="s">
        <v>5301</v>
      </c>
      <c r="B3094" s="80" t="s">
        <v>9515</v>
      </c>
    </row>
    <row r="3095" spans="1:2" x14ac:dyDescent="0.25">
      <c r="A3095" s="81" t="s">
        <v>5302</v>
      </c>
      <c r="B3095" s="80" t="s">
        <v>9515</v>
      </c>
    </row>
    <row r="3096" spans="1:2" x14ac:dyDescent="0.25">
      <c r="A3096" s="81" t="s">
        <v>5303</v>
      </c>
      <c r="B3096" s="80" t="s">
        <v>9515</v>
      </c>
    </row>
    <row r="3097" spans="1:2" x14ac:dyDescent="0.25">
      <c r="A3097" s="81" t="s">
        <v>5304</v>
      </c>
      <c r="B3097" s="80" t="s">
        <v>9515</v>
      </c>
    </row>
    <row r="3098" spans="1:2" x14ac:dyDescent="0.25">
      <c r="A3098" s="81" t="s">
        <v>5305</v>
      </c>
      <c r="B3098" s="80" t="s">
        <v>9515</v>
      </c>
    </row>
    <row r="3099" spans="1:2" x14ac:dyDescent="0.25">
      <c r="A3099" s="81" t="s">
        <v>5306</v>
      </c>
      <c r="B3099" s="80" t="s">
        <v>9515</v>
      </c>
    </row>
    <row r="3100" spans="1:2" x14ac:dyDescent="0.25">
      <c r="A3100" s="81" t="s">
        <v>5307</v>
      </c>
      <c r="B3100" s="80" t="s">
        <v>9515</v>
      </c>
    </row>
    <row r="3101" spans="1:2" x14ac:dyDescent="0.25">
      <c r="A3101" s="81" t="s">
        <v>5308</v>
      </c>
      <c r="B3101" s="80" t="s">
        <v>9515</v>
      </c>
    </row>
    <row r="3102" spans="1:2" x14ac:dyDescent="0.25">
      <c r="A3102" s="81" t="s">
        <v>5309</v>
      </c>
      <c r="B3102" s="80" t="s">
        <v>9515</v>
      </c>
    </row>
    <row r="3103" spans="1:2" x14ac:dyDescent="0.25">
      <c r="A3103" s="81" t="s">
        <v>5310</v>
      </c>
      <c r="B3103" s="80" t="s">
        <v>9515</v>
      </c>
    </row>
    <row r="3104" spans="1:2" x14ac:dyDescent="0.25">
      <c r="A3104" s="81" t="s">
        <v>5311</v>
      </c>
      <c r="B3104" s="80" t="s">
        <v>9515</v>
      </c>
    </row>
    <row r="3105" spans="1:2" x14ac:dyDescent="0.25">
      <c r="A3105" s="81" t="s">
        <v>5312</v>
      </c>
      <c r="B3105" s="80" t="s">
        <v>9515</v>
      </c>
    </row>
    <row r="3106" spans="1:2" x14ac:dyDescent="0.25">
      <c r="A3106" s="81" t="s">
        <v>5313</v>
      </c>
      <c r="B3106" s="80" t="s">
        <v>9515</v>
      </c>
    </row>
    <row r="3107" spans="1:2" x14ac:dyDescent="0.25">
      <c r="A3107" s="81" t="s">
        <v>5314</v>
      </c>
      <c r="B3107" s="80" t="s">
        <v>9515</v>
      </c>
    </row>
    <row r="3108" spans="1:2" x14ac:dyDescent="0.25">
      <c r="A3108" s="81" t="s">
        <v>5315</v>
      </c>
      <c r="B3108" s="80" t="s">
        <v>9515</v>
      </c>
    </row>
    <row r="3109" spans="1:2" x14ac:dyDescent="0.25">
      <c r="A3109" s="81" t="s">
        <v>5316</v>
      </c>
      <c r="B3109" s="80" t="s">
        <v>9515</v>
      </c>
    </row>
    <row r="3110" spans="1:2" x14ac:dyDescent="0.25">
      <c r="A3110" s="81" t="s">
        <v>5317</v>
      </c>
      <c r="B3110" s="80" t="s">
        <v>9515</v>
      </c>
    </row>
    <row r="3111" spans="1:2" x14ac:dyDescent="0.25">
      <c r="A3111" s="81" t="s">
        <v>5318</v>
      </c>
      <c r="B3111" s="80" t="s">
        <v>9515</v>
      </c>
    </row>
    <row r="3112" spans="1:2" x14ac:dyDescent="0.25">
      <c r="A3112" s="81" t="s">
        <v>5319</v>
      </c>
      <c r="B3112" s="80" t="s">
        <v>9515</v>
      </c>
    </row>
    <row r="3113" spans="1:2" x14ac:dyDescent="0.25">
      <c r="A3113" s="81" t="s">
        <v>5320</v>
      </c>
      <c r="B3113" s="80" t="s">
        <v>9515</v>
      </c>
    </row>
    <row r="3114" spans="1:2" x14ac:dyDescent="0.25">
      <c r="A3114" s="81" t="s">
        <v>5321</v>
      </c>
      <c r="B3114" s="80" t="s">
        <v>9515</v>
      </c>
    </row>
    <row r="3115" spans="1:2" x14ac:dyDescent="0.25">
      <c r="A3115" s="81" t="s">
        <v>5322</v>
      </c>
      <c r="B3115" s="80" t="s">
        <v>9515</v>
      </c>
    </row>
    <row r="3116" spans="1:2" x14ac:dyDescent="0.25">
      <c r="A3116" s="81" t="s">
        <v>5323</v>
      </c>
      <c r="B3116" s="80" t="s">
        <v>9515</v>
      </c>
    </row>
    <row r="3117" spans="1:2" x14ac:dyDescent="0.25">
      <c r="A3117" s="81" t="s">
        <v>5324</v>
      </c>
      <c r="B3117" s="80" t="s">
        <v>9515</v>
      </c>
    </row>
    <row r="3118" spans="1:2" x14ac:dyDescent="0.25">
      <c r="A3118" s="81" t="s">
        <v>5325</v>
      </c>
      <c r="B3118" s="80" t="s">
        <v>9515</v>
      </c>
    </row>
    <row r="3119" spans="1:2" x14ac:dyDescent="0.25">
      <c r="A3119" s="81" t="s">
        <v>5326</v>
      </c>
      <c r="B3119" s="80" t="s">
        <v>9515</v>
      </c>
    </row>
    <row r="3120" spans="1:2" x14ac:dyDescent="0.25">
      <c r="A3120" s="81" t="s">
        <v>5327</v>
      </c>
      <c r="B3120" s="80" t="s">
        <v>9515</v>
      </c>
    </row>
    <row r="3121" spans="1:2" x14ac:dyDescent="0.25">
      <c r="A3121" s="81" t="s">
        <v>5328</v>
      </c>
      <c r="B3121" s="80" t="s">
        <v>9515</v>
      </c>
    </row>
    <row r="3122" spans="1:2" x14ac:dyDescent="0.25">
      <c r="A3122" s="81" t="s">
        <v>5329</v>
      </c>
      <c r="B3122" s="80" t="s">
        <v>9515</v>
      </c>
    </row>
    <row r="3123" spans="1:2" x14ac:dyDescent="0.25">
      <c r="A3123" s="81" t="s">
        <v>5330</v>
      </c>
      <c r="B3123" s="80" t="s">
        <v>9515</v>
      </c>
    </row>
    <row r="3124" spans="1:2" x14ac:dyDescent="0.25">
      <c r="A3124" s="81" t="s">
        <v>5331</v>
      </c>
      <c r="B3124" s="80" t="s">
        <v>9515</v>
      </c>
    </row>
    <row r="3125" spans="1:2" x14ac:dyDescent="0.25">
      <c r="A3125" s="81" t="s">
        <v>5332</v>
      </c>
      <c r="B3125" s="80" t="s">
        <v>9515</v>
      </c>
    </row>
    <row r="3126" spans="1:2" x14ac:dyDescent="0.25">
      <c r="A3126" s="81" t="s">
        <v>5333</v>
      </c>
      <c r="B3126" s="80" t="s">
        <v>9515</v>
      </c>
    </row>
    <row r="3127" spans="1:2" x14ac:dyDescent="0.25">
      <c r="A3127" s="81" t="s">
        <v>5334</v>
      </c>
      <c r="B3127" s="80" t="s">
        <v>9515</v>
      </c>
    </row>
    <row r="3128" spans="1:2" x14ac:dyDescent="0.25">
      <c r="A3128" s="81" t="s">
        <v>5335</v>
      </c>
      <c r="B3128" s="80" t="s">
        <v>9515</v>
      </c>
    </row>
    <row r="3129" spans="1:2" x14ac:dyDescent="0.25">
      <c r="A3129" s="81" t="s">
        <v>5336</v>
      </c>
      <c r="B3129" s="80" t="s">
        <v>9515</v>
      </c>
    </row>
    <row r="3130" spans="1:2" x14ac:dyDescent="0.25">
      <c r="A3130" s="81" t="s">
        <v>5337</v>
      </c>
      <c r="B3130" s="80" t="s">
        <v>9515</v>
      </c>
    </row>
    <row r="3131" spans="1:2" x14ac:dyDescent="0.25">
      <c r="A3131" s="81" t="s">
        <v>5338</v>
      </c>
      <c r="B3131" s="80" t="s">
        <v>9515</v>
      </c>
    </row>
    <row r="3132" spans="1:2" x14ac:dyDescent="0.25">
      <c r="A3132" s="81" t="s">
        <v>5339</v>
      </c>
      <c r="B3132" s="80" t="s">
        <v>9515</v>
      </c>
    </row>
    <row r="3133" spans="1:2" x14ac:dyDescent="0.25">
      <c r="A3133" s="81" t="s">
        <v>5340</v>
      </c>
      <c r="B3133" s="80" t="s">
        <v>9515</v>
      </c>
    </row>
    <row r="3134" spans="1:2" x14ac:dyDescent="0.25">
      <c r="A3134" s="81" t="s">
        <v>5341</v>
      </c>
      <c r="B3134" s="80" t="s">
        <v>9515</v>
      </c>
    </row>
    <row r="3135" spans="1:2" x14ac:dyDescent="0.25">
      <c r="A3135" s="81" t="s">
        <v>5342</v>
      </c>
      <c r="B3135" s="80" t="s">
        <v>9515</v>
      </c>
    </row>
    <row r="3136" spans="1:2" x14ac:dyDescent="0.25">
      <c r="A3136" s="81" t="s">
        <v>5343</v>
      </c>
      <c r="B3136" s="80" t="s">
        <v>9515</v>
      </c>
    </row>
    <row r="3137" spans="1:2" x14ac:dyDescent="0.25">
      <c r="A3137" s="81" t="s">
        <v>5344</v>
      </c>
      <c r="B3137" s="80" t="s">
        <v>9515</v>
      </c>
    </row>
    <row r="3138" spans="1:2" x14ac:dyDescent="0.25">
      <c r="A3138" s="81" t="s">
        <v>5345</v>
      </c>
      <c r="B3138" s="80" t="s">
        <v>9515</v>
      </c>
    </row>
    <row r="3139" spans="1:2" x14ac:dyDescent="0.25">
      <c r="A3139" s="81" t="s">
        <v>5346</v>
      </c>
      <c r="B3139" s="80" t="s">
        <v>9515</v>
      </c>
    </row>
    <row r="3140" spans="1:2" x14ac:dyDescent="0.25">
      <c r="A3140" s="81" t="s">
        <v>5347</v>
      </c>
      <c r="B3140" s="80" t="s">
        <v>9515</v>
      </c>
    </row>
    <row r="3141" spans="1:2" x14ac:dyDescent="0.25">
      <c r="A3141" s="81" t="s">
        <v>5348</v>
      </c>
      <c r="B3141" s="80" t="s">
        <v>9515</v>
      </c>
    </row>
    <row r="3142" spans="1:2" x14ac:dyDescent="0.25">
      <c r="A3142" s="81" t="s">
        <v>5349</v>
      </c>
      <c r="B3142" s="80" t="s">
        <v>9515</v>
      </c>
    </row>
    <row r="3143" spans="1:2" x14ac:dyDescent="0.25">
      <c r="A3143" s="81" t="s">
        <v>5350</v>
      </c>
      <c r="B3143" s="80" t="s">
        <v>9515</v>
      </c>
    </row>
    <row r="3144" spans="1:2" x14ac:dyDescent="0.25">
      <c r="A3144" s="81" t="s">
        <v>5351</v>
      </c>
      <c r="B3144" s="80" t="s">
        <v>9515</v>
      </c>
    </row>
    <row r="3145" spans="1:2" x14ac:dyDescent="0.25">
      <c r="A3145" s="81" t="s">
        <v>5352</v>
      </c>
      <c r="B3145" s="80" t="s">
        <v>9515</v>
      </c>
    </row>
    <row r="3146" spans="1:2" x14ac:dyDescent="0.25">
      <c r="A3146" s="81" t="s">
        <v>5353</v>
      </c>
      <c r="B3146" s="80" t="s">
        <v>9515</v>
      </c>
    </row>
    <row r="3147" spans="1:2" x14ac:dyDescent="0.25">
      <c r="A3147" s="81" t="s">
        <v>5354</v>
      </c>
      <c r="B3147" s="80" t="s">
        <v>9515</v>
      </c>
    </row>
    <row r="3148" spans="1:2" x14ac:dyDescent="0.25">
      <c r="A3148" s="81" t="s">
        <v>5355</v>
      </c>
      <c r="B3148" s="80" t="s">
        <v>9515</v>
      </c>
    </row>
    <row r="3149" spans="1:2" x14ac:dyDescent="0.25">
      <c r="A3149" s="81" t="s">
        <v>5356</v>
      </c>
      <c r="B3149" s="80" t="s">
        <v>9515</v>
      </c>
    </row>
    <row r="3150" spans="1:2" x14ac:dyDescent="0.25">
      <c r="A3150" s="81" t="s">
        <v>5357</v>
      </c>
      <c r="B3150" s="80" t="s">
        <v>9515</v>
      </c>
    </row>
    <row r="3151" spans="1:2" x14ac:dyDescent="0.25">
      <c r="A3151" s="81" t="s">
        <v>5358</v>
      </c>
      <c r="B3151" s="80" t="s">
        <v>9515</v>
      </c>
    </row>
    <row r="3152" spans="1:2" x14ac:dyDescent="0.25">
      <c r="A3152" s="81" t="s">
        <v>5359</v>
      </c>
      <c r="B3152" s="80" t="s">
        <v>9515</v>
      </c>
    </row>
    <row r="3153" spans="1:2" x14ac:dyDescent="0.25">
      <c r="A3153" s="81" t="s">
        <v>5360</v>
      </c>
      <c r="B3153" s="80" t="s">
        <v>9515</v>
      </c>
    </row>
    <row r="3154" spans="1:2" x14ac:dyDescent="0.25">
      <c r="A3154" s="81" t="s">
        <v>5361</v>
      </c>
      <c r="B3154" s="80" t="s">
        <v>9515</v>
      </c>
    </row>
    <row r="3155" spans="1:2" x14ac:dyDescent="0.25">
      <c r="A3155" s="81" t="s">
        <v>5362</v>
      </c>
      <c r="B3155" s="80" t="s">
        <v>9515</v>
      </c>
    </row>
    <row r="3156" spans="1:2" x14ac:dyDescent="0.25">
      <c r="A3156" s="81" t="s">
        <v>5363</v>
      </c>
      <c r="B3156" s="80" t="s">
        <v>9515</v>
      </c>
    </row>
    <row r="3157" spans="1:2" x14ac:dyDescent="0.25">
      <c r="A3157" s="81" t="s">
        <v>5364</v>
      </c>
      <c r="B3157" s="80" t="s">
        <v>9515</v>
      </c>
    </row>
    <row r="3158" spans="1:2" x14ac:dyDescent="0.25">
      <c r="A3158" s="81" t="s">
        <v>5365</v>
      </c>
      <c r="B3158" s="80" t="s">
        <v>9515</v>
      </c>
    </row>
    <row r="3159" spans="1:2" x14ac:dyDescent="0.25">
      <c r="A3159" s="81" t="s">
        <v>5366</v>
      </c>
      <c r="B3159" s="80" t="s">
        <v>9515</v>
      </c>
    </row>
    <row r="3160" spans="1:2" x14ac:dyDescent="0.25">
      <c r="A3160" s="81" t="s">
        <v>5367</v>
      </c>
      <c r="B3160" s="80" t="s">
        <v>9515</v>
      </c>
    </row>
    <row r="3161" spans="1:2" x14ac:dyDescent="0.25">
      <c r="A3161" s="81" t="s">
        <v>5368</v>
      </c>
      <c r="B3161" s="80" t="s">
        <v>9515</v>
      </c>
    </row>
    <row r="3162" spans="1:2" x14ac:dyDescent="0.25">
      <c r="A3162" s="81" t="s">
        <v>5369</v>
      </c>
      <c r="B3162" s="80" t="s">
        <v>9515</v>
      </c>
    </row>
    <row r="3163" spans="1:2" x14ac:dyDescent="0.25">
      <c r="A3163" s="81" t="s">
        <v>5370</v>
      </c>
      <c r="B3163" s="80" t="s">
        <v>9515</v>
      </c>
    </row>
    <row r="3164" spans="1:2" x14ac:dyDescent="0.25">
      <c r="A3164" s="81" t="s">
        <v>5371</v>
      </c>
      <c r="B3164" s="80" t="s">
        <v>9515</v>
      </c>
    </row>
    <row r="3165" spans="1:2" x14ac:dyDescent="0.25">
      <c r="A3165" s="81" t="s">
        <v>5372</v>
      </c>
      <c r="B3165" s="80" t="s">
        <v>9515</v>
      </c>
    </row>
    <row r="3166" spans="1:2" x14ac:dyDescent="0.25">
      <c r="A3166" s="81" t="s">
        <v>5373</v>
      </c>
      <c r="B3166" s="80" t="s">
        <v>9515</v>
      </c>
    </row>
    <row r="3167" spans="1:2" x14ac:dyDescent="0.25">
      <c r="A3167" s="81" t="s">
        <v>5374</v>
      </c>
      <c r="B3167" s="80" t="s">
        <v>9515</v>
      </c>
    </row>
    <row r="3168" spans="1:2" x14ac:dyDescent="0.25">
      <c r="A3168" s="81" t="s">
        <v>5375</v>
      </c>
      <c r="B3168" s="80" t="s">
        <v>9515</v>
      </c>
    </row>
    <row r="3169" spans="1:2" x14ac:dyDescent="0.25">
      <c r="A3169" s="81" t="s">
        <v>5376</v>
      </c>
      <c r="B3169" s="80" t="s">
        <v>9515</v>
      </c>
    </row>
    <row r="3170" spans="1:2" x14ac:dyDescent="0.25">
      <c r="A3170" s="81" t="s">
        <v>5377</v>
      </c>
      <c r="B3170" s="80" t="s">
        <v>9515</v>
      </c>
    </row>
    <row r="3171" spans="1:2" x14ac:dyDescent="0.25">
      <c r="A3171" s="81" t="s">
        <v>5378</v>
      </c>
      <c r="B3171" s="80" t="s">
        <v>9515</v>
      </c>
    </row>
    <row r="3172" spans="1:2" x14ac:dyDescent="0.25">
      <c r="A3172" s="81" t="s">
        <v>5379</v>
      </c>
      <c r="B3172" s="80" t="s">
        <v>9515</v>
      </c>
    </row>
    <row r="3173" spans="1:2" x14ac:dyDescent="0.25">
      <c r="A3173" s="81" t="s">
        <v>5380</v>
      </c>
      <c r="B3173" s="80" t="s">
        <v>9515</v>
      </c>
    </row>
    <row r="3174" spans="1:2" x14ac:dyDescent="0.25">
      <c r="A3174" s="81" t="s">
        <v>5381</v>
      </c>
      <c r="B3174" s="80" t="s">
        <v>9515</v>
      </c>
    </row>
    <row r="3175" spans="1:2" x14ac:dyDescent="0.25">
      <c r="A3175" s="81" t="s">
        <v>5382</v>
      </c>
      <c r="B3175" s="80" t="s">
        <v>9515</v>
      </c>
    </row>
    <row r="3176" spans="1:2" x14ac:dyDescent="0.25">
      <c r="A3176" s="81" t="s">
        <v>5383</v>
      </c>
      <c r="B3176" s="80" t="s">
        <v>9515</v>
      </c>
    </row>
    <row r="3177" spans="1:2" x14ac:dyDescent="0.25">
      <c r="A3177" s="81" t="s">
        <v>5384</v>
      </c>
      <c r="B3177" s="80" t="s">
        <v>9515</v>
      </c>
    </row>
    <row r="3178" spans="1:2" x14ac:dyDescent="0.25">
      <c r="A3178" s="81" t="s">
        <v>5385</v>
      </c>
      <c r="B3178" s="80" t="s">
        <v>9515</v>
      </c>
    </row>
    <row r="3179" spans="1:2" x14ac:dyDescent="0.25">
      <c r="A3179" s="81" t="s">
        <v>5386</v>
      </c>
      <c r="B3179" s="80" t="s">
        <v>9515</v>
      </c>
    </row>
    <row r="3180" spans="1:2" x14ac:dyDescent="0.25">
      <c r="A3180" s="81" t="s">
        <v>5387</v>
      </c>
      <c r="B3180" s="80" t="s">
        <v>9515</v>
      </c>
    </row>
    <row r="3181" spans="1:2" x14ac:dyDescent="0.25">
      <c r="A3181" s="81" t="s">
        <v>5388</v>
      </c>
      <c r="B3181" s="80" t="s">
        <v>9515</v>
      </c>
    </row>
    <row r="3182" spans="1:2" x14ac:dyDescent="0.25">
      <c r="A3182" s="81" t="s">
        <v>5389</v>
      </c>
      <c r="B3182" s="80" t="s">
        <v>9515</v>
      </c>
    </row>
    <row r="3183" spans="1:2" x14ac:dyDescent="0.25">
      <c r="A3183" s="81" t="s">
        <v>5390</v>
      </c>
      <c r="B3183" s="80" t="s">
        <v>9515</v>
      </c>
    </row>
    <row r="3184" spans="1:2" x14ac:dyDescent="0.25">
      <c r="A3184" s="81" t="s">
        <v>5391</v>
      </c>
      <c r="B3184" s="80" t="s">
        <v>9515</v>
      </c>
    </row>
    <row r="3185" spans="1:2" x14ac:dyDescent="0.25">
      <c r="A3185" s="81" t="s">
        <v>2173</v>
      </c>
      <c r="B3185" s="80" t="s">
        <v>9515</v>
      </c>
    </row>
    <row r="3186" spans="1:2" x14ac:dyDescent="0.25">
      <c r="A3186" s="81" t="s">
        <v>5392</v>
      </c>
      <c r="B3186" s="80" t="s">
        <v>9515</v>
      </c>
    </row>
    <row r="3187" spans="1:2" x14ac:dyDescent="0.25">
      <c r="A3187" s="81" t="s">
        <v>5393</v>
      </c>
      <c r="B3187" s="80" t="s">
        <v>9515</v>
      </c>
    </row>
    <row r="3188" spans="1:2" x14ac:dyDescent="0.25">
      <c r="A3188" s="81" t="s">
        <v>5394</v>
      </c>
      <c r="B3188" s="80" t="s">
        <v>9515</v>
      </c>
    </row>
    <row r="3189" spans="1:2" x14ac:dyDescent="0.25">
      <c r="A3189" s="81" t="s">
        <v>5395</v>
      </c>
      <c r="B3189" s="80" t="s">
        <v>9515</v>
      </c>
    </row>
    <row r="3190" spans="1:2" x14ac:dyDescent="0.25">
      <c r="A3190" s="81" t="s">
        <v>5396</v>
      </c>
      <c r="B3190" s="80" t="s">
        <v>9515</v>
      </c>
    </row>
    <row r="3191" spans="1:2" x14ac:dyDescent="0.25">
      <c r="A3191" s="81" t="s">
        <v>5397</v>
      </c>
      <c r="B3191" s="80" t="s">
        <v>9515</v>
      </c>
    </row>
    <row r="3192" spans="1:2" x14ac:dyDescent="0.25">
      <c r="A3192" s="81" t="s">
        <v>5398</v>
      </c>
      <c r="B3192" s="80" t="s">
        <v>9515</v>
      </c>
    </row>
    <row r="3193" spans="1:2" x14ac:dyDescent="0.25">
      <c r="A3193" s="81" t="s">
        <v>5399</v>
      </c>
      <c r="B3193" s="80" t="s">
        <v>9515</v>
      </c>
    </row>
    <row r="3194" spans="1:2" x14ac:dyDescent="0.25">
      <c r="A3194" s="81" t="s">
        <v>5400</v>
      </c>
      <c r="B3194" s="80" t="s">
        <v>9515</v>
      </c>
    </row>
    <row r="3195" spans="1:2" x14ac:dyDescent="0.25">
      <c r="A3195" s="81" t="s">
        <v>5401</v>
      </c>
      <c r="B3195" s="80" t="s">
        <v>9515</v>
      </c>
    </row>
    <row r="3196" spans="1:2" x14ac:dyDescent="0.25">
      <c r="A3196" s="81" t="s">
        <v>5402</v>
      </c>
      <c r="B3196" s="80" t="s">
        <v>9515</v>
      </c>
    </row>
    <row r="3197" spans="1:2" x14ac:dyDescent="0.25">
      <c r="A3197" s="81" t="s">
        <v>5403</v>
      </c>
      <c r="B3197" s="80" t="s">
        <v>9515</v>
      </c>
    </row>
    <row r="3198" spans="1:2" x14ac:dyDescent="0.25">
      <c r="A3198" s="81" t="s">
        <v>5404</v>
      </c>
      <c r="B3198" s="80" t="s">
        <v>9515</v>
      </c>
    </row>
    <row r="3199" spans="1:2" x14ac:dyDescent="0.25">
      <c r="A3199" s="81" t="s">
        <v>5405</v>
      </c>
      <c r="B3199" s="80" t="s">
        <v>9515</v>
      </c>
    </row>
    <row r="3200" spans="1:2" x14ac:dyDescent="0.25">
      <c r="A3200" s="81" t="s">
        <v>5406</v>
      </c>
      <c r="B3200" s="80" t="s">
        <v>9515</v>
      </c>
    </row>
    <row r="3201" spans="1:2" x14ac:dyDescent="0.25">
      <c r="A3201" s="81" t="s">
        <v>5407</v>
      </c>
      <c r="B3201" s="80" t="s">
        <v>9515</v>
      </c>
    </row>
    <row r="3202" spans="1:2" x14ac:dyDescent="0.25">
      <c r="A3202" s="81" t="s">
        <v>5408</v>
      </c>
      <c r="B3202" s="80" t="s">
        <v>9515</v>
      </c>
    </row>
    <row r="3203" spans="1:2" x14ac:dyDescent="0.25">
      <c r="A3203" s="81" t="s">
        <v>5409</v>
      </c>
      <c r="B3203" s="80" t="s">
        <v>9515</v>
      </c>
    </row>
    <row r="3204" spans="1:2" x14ac:dyDescent="0.25">
      <c r="A3204" s="81" t="s">
        <v>5410</v>
      </c>
      <c r="B3204" s="80" t="s">
        <v>9515</v>
      </c>
    </row>
    <row r="3205" spans="1:2" x14ac:dyDescent="0.25">
      <c r="A3205" s="81" t="s">
        <v>5411</v>
      </c>
      <c r="B3205" s="80" t="s">
        <v>9515</v>
      </c>
    </row>
    <row r="3206" spans="1:2" x14ac:dyDescent="0.25">
      <c r="A3206" s="81" t="s">
        <v>5412</v>
      </c>
      <c r="B3206" s="80" t="s">
        <v>9515</v>
      </c>
    </row>
    <row r="3207" spans="1:2" x14ac:dyDescent="0.25">
      <c r="A3207" s="81" t="s">
        <v>5413</v>
      </c>
      <c r="B3207" s="80" t="s">
        <v>9515</v>
      </c>
    </row>
    <row r="3208" spans="1:2" x14ac:dyDescent="0.25">
      <c r="A3208" s="81" t="s">
        <v>5414</v>
      </c>
      <c r="B3208" s="80" t="s">
        <v>9515</v>
      </c>
    </row>
    <row r="3209" spans="1:2" x14ac:dyDescent="0.25">
      <c r="A3209" s="81" t="s">
        <v>5415</v>
      </c>
      <c r="B3209" s="80" t="s">
        <v>9515</v>
      </c>
    </row>
    <row r="3210" spans="1:2" x14ac:dyDescent="0.25">
      <c r="A3210" s="81" t="s">
        <v>5416</v>
      </c>
      <c r="B3210" s="80" t="s">
        <v>9515</v>
      </c>
    </row>
    <row r="3211" spans="1:2" x14ac:dyDescent="0.25">
      <c r="A3211" s="81" t="s">
        <v>5417</v>
      </c>
      <c r="B3211" s="80" t="s">
        <v>9515</v>
      </c>
    </row>
    <row r="3212" spans="1:2" x14ac:dyDescent="0.25">
      <c r="A3212" s="81" t="s">
        <v>5418</v>
      </c>
      <c r="B3212" s="80" t="s">
        <v>9515</v>
      </c>
    </row>
    <row r="3213" spans="1:2" x14ac:dyDescent="0.25">
      <c r="A3213" s="81" t="s">
        <v>5419</v>
      </c>
      <c r="B3213" s="80" t="s">
        <v>9515</v>
      </c>
    </row>
    <row r="3214" spans="1:2" x14ac:dyDescent="0.25">
      <c r="A3214" s="81" t="s">
        <v>5420</v>
      </c>
      <c r="B3214" s="80" t="s">
        <v>9515</v>
      </c>
    </row>
    <row r="3215" spans="1:2" x14ac:dyDescent="0.25">
      <c r="A3215" s="81" t="s">
        <v>5421</v>
      </c>
      <c r="B3215" s="80" t="s">
        <v>9515</v>
      </c>
    </row>
    <row r="3216" spans="1:2" x14ac:dyDescent="0.25">
      <c r="A3216" s="81" t="s">
        <v>5422</v>
      </c>
      <c r="B3216" s="80" t="s">
        <v>9515</v>
      </c>
    </row>
    <row r="3217" spans="1:2" x14ac:dyDescent="0.25">
      <c r="A3217" s="81" t="s">
        <v>5423</v>
      </c>
      <c r="B3217" s="80" t="s">
        <v>9515</v>
      </c>
    </row>
    <row r="3218" spans="1:2" x14ac:dyDescent="0.25">
      <c r="A3218" s="81" t="s">
        <v>5424</v>
      </c>
      <c r="B3218" s="80" t="s">
        <v>9515</v>
      </c>
    </row>
    <row r="3219" spans="1:2" x14ac:dyDescent="0.25">
      <c r="A3219" s="81" t="s">
        <v>5425</v>
      </c>
      <c r="B3219" s="80" t="s">
        <v>9515</v>
      </c>
    </row>
    <row r="3220" spans="1:2" x14ac:dyDescent="0.25">
      <c r="A3220" s="81" t="s">
        <v>5426</v>
      </c>
      <c r="B3220" s="80" t="s">
        <v>9515</v>
      </c>
    </row>
    <row r="3221" spans="1:2" x14ac:dyDescent="0.25">
      <c r="A3221" s="81" t="s">
        <v>5427</v>
      </c>
      <c r="B3221" s="80" t="s">
        <v>9515</v>
      </c>
    </row>
    <row r="3222" spans="1:2" x14ac:dyDescent="0.25">
      <c r="A3222" s="81" t="s">
        <v>5428</v>
      </c>
      <c r="B3222" s="80" t="s">
        <v>9515</v>
      </c>
    </row>
    <row r="3223" spans="1:2" x14ac:dyDescent="0.25">
      <c r="A3223" s="81" t="s">
        <v>5429</v>
      </c>
      <c r="B3223" s="80" t="s">
        <v>9515</v>
      </c>
    </row>
    <row r="3224" spans="1:2" x14ac:dyDescent="0.25">
      <c r="A3224" s="81" t="s">
        <v>5430</v>
      </c>
      <c r="B3224" s="80" t="s">
        <v>9515</v>
      </c>
    </row>
    <row r="3225" spans="1:2" x14ac:dyDescent="0.25">
      <c r="A3225" s="81" t="s">
        <v>5431</v>
      </c>
      <c r="B3225" s="80" t="s">
        <v>9515</v>
      </c>
    </row>
    <row r="3226" spans="1:2" x14ac:dyDescent="0.25">
      <c r="A3226" s="81" t="s">
        <v>5432</v>
      </c>
      <c r="B3226" s="80" t="s">
        <v>9515</v>
      </c>
    </row>
    <row r="3227" spans="1:2" x14ac:dyDescent="0.25">
      <c r="A3227" s="81" t="s">
        <v>5433</v>
      </c>
      <c r="B3227" s="80" t="s">
        <v>9515</v>
      </c>
    </row>
    <row r="3228" spans="1:2" x14ac:dyDescent="0.25">
      <c r="A3228" s="81" t="s">
        <v>5434</v>
      </c>
      <c r="B3228" s="80" t="s">
        <v>9515</v>
      </c>
    </row>
    <row r="3229" spans="1:2" x14ac:dyDescent="0.25">
      <c r="A3229" s="81" t="s">
        <v>5435</v>
      </c>
      <c r="B3229" s="80" t="s">
        <v>9515</v>
      </c>
    </row>
    <row r="3230" spans="1:2" x14ac:dyDescent="0.25">
      <c r="A3230" s="81" t="s">
        <v>5436</v>
      </c>
      <c r="B3230" s="80" t="s">
        <v>9515</v>
      </c>
    </row>
    <row r="3231" spans="1:2" x14ac:dyDescent="0.25">
      <c r="A3231" s="81" t="s">
        <v>5437</v>
      </c>
      <c r="B3231" s="80" t="s">
        <v>9515</v>
      </c>
    </row>
    <row r="3232" spans="1:2" x14ac:dyDescent="0.25">
      <c r="A3232" s="81" t="s">
        <v>5438</v>
      </c>
      <c r="B3232" s="80" t="s">
        <v>9515</v>
      </c>
    </row>
    <row r="3233" spans="1:2" x14ac:dyDescent="0.25">
      <c r="A3233" s="81" t="s">
        <v>5439</v>
      </c>
      <c r="B3233" s="80" t="s">
        <v>9515</v>
      </c>
    </row>
    <row r="3234" spans="1:2" x14ac:dyDescent="0.25">
      <c r="A3234" s="81" t="s">
        <v>5440</v>
      </c>
      <c r="B3234" s="80" t="s">
        <v>9515</v>
      </c>
    </row>
    <row r="3235" spans="1:2" x14ac:dyDescent="0.25">
      <c r="A3235" s="81" t="s">
        <v>5441</v>
      </c>
      <c r="B3235" s="80" t="s">
        <v>9515</v>
      </c>
    </row>
    <row r="3236" spans="1:2" x14ac:dyDescent="0.25">
      <c r="A3236" s="81" t="s">
        <v>5442</v>
      </c>
      <c r="B3236" s="80" t="s">
        <v>9515</v>
      </c>
    </row>
    <row r="3237" spans="1:2" x14ac:dyDescent="0.25">
      <c r="A3237" s="81" t="s">
        <v>5443</v>
      </c>
      <c r="B3237" s="80" t="s">
        <v>9515</v>
      </c>
    </row>
    <row r="3238" spans="1:2" x14ac:dyDescent="0.25">
      <c r="A3238" s="81" t="s">
        <v>5444</v>
      </c>
      <c r="B3238" s="80" t="s">
        <v>9515</v>
      </c>
    </row>
    <row r="3239" spans="1:2" x14ac:dyDescent="0.25">
      <c r="A3239" s="81" t="s">
        <v>5445</v>
      </c>
      <c r="B3239" s="80" t="s">
        <v>9515</v>
      </c>
    </row>
    <row r="3240" spans="1:2" x14ac:dyDescent="0.25">
      <c r="A3240" s="81" t="s">
        <v>5446</v>
      </c>
      <c r="B3240" s="80" t="s">
        <v>9515</v>
      </c>
    </row>
    <row r="3241" spans="1:2" x14ac:dyDescent="0.25">
      <c r="A3241" s="81" t="s">
        <v>5447</v>
      </c>
      <c r="B3241" s="80" t="s">
        <v>9515</v>
      </c>
    </row>
    <row r="3242" spans="1:2" x14ac:dyDescent="0.25">
      <c r="A3242" s="81" t="s">
        <v>5448</v>
      </c>
      <c r="B3242" s="80" t="s">
        <v>9515</v>
      </c>
    </row>
    <row r="3243" spans="1:2" x14ac:dyDescent="0.25">
      <c r="A3243" s="81" t="s">
        <v>5449</v>
      </c>
      <c r="B3243" s="80" t="s">
        <v>9515</v>
      </c>
    </row>
    <row r="3244" spans="1:2" x14ac:dyDescent="0.25">
      <c r="A3244" s="81" t="s">
        <v>5450</v>
      </c>
      <c r="B3244" s="80" t="s">
        <v>9515</v>
      </c>
    </row>
    <row r="3245" spans="1:2" x14ac:dyDescent="0.25">
      <c r="A3245" s="81" t="s">
        <v>5451</v>
      </c>
      <c r="B3245" s="80" t="s">
        <v>9515</v>
      </c>
    </row>
    <row r="3246" spans="1:2" x14ac:dyDescent="0.25">
      <c r="A3246" s="81" t="s">
        <v>5452</v>
      </c>
      <c r="B3246" s="80" t="s">
        <v>9515</v>
      </c>
    </row>
    <row r="3247" spans="1:2" x14ac:dyDescent="0.25">
      <c r="A3247" s="81" t="s">
        <v>5453</v>
      </c>
      <c r="B3247" s="80" t="s">
        <v>9515</v>
      </c>
    </row>
    <row r="3248" spans="1:2" x14ac:dyDescent="0.25">
      <c r="A3248" s="81" t="s">
        <v>5454</v>
      </c>
      <c r="B3248" s="80" t="s">
        <v>9515</v>
      </c>
    </row>
    <row r="3249" spans="1:2" x14ac:dyDescent="0.25">
      <c r="A3249" s="81" t="s">
        <v>5455</v>
      </c>
      <c r="B3249" s="80" t="s">
        <v>9515</v>
      </c>
    </row>
    <row r="3250" spans="1:2" x14ac:dyDescent="0.25">
      <c r="A3250" s="81" t="s">
        <v>5456</v>
      </c>
      <c r="B3250" s="80" t="s">
        <v>9515</v>
      </c>
    </row>
    <row r="3251" spans="1:2" x14ac:dyDescent="0.25">
      <c r="A3251" s="81" t="s">
        <v>5457</v>
      </c>
      <c r="B3251" s="80" t="s">
        <v>9515</v>
      </c>
    </row>
    <row r="3252" spans="1:2" x14ac:dyDescent="0.25">
      <c r="A3252" s="81" t="s">
        <v>5458</v>
      </c>
      <c r="B3252" s="80" t="s">
        <v>9515</v>
      </c>
    </row>
    <row r="3253" spans="1:2" x14ac:dyDescent="0.25">
      <c r="A3253" s="81" t="s">
        <v>5459</v>
      </c>
      <c r="B3253" s="80" t="s">
        <v>9515</v>
      </c>
    </row>
    <row r="3254" spans="1:2" x14ac:dyDescent="0.25">
      <c r="A3254" s="81" t="s">
        <v>5460</v>
      </c>
      <c r="B3254" s="80" t="s">
        <v>9515</v>
      </c>
    </row>
    <row r="3255" spans="1:2" x14ac:dyDescent="0.25">
      <c r="A3255" s="81" t="s">
        <v>5461</v>
      </c>
      <c r="B3255" s="80" t="s">
        <v>9515</v>
      </c>
    </row>
    <row r="3256" spans="1:2" x14ac:dyDescent="0.25">
      <c r="A3256" s="81" t="s">
        <v>5462</v>
      </c>
      <c r="B3256" s="80" t="s">
        <v>9515</v>
      </c>
    </row>
    <row r="3257" spans="1:2" x14ac:dyDescent="0.25">
      <c r="A3257" s="81" t="s">
        <v>5463</v>
      </c>
      <c r="B3257" s="80" t="s">
        <v>9515</v>
      </c>
    </row>
    <row r="3258" spans="1:2" x14ac:dyDescent="0.25">
      <c r="A3258" s="81" t="s">
        <v>5464</v>
      </c>
      <c r="B3258" s="80" t="s">
        <v>9515</v>
      </c>
    </row>
    <row r="3259" spans="1:2" x14ac:dyDescent="0.25">
      <c r="A3259" s="81" t="s">
        <v>5465</v>
      </c>
      <c r="B3259" s="80" t="s">
        <v>9515</v>
      </c>
    </row>
    <row r="3260" spans="1:2" x14ac:dyDescent="0.25">
      <c r="A3260" s="81" t="s">
        <v>5466</v>
      </c>
      <c r="B3260" s="80" t="s">
        <v>9515</v>
      </c>
    </row>
    <row r="3261" spans="1:2" x14ac:dyDescent="0.25">
      <c r="A3261" s="81" t="s">
        <v>5467</v>
      </c>
      <c r="B3261" s="80" t="s">
        <v>9515</v>
      </c>
    </row>
    <row r="3262" spans="1:2" x14ac:dyDescent="0.25">
      <c r="A3262" s="81" t="s">
        <v>5468</v>
      </c>
      <c r="B3262" s="80" t="s">
        <v>9515</v>
      </c>
    </row>
    <row r="3263" spans="1:2" x14ac:dyDescent="0.25">
      <c r="A3263" s="81" t="s">
        <v>5469</v>
      </c>
      <c r="B3263" s="80" t="s">
        <v>9515</v>
      </c>
    </row>
    <row r="3264" spans="1:2" x14ac:dyDescent="0.25">
      <c r="A3264" s="81" t="s">
        <v>5470</v>
      </c>
      <c r="B3264" s="80" t="s">
        <v>9515</v>
      </c>
    </row>
    <row r="3265" spans="1:2" x14ac:dyDescent="0.25">
      <c r="A3265" s="81" t="s">
        <v>5471</v>
      </c>
      <c r="B3265" s="80" t="s">
        <v>9515</v>
      </c>
    </row>
    <row r="3266" spans="1:2" x14ac:dyDescent="0.25">
      <c r="A3266" s="81" t="s">
        <v>5472</v>
      </c>
      <c r="B3266" s="80" t="s">
        <v>9515</v>
      </c>
    </row>
    <row r="3267" spans="1:2" x14ac:dyDescent="0.25">
      <c r="A3267" s="81" t="s">
        <v>5473</v>
      </c>
      <c r="B3267" s="80" t="s">
        <v>9515</v>
      </c>
    </row>
    <row r="3268" spans="1:2" x14ac:dyDescent="0.25">
      <c r="A3268" s="81" t="s">
        <v>5474</v>
      </c>
      <c r="B3268" s="80" t="s">
        <v>9515</v>
      </c>
    </row>
    <row r="3269" spans="1:2" x14ac:dyDescent="0.25">
      <c r="A3269" s="81" t="s">
        <v>5475</v>
      </c>
      <c r="B3269" s="80" t="s">
        <v>9515</v>
      </c>
    </row>
    <row r="3270" spans="1:2" x14ac:dyDescent="0.25">
      <c r="A3270" s="81" t="s">
        <v>5476</v>
      </c>
      <c r="B3270" s="80" t="s">
        <v>9515</v>
      </c>
    </row>
    <row r="3271" spans="1:2" x14ac:dyDescent="0.25">
      <c r="A3271" s="81" t="s">
        <v>5477</v>
      </c>
      <c r="B3271" s="80" t="s">
        <v>9515</v>
      </c>
    </row>
    <row r="3272" spans="1:2" x14ac:dyDescent="0.25">
      <c r="A3272" s="81" t="s">
        <v>5478</v>
      </c>
      <c r="B3272" s="80" t="s">
        <v>9515</v>
      </c>
    </row>
    <row r="3273" spans="1:2" x14ac:dyDescent="0.25">
      <c r="A3273" s="81" t="s">
        <v>5479</v>
      </c>
      <c r="B3273" s="80" t="s">
        <v>9515</v>
      </c>
    </row>
    <row r="3274" spans="1:2" x14ac:dyDescent="0.25">
      <c r="A3274" s="81" t="s">
        <v>5480</v>
      </c>
      <c r="B3274" s="80" t="s">
        <v>9515</v>
      </c>
    </row>
    <row r="3275" spans="1:2" x14ac:dyDescent="0.25">
      <c r="A3275" s="81" t="s">
        <v>5481</v>
      </c>
      <c r="B3275" s="80" t="s">
        <v>9515</v>
      </c>
    </row>
    <row r="3276" spans="1:2" x14ac:dyDescent="0.25">
      <c r="A3276" s="81" t="s">
        <v>5482</v>
      </c>
      <c r="B3276" s="80" t="s">
        <v>9515</v>
      </c>
    </row>
    <row r="3277" spans="1:2" x14ac:dyDescent="0.25">
      <c r="A3277" s="81" t="s">
        <v>5483</v>
      </c>
      <c r="B3277" s="80" t="s">
        <v>9515</v>
      </c>
    </row>
    <row r="3278" spans="1:2" x14ac:dyDescent="0.25">
      <c r="A3278" s="81" t="s">
        <v>5484</v>
      </c>
      <c r="B3278" s="80" t="s">
        <v>9515</v>
      </c>
    </row>
    <row r="3279" spans="1:2" x14ac:dyDescent="0.25">
      <c r="A3279" s="81" t="s">
        <v>5485</v>
      </c>
      <c r="B3279" s="80" t="s">
        <v>9515</v>
      </c>
    </row>
    <row r="3280" spans="1:2" x14ac:dyDescent="0.25">
      <c r="A3280" s="81" t="s">
        <v>5486</v>
      </c>
      <c r="B3280" s="80" t="s">
        <v>9515</v>
      </c>
    </row>
    <row r="3281" spans="1:2" x14ac:dyDescent="0.25">
      <c r="A3281" s="81" t="s">
        <v>5487</v>
      </c>
      <c r="B3281" s="80" t="s">
        <v>9515</v>
      </c>
    </row>
    <row r="3282" spans="1:2" x14ac:dyDescent="0.25">
      <c r="A3282" s="81" t="s">
        <v>5488</v>
      </c>
      <c r="B3282" s="80" t="s">
        <v>9515</v>
      </c>
    </row>
    <row r="3283" spans="1:2" x14ac:dyDescent="0.25">
      <c r="A3283" s="81" t="s">
        <v>5489</v>
      </c>
      <c r="B3283" s="80" t="s">
        <v>9515</v>
      </c>
    </row>
    <row r="3284" spans="1:2" x14ac:dyDescent="0.25">
      <c r="A3284" s="81" t="s">
        <v>5490</v>
      </c>
      <c r="B3284" s="80" t="s">
        <v>9515</v>
      </c>
    </row>
    <row r="3285" spans="1:2" x14ac:dyDescent="0.25">
      <c r="A3285" s="81" t="s">
        <v>5491</v>
      </c>
      <c r="B3285" s="80" t="s">
        <v>9515</v>
      </c>
    </row>
    <row r="3286" spans="1:2" x14ac:dyDescent="0.25">
      <c r="A3286" s="81" t="s">
        <v>5492</v>
      </c>
      <c r="B3286" s="80" t="s">
        <v>9515</v>
      </c>
    </row>
    <row r="3287" spans="1:2" x14ac:dyDescent="0.25">
      <c r="A3287" s="81" t="s">
        <v>5493</v>
      </c>
      <c r="B3287" s="80" t="s">
        <v>9515</v>
      </c>
    </row>
    <row r="3288" spans="1:2" x14ac:dyDescent="0.25">
      <c r="A3288" s="81" t="s">
        <v>5494</v>
      </c>
      <c r="B3288" s="80" t="s">
        <v>9515</v>
      </c>
    </row>
    <row r="3289" spans="1:2" x14ac:dyDescent="0.25">
      <c r="A3289" s="81" t="s">
        <v>5495</v>
      </c>
      <c r="B3289" s="80" t="s">
        <v>9515</v>
      </c>
    </row>
    <row r="3290" spans="1:2" x14ac:dyDescent="0.25">
      <c r="A3290" s="81" t="s">
        <v>5496</v>
      </c>
      <c r="B3290" s="80" t="s">
        <v>9515</v>
      </c>
    </row>
    <row r="3291" spans="1:2" x14ac:dyDescent="0.25">
      <c r="A3291" s="81" t="s">
        <v>5497</v>
      </c>
      <c r="B3291" s="80" t="s">
        <v>9515</v>
      </c>
    </row>
    <row r="3292" spans="1:2" x14ac:dyDescent="0.25">
      <c r="A3292" s="81" t="s">
        <v>5498</v>
      </c>
      <c r="B3292" s="80" t="s">
        <v>9515</v>
      </c>
    </row>
    <row r="3293" spans="1:2" x14ac:dyDescent="0.25">
      <c r="A3293" s="81" t="s">
        <v>5499</v>
      </c>
      <c r="B3293" s="80" t="s">
        <v>9515</v>
      </c>
    </row>
    <row r="3294" spans="1:2" x14ac:dyDescent="0.25">
      <c r="A3294" s="81" t="s">
        <v>5500</v>
      </c>
      <c r="B3294" s="80" t="s">
        <v>9515</v>
      </c>
    </row>
    <row r="3295" spans="1:2" x14ac:dyDescent="0.25">
      <c r="A3295" s="81" t="s">
        <v>5501</v>
      </c>
      <c r="B3295" s="80" t="s">
        <v>9515</v>
      </c>
    </row>
    <row r="3296" spans="1:2" x14ac:dyDescent="0.25">
      <c r="A3296" s="81" t="s">
        <v>5502</v>
      </c>
      <c r="B3296" s="80" t="s">
        <v>9515</v>
      </c>
    </row>
    <row r="3297" spans="1:2" x14ac:dyDescent="0.25">
      <c r="A3297" s="81" t="s">
        <v>5503</v>
      </c>
      <c r="B3297" s="80" t="s">
        <v>9515</v>
      </c>
    </row>
    <row r="3298" spans="1:2" x14ac:dyDescent="0.25">
      <c r="A3298" s="81" t="s">
        <v>5504</v>
      </c>
      <c r="B3298" s="80" t="s">
        <v>9515</v>
      </c>
    </row>
    <row r="3299" spans="1:2" x14ac:dyDescent="0.25">
      <c r="A3299" s="81" t="s">
        <v>5505</v>
      </c>
      <c r="B3299" s="80" t="s">
        <v>9515</v>
      </c>
    </row>
    <row r="3300" spans="1:2" x14ac:dyDescent="0.25">
      <c r="A3300" s="81" t="s">
        <v>5506</v>
      </c>
      <c r="B3300" s="80" t="s">
        <v>9515</v>
      </c>
    </row>
    <row r="3301" spans="1:2" x14ac:dyDescent="0.25">
      <c r="A3301" s="81" t="s">
        <v>5507</v>
      </c>
      <c r="B3301" s="80" t="s">
        <v>9515</v>
      </c>
    </row>
    <row r="3302" spans="1:2" x14ac:dyDescent="0.25">
      <c r="A3302" s="81" t="s">
        <v>5508</v>
      </c>
      <c r="B3302" s="80" t="s">
        <v>9515</v>
      </c>
    </row>
    <row r="3303" spans="1:2" x14ac:dyDescent="0.25">
      <c r="A3303" s="81" t="s">
        <v>5509</v>
      </c>
      <c r="B3303" s="80" t="s">
        <v>9515</v>
      </c>
    </row>
    <row r="3304" spans="1:2" x14ac:dyDescent="0.25">
      <c r="A3304" s="81" t="s">
        <v>5510</v>
      </c>
      <c r="B3304" s="80" t="s">
        <v>9515</v>
      </c>
    </row>
    <row r="3305" spans="1:2" x14ac:dyDescent="0.25">
      <c r="A3305" s="81" t="s">
        <v>5511</v>
      </c>
      <c r="B3305" s="80" t="s">
        <v>9515</v>
      </c>
    </row>
    <row r="3306" spans="1:2" x14ac:dyDescent="0.25">
      <c r="A3306" s="81" t="s">
        <v>5512</v>
      </c>
      <c r="B3306" s="80" t="s">
        <v>9515</v>
      </c>
    </row>
    <row r="3307" spans="1:2" x14ac:dyDescent="0.25">
      <c r="A3307" s="81" t="s">
        <v>5513</v>
      </c>
      <c r="B3307" s="80" t="s">
        <v>9515</v>
      </c>
    </row>
    <row r="3308" spans="1:2" x14ac:dyDescent="0.25">
      <c r="A3308" s="81" t="s">
        <v>5514</v>
      </c>
      <c r="B3308" s="80" t="s">
        <v>9515</v>
      </c>
    </row>
    <row r="3309" spans="1:2" x14ac:dyDescent="0.25">
      <c r="A3309" s="81" t="s">
        <v>5515</v>
      </c>
      <c r="B3309" s="80" t="s">
        <v>9515</v>
      </c>
    </row>
    <row r="3310" spans="1:2" x14ac:dyDescent="0.25">
      <c r="A3310" s="81" t="s">
        <v>5516</v>
      </c>
      <c r="B3310" s="80" t="s">
        <v>9515</v>
      </c>
    </row>
    <row r="3311" spans="1:2" x14ac:dyDescent="0.25">
      <c r="A3311" s="81" t="s">
        <v>5517</v>
      </c>
      <c r="B3311" s="80" t="s">
        <v>9515</v>
      </c>
    </row>
    <row r="3312" spans="1:2" x14ac:dyDescent="0.25">
      <c r="A3312" s="81" t="s">
        <v>5518</v>
      </c>
      <c r="B3312" s="80" t="s">
        <v>9515</v>
      </c>
    </row>
    <row r="3313" spans="1:2" x14ac:dyDescent="0.25">
      <c r="A3313" s="81" t="s">
        <v>5519</v>
      </c>
      <c r="B3313" s="80" t="s">
        <v>9515</v>
      </c>
    </row>
    <row r="3314" spans="1:2" x14ac:dyDescent="0.25">
      <c r="A3314" s="81" t="s">
        <v>5520</v>
      </c>
      <c r="B3314" s="80" t="s">
        <v>9515</v>
      </c>
    </row>
    <row r="3315" spans="1:2" x14ac:dyDescent="0.25">
      <c r="A3315" s="81" t="s">
        <v>5521</v>
      </c>
      <c r="B3315" s="80" t="s">
        <v>9515</v>
      </c>
    </row>
    <row r="3316" spans="1:2" x14ac:dyDescent="0.25">
      <c r="A3316" s="81" t="s">
        <v>5522</v>
      </c>
      <c r="B3316" s="80" t="s">
        <v>9515</v>
      </c>
    </row>
    <row r="3317" spans="1:2" x14ac:dyDescent="0.25">
      <c r="A3317" s="81" t="s">
        <v>5523</v>
      </c>
      <c r="B3317" s="80" t="s">
        <v>9515</v>
      </c>
    </row>
    <row r="3318" spans="1:2" x14ac:dyDescent="0.25">
      <c r="A3318" s="81" t="s">
        <v>5524</v>
      </c>
      <c r="B3318" s="80" t="s">
        <v>9515</v>
      </c>
    </row>
    <row r="3319" spans="1:2" x14ac:dyDescent="0.25">
      <c r="A3319" s="81" t="s">
        <v>5525</v>
      </c>
      <c r="B3319" s="80" t="s">
        <v>9515</v>
      </c>
    </row>
    <row r="3320" spans="1:2" x14ac:dyDescent="0.25">
      <c r="A3320" s="81" t="s">
        <v>5526</v>
      </c>
      <c r="B3320" s="80" t="s">
        <v>9515</v>
      </c>
    </row>
    <row r="3321" spans="1:2" x14ac:dyDescent="0.25">
      <c r="A3321" s="81" t="s">
        <v>5527</v>
      </c>
      <c r="B3321" s="80" t="s">
        <v>9515</v>
      </c>
    </row>
    <row r="3322" spans="1:2" x14ac:dyDescent="0.25">
      <c r="A3322" s="81" t="s">
        <v>5528</v>
      </c>
      <c r="B3322" s="80" t="s">
        <v>9515</v>
      </c>
    </row>
    <row r="3323" spans="1:2" x14ac:dyDescent="0.25">
      <c r="A3323" s="81" t="s">
        <v>5529</v>
      </c>
      <c r="B3323" s="80" t="s">
        <v>9515</v>
      </c>
    </row>
    <row r="3324" spans="1:2" x14ac:dyDescent="0.25">
      <c r="A3324" s="81" t="s">
        <v>5530</v>
      </c>
      <c r="B3324" s="80" t="s">
        <v>9515</v>
      </c>
    </row>
    <row r="3325" spans="1:2" x14ac:dyDescent="0.25">
      <c r="A3325" s="81" t="s">
        <v>5531</v>
      </c>
      <c r="B3325" s="80" t="s">
        <v>9515</v>
      </c>
    </row>
    <row r="3326" spans="1:2" x14ac:dyDescent="0.25">
      <c r="A3326" s="81" t="s">
        <v>5532</v>
      </c>
      <c r="B3326" s="80" t="s">
        <v>9515</v>
      </c>
    </row>
    <row r="3327" spans="1:2" x14ac:dyDescent="0.25">
      <c r="A3327" s="81" t="s">
        <v>5533</v>
      </c>
      <c r="B3327" s="80" t="s">
        <v>9515</v>
      </c>
    </row>
    <row r="3328" spans="1:2" x14ac:dyDescent="0.25">
      <c r="A3328" s="81" t="s">
        <v>5534</v>
      </c>
      <c r="B3328" s="80" t="s">
        <v>9515</v>
      </c>
    </row>
    <row r="3329" spans="1:2" x14ac:dyDescent="0.25">
      <c r="A3329" s="81" t="s">
        <v>5535</v>
      </c>
      <c r="B3329" s="80" t="s">
        <v>9515</v>
      </c>
    </row>
    <row r="3330" spans="1:2" x14ac:dyDescent="0.25">
      <c r="A3330" s="81" t="s">
        <v>5536</v>
      </c>
      <c r="B3330" s="80" t="s">
        <v>9515</v>
      </c>
    </row>
    <row r="3331" spans="1:2" x14ac:dyDescent="0.25">
      <c r="A3331" s="81" t="s">
        <v>5537</v>
      </c>
      <c r="B3331" s="80" t="s">
        <v>9515</v>
      </c>
    </row>
    <row r="3332" spans="1:2" x14ac:dyDescent="0.25">
      <c r="A3332" s="81" t="s">
        <v>5538</v>
      </c>
      <c r="B3332" s="80" t="s">
        <v>9515</v>
      </c>
    </row>
    <row r="3333" spans="1:2" x14ac:dyDescent="0.25">
      <c r="A3333" s="81" t="s">
        <v>5539</v>
      </c>
      <c r="B3333" s="80" t="s">
        <v>9515</v>
      </c>
    </row>
    <row r="3334" spans="1:2" x14ac:dyDescent="0.25">
      <c r="A3334" s="81" t="s">
        <v>5540</v>
      </c>
      <c r="B3334" s="80" t="s">
        <v>9515</v>
      </c>
    </row>
    <row r="3335" spans="1:2" x14ac:dyDescent="0.25">
      <c r="A3335" s="81" t="s">
        <v>5541</v>
      </c>
      <c r="B3335" s="80" t="s">
        <v>9515</v>
      </c>
    </row>
    <row r="3336" spans="1:2" x14ac:dyDescent="0.25">
      <c r="A3336" s="81" t="s">
        <v>5542</v>
      </c>
      <c r="B3336" s="80" t="s">
        <v>9515</v>
      </c>
    </row>
    <row r="3337" spans="1:2" x14ac:dyDescent="0.25">
      <c r="A3337" s="81" t="s">
        <v>5543</v>
      </c>
      <c r="B3337" s="80" t="s">
        <v>9515</v>
      </c>
    </row>
    <row r="3338" spans="1:2" x14ac:dyDescent="0.25">
      <c r="A3338" s="81" t="s">
        <v>5544</v>
      </c>
      <c r="B3338" s="80" t="s">
        <v>9515</v>
      </c>
    </row>
    <row r="3339" spans="1:2" x14ac:dyDescent="0.25">
      <c r="A3339" s="81" t="s">
        <v>5545</v>
      </c>
      <c r="B3339" s="80" t="s">
        <v>9515</v>
      </c>
    </row>
    <row r="3340" spans="1:2" x14ac:dyDescent="0.25">
      <c r="A3340" s="81" t="s">
        <v>5546</v>
      </c>
      <c r="B3340" s="80" t="s">
        <v>9515</v>
      </c>
    </row>
    <row r="3341" spans="1:2" x14ac:dyDescent="0.25">
      <c r="A3341" s="81" t="s">
        <v>5547</v>
      </c>
      <c r="B3341" s="80" t="s">
        <v>9515</v>
      </c>
    </row>
    <row r="3342" spans="1:2" x14ac:dyDescent="0.25">
      <c r="A3342" s="81" t="s">
        <v>5548</v>
      </c>
      <c r="B3342" s="80" t="s">
        <v>9515</v>
      </c>
    </row>
    <row r="3343" spans="1:2" x14ac:dyDescent="0.25">
      <c r="A3343" s="81" t="s">
        <v>5549</v>
      </c>
      <c r="B3343" s="80" t="s">
        <v>9515</v>
      </c>
    </row>
    <row r="3344" spans="1:2" x14ac:dyDescent="0.25">
      <c r="A3344" s="81" t="s">
        <v>5550</v>
      </c>
      <c r="B3344" s="80" t="s">
        <v>9515</v>
      </c>
    </row>
    <row r="3345" spans="1:2" x14ac:dyDescent="0.25">
      <c r="A3345" s="81" t="s">
        <v>5551</v>
      </c>
      <c r="B3345" s="80" t="s">
        <v>9515</v>
      </c>
    </row>
    <row r="3346" spans="1:2" x14ac:dyDescent="0.25">
      <c r="A3346" s="81" t="s">
        <v>5552</v>
      </c>
      <c r="B3346" s="80" t="s">
        <v>9515</v>
      </c>
    </row>
    <row r="3347" spans="1:2" x14ac:dyDescent="0.25">
      <c r="A3347" s="81" t="s">
        <v>5553</v>
      </c>
      <c r="B3347" s="80" t="s">
        <v>9515</v>
      </c>
    </row>
    <row r="3348" spans="1:2" x14ac:dyDescent="0.25">
      <c r="A3348" s="81" t="s">
        <v>5554</v>
      </c>
      <c r="B3348" s="80" t="s">
        <v>9515</v>
      </c>
    </row>
    <row r="3349" spans="1:2" x14ac:dyDescent="0.25">
      <c r="A3349" s="81" t="s">
        <v>5555</v>
      </c>
      <c r="B3349" s="80" t="s">
        <v>9515</v>
      </c>
    </row>
    <row r="3350" spans="1:2" x14ac:dyDescent="0.25">
      <c r="A3350" s="81" t="s">
        <v>5556</v>
      </c>
      <c r="B3350" s="80" t="s">
        <v>9515</v>
      </c>
    </row>
    <row r="3351" spans="1:2" x14ac:dyDescent="0.25">
      <c r="A3351" s="81" t="s">
        <v>5557</v>
      </c>
      <c r="B3351" s="80" t="s">
        <v>9515</v>
      </c>
    </row>
    <row r="3352" spans="1:2" x14ac:dyDescent="0.25">
      <c r="A3352" s="81" t="s">
        <v>5558</v>
      </c>
      <c r="B3352" s="80" t="s">
        <v>9515</v>
      </c>
    </row>
    <row r="3353" spans="1:2" x14ac:dyDescent="0.25">
      <c r="A3353" s="81" t="s">
        <v>5559</v>
      </c>
      <c r="B3353" s="80" t="s">
        <v>9515</v>
      </c>
    </row>
    <row r="3354" spans="1:2" x14ac:dyDescent="0.25">
      <c r="A3354" s="81" t="s">
        <v>5560</v>
      </c>
      <c r="B3354" s="80" t="s">
        <v>9515</v>
      </c>
    </row>
    <row r="3355" spans="1:2" x14ac:dyDescent="0.25">
      <c r="A3355" s="81" t="s">
        <v>5561</v>
      </c>
      <c r="B3355" s="80" t="s">
        <v>9515</v>
      </c>
    </row>
    <row r="3356" spans="1:2" x14ac:dyDescent="0.25">
      <c r="A3356" s="81" t="s">
        <v>5562</v>
      </c>
      <c r="B3356" s="80" t="s">
        <v>9515</v>
      </c>
    </row>
    <row r="3357" spans="1:2" x14ac:dyDescent="0.25">
      <c r="A3357" s="81" t="s">
        <v>5563</v>
      </c>
      <c r="B3357" s="80" t="s">
        <v>9515</v>
      </c>
    </row>
    <row r="3358" spans="1:2" x14ac:dyDescent="0.25">
      <c r="A3358" s="81" t="s">
        <v>5564</v>
      </c>
      <c r="B3358" s="80" t="s">
        <v>9515</v>
      </c>
    </row>
    <row r="3359" spans="1:2" x14ac:dyDescent="0.25">
      <c r="A3359" s="81" t="s">
        <v>5565</v>
      </c>
      <c r="B3359" s="80" t="s">
        <v>9515</v>
      </c>
    </row>
    <row r="3360" spans="1:2" x14ac:dyDescent="0.25">
      <c r="A3360" s="81" t="s">
        <v>5566</v>
      </c>
      <c r="B3360" s="80" t="s">
        <v>9515</v>
      </c>
    </row>
    <row r="3361" spans="1:2" x14ac:dyDescent="0.25">
      <c r="A3361" s="81" t="s">
        <v>5567</v>
      </c>
      <c r="B3361" s="80" t="s">
        <v>9515</v>
      </c>
    </row>
    <row r="3362" spans="1:2" x14ac:dyDescent="0.25">
      <c r="A3362" s="81" t="s">
        <v>5568</v>
      </c>
      <c r="B3362" s="80" t="s">
        <v>9515</v>
      </c>
    </row>
    <row r="3363" spans="1:2" x14ac:dyDescent="0.25">
      <c r="A3363" s="81" t="s">
        <v>5569</v>
      </c>
      <c r="B3363" s="80" t="s">
        <v>9515</v>
      </c>
    </row>
    <row r="3364" spans="1:2" x14ac:dyDescent="0.25">
      <c r="A3364" s="81" t="s">
        <v>5570</v>
      </c>
      <c r="B3364" s="80" t="s">
        <v>9515</v>
      </c>
    </row>
    <row r="3365" spans="1:2" x14ac:dyDescent="0.25">
      <c r="A3365" s="81" t="s">
        <v>5571</v>
      </c>
      <c r="B3365" s="80" t="s">
        <v>9515</v>
      </c>
    </row>
    <row r="3366" spans="1:2" x14ac:dyDescent="0.25">
      <c r="A3366" s="81" t="s">
        <v>5572</v>
      </c>
      <c r="B3366" s="80" t="s">
        <v>9515</v>
      </c>
    </row>
    <row r="3367" spans="1:2" x14ac:dyDescent="0.25">
      <c r="A3367" s="81" t="s">
        <v>5573</v>
      </c>
      <c r="B3367" s="80" t="s">
        <v>9515</v>
      </c>
    </row>
    <row r="3368" spans="1:2" x14ac:dyDescent="0.25">
      <c r="A3368" s="81" t="s">
        <v>5574</v>
      </c>
      <c r="B3368" s="80" t="s">
        <v>9515</v>
      </c>
    </row>
    <row r="3369" spans="1:2" x14ac:dyDescent="0.25">
      <c r="A3369" s="81" t="s">
        <v>5575</v>
      </c>
      <c r="B3369" s="80" t="s">
        <v>9515</v>
      </c>
    </row>
    <row r="3370" spans="1:2" x14ac:dyDescent="0.25">
      <c r="A3370" s="81" t="s">
        <v>5576</v>
      </c>
      <c r="B3370" s="80" t="s">
        <v>9515</v>
      </c>
    </row>
    <row r="3371" spans="1:2" x14ac:dyDescent="0.25">
      <c r="A3371" s="81" t="s">
        <v>5577</v>
      </c>
      <c r="B3371" s="80" t="s">
        <v>9515</v>
      </c>
    </row>
    <row r="3372" spans="1:2" x14ac:dyDescent="0.25">
      <c r="A3372" s="81" t="s">
        <v>5578</v>
      </c>
      <c r="B3372" s="80" t="s">
        <v>9515</v>
      </c>
    </row>
    <row r="3373" spans="1:2" x14ac:dyDescent="0.25">
      <c r="A3373" s="81" t="s">
        <v>1813</v>
      </c>
      <c r="B3373" s="80" t="s">
        <v>9515</v>
      </c>
    </row>
    <row r="3374" spans="1:2" x14ac:dyDescent="0.25">
      <c r="A3374" s="81" t="s">
        <v>5579</v>
      </c>
      <c r="B3374" s="80" t="s">
        <v>9515</v>
      </c>
    </row>
    <row r="3375" spans="1:2" x14ac:dyDescent="0.25">
      <c r="A3375" s="81" t="s">
        <v>5580</v>
      </c>
      <c r="B3375" s="80" t="s">
        <v>9515</v>
      </c>
    </row>
    <row r="3376" spans="1:2" x14ac:dyDescent="0.25">
      <c r="A3376" s="81" t="s">
        <v>5581</v>
      </c>
      <c r="B3376" s="80" t="s">
        <v>9515</v>
      </c>
    </row>
    <row r="3377" spans="1:2" x14ac:dyDescent="0.25">
      <c r="A3377" s="81" t="s">
        <v>5582</v>
      </c>
      <c r="B3377" s="80" t="s">
        <v>9515</v>
      </c>
    </row>
    <row r="3378" spans="1:2" x14ac:dyDescent="0.25">
      <c r="A3378" s="81" t="s">
        <v>5583</v>
      </c>
      <c r="B3378" s="80" t="s">
        <v>9515</v>
      </c>
    </row>
    <row r="3379" spans="1:2" x14ac:dyDescent="0.25">
      <c r="A3379" s="81" t="s">
        <v>5584</v>
      </c>
      <c r="B3379" s="80" t="s">
        <v>9515</v>
      </c>
    </row>
    <row r="3380" spans="1:2" x14ac:dyDescent="0.25">
      <c r="A3380" s="81" t="s">
        <v>5585</v>
      </c>
      <c r="B3380" s="80" t="s">
        <v>9515</v>
      </c>
    </row>
    <row r="3381" spans="1:2" x14ac:dyDescent="0.25">
      <c r="A3381" s="81" t="s">
        <v>5586</v>
      </c>
      <c r="B3381" s="80" t="s">
        <v>9515</v>
      </c>
    </row>
    <row r="3382" spans="1:2" x14ac:dyDescent="0.25">
      <c r="A3382" s="81" t="s">
        <v>5587</v>
      </c>
      <c r="B3382" s="80" t="s">
        <v>9515</v>
      </c>
    </row>
    <row r="3383" spans="1:2" x14ac:dyDescent="0.25">
      <c r="A3383" s="81" t="s">
        <v>5588</v>
      </c>
      <c r="B3383" s="80" t="s">
        <v>9515</v>
      </c>
    </row>
    <row r="3384" spans="1:2" x14ac:dyDescent="0.25">
      <c r="A3384" s="81" t="s">
        <v>5589</v>
      </c>
      <c r="B3384" s="80" t="s">
        <v>9515</v>
      </c>
    </row>
    <row r="3385" spans="1:2" x14ac:dyDescent="0.25">
      <c r="A3385" s="81" t="s">
        <v>5590</v>
      </c>
      <c r="B3385" s="80" t="s">
        <v>9515</v>
      </c>
    </row>
    <row r="3386" spans="1:2" x14ac:dyDescent="0.25">
      <c r="A3386" s="81" t="s">
        <v>5591</v>
      </c>
      <c r="B3386" s="80" t="s">
        <v>9515</v>
      </c>
    </row>
    <row r="3387" spans="1:2" x14ac:dyDescent="0.25">
      <c r="A3387" s="81" t="s">
        <v>5592</v>
      </c>
      <c r="B3387" s="80" t="s">
        <v>9515</v>
      </c>
    </row>
    <row r="3388" spans="1:2" x14ac:dyDescent="0.25">
      <c r="A3388" s="81" t="s">
        <v>5593</v>
      </c>
      <c r="B3388" s="80" t="s">
        <v>9515</v>
      </c>
    </row>
    <row r="3389" spans="1:2" x14ac:dyDescent="0.25">
      <c r="A3389" s="81" t="s">
        <v>5594</v>
      </c>
      <c r="B3389" s="80" t="s">
        <v>9515</v>
      </c>
    </row>
    <row r="3390" spans="1:2" x14ac:dyDescent="0.25">
      <c r="A3390" s="81" t="s">
        <v>5595</v>
      </c>
      <c r="B3390" s="80" t="s">
        <v>9515</v>
      </c>
    </row>
    <row r="3391" spans="1:2" x14ac:dyDescent="0.25">
      <c r="A3391" s="81" t="s">
        <v>5596</v>
      </c>
      <c r="B3391" s="80" t="s">
        <v>9515</v>
      </c>
    </row>
    <row r="3392" spans="1:2" x14ac:dyDescent="0.25">
      <c r="A3392" s="81" t="s">
        <v>5597</v>
      </c>
      <c r="B3392" s="80" t="s">
        <v>9515</v>
      </c>
    </row>
    <row r="3393" spans="1:2" x14ac:dyDescent="0.25">
      <c r="A3393" s="81" t="s">
        <v>5598</v>
      </c>
      <c r="B3393" s="80" t="s">
        <v>9515</v>
      </c>
    </row>
    <row r="3394" spans="1:2" x14ac:dyDescent="0.25">
      <c r="A3394" s="81" t="s">
        <v>5599</v>
      </c>
      <c r="B3394" s="80" t="s">
        <v>9515</v>
      </c>
    </row>
    <row r="3395" spans="1:2" x14ac:dyDescent="0.25">
      <c r="A3395" s="81" t="s">
        <v>5600</v>
      </c>
      <c r="B3395" s="80" t="s">
        <v>9515</v>
      </c>
    </row>
    <row r="3396" spans="1:2" x14ac:dyDescent="0.25">
      <c r="A3396" s="81" t="s">
        <v>5601</v>
      </c>
      <c r="B3396" s="80" t="s">
        <v>9515</v>
      </c>
    </row>
    <row r="3397" spans="1:2" x14ac:dyDescent="0.25">
      <c r="A3397" s="81" t="s">
        <v>5602</v>
      </c>
      <c r="B3397" s="80" t="s">
        <v>9515</v>
      </c>
    </row>
    <row r="3398" spans="1:2" x14ac:dyDescent="0.25">
      <c r="A3398" s="81" t="s">
        <v>5603</v>
      </c>
      <c r="B3398" s="80" t="s">
        <v>9515</v>
      </c>
    </row>
    <row r="3399" spans="1:2" x14ac:dyDescent="0.25">
      <c r="A3399" s="81" t="s">
        <v>5604</v>
      </c>
      <c r="B3399" s="80" t="s">
        <v>9515</v>
      </c>
    </row>
    <row r="3400" spans="1:2" x14ac:dyDescent="0.25">
      <c r="A3400" s="81" t="s">
        <v>5605</v>
      </c>
      <c r="B3400" s="80" t="s">
        <v>9515</v>
      </c>
    </row>
    <row r="3401" spans="1:2" x14ac:dyDescent="0.25">
      <c r="A3401" s="81" t="s">
        <v>5606</v>
      </c>
      <c r="B3401" s="80" t="s">
        <v>9515</v>
      </c>
    </row>
    <row r="3402" spans="1:2" x14ac:dyDescent="0.25">
      <c r="A3402" s="81" t="s">
        <v>5607</v>
      </c>
      <c r="B3402" s="80" t="s">
        <v>9515</v>
      </c>
    </row>
    <row r="3403" spans="1:2" x14ac:dyDescent="0.25">
      <c r="A3403" s="81" t="s">
        <v>5608</v>
      </c>
      <c r="B3403" s="80" t="s">
        <v>9515</v>
      </c>
    </row>
    <row r="3404" spans="1:2" x14ac:dyDescent="0.25">
      <c r="A3404" s="81" t="s">
        <v>5609</v>
      </c>
      <c r="B3404" s="80" t="s">
        <v>9515</v>
      </c>
    </row>
    <row r="3405" spans="1:2" x14ac:dyDescent="0.25">
      <c r="A3405" s="81" t="s">
        <v>5610</v>
      </c>
      <c r="B3405" s="80" t="s">
        <v>9515</v>
      </c>
    </row>
    <row r="3406" spans="1:2" x14ac:dyDescent="0.25">
      <c r="A3406" s="81" t="s">
        <v>5611</v>
      </c>
      <c r="B3406" s="80" t="s">
        <v>9515</v>
      </c>
    </row>
    <row r="3407" spans="1:2" x14ac:dyDescent="0.25">
      <c r="A3407" s="81" t="s">
        <v>5612</v>
      </c>
      <c r="B3407" s="80" t="s">
        <v>9515</v>
      </c>
    </row>
    <row r="3408" spans="1:2" x14ac:dyDescent="0.25">
      <c r="A3408" s="81" t="s">
        <v>5613</v>
      </c>
      <c r="B3408" s="80" t="s">
        <v>9515</v>
      </c>
    </row>
    <row r="3409" spans="1:2" x14ac:dyDescent="0.25">
      <c r="A3409" s="81" t="s">
        <v>5614</v>
      </c>
      <c r="B3409" s="80" t="s">
        <v>9515</v>
      </c>
    </row>
    <row r="3410" spans="1:2" x14ac:dyDescent="0.25">
      <c r="A3410" s="81" t="s">
        <v>5615</v>
      </c>
      <c r="B3410" s="80" t="s">
        <v>9515</v>
      </c>
    </row>
    <row r="3411" spans="1:2" x14ac:dyDescent="0.25">
      <c r="A3411" s="81" t="s">
        <v>5616</v>
      </c>
      <c r="B3411" s="80" t="s">
        <v>9515</v>
      </c>
    </row>
    <row r="3412" spans="1:2" x14ac:dyDescent="0.25">
      <c r="A3412" s="81" t="s">
        <v>5617</v>
      </c>
      <c r="B3412" s="80" t="s">
        <v>9515</v>
      </c>
    </row>
    <row r="3413" spans="1:2" x14ac:dyDescent="0.25">
      <c r="A3413" s="81" t="s">
        <v>5618</v>
      </c>
      <c r="B3413" s="80" t="s">
        <v>9515</v>
      </c>
    </row>
    <row r="3414" spans="1:2" x14ac:dyDescent="0.25">
      <c r="A3414" s="81" t="s">
        <v>5619</v>
      </c>
      <c r="B3414" s="80" t="s">
        <v>9515</v>
      </c>
    </row>
    <row r="3415" spans="1:2" x14ac:dyDescent="0.25">
      <c r="A3415" s="81" t="s">
        <v>5620</v>
      </c>
      <c r="B3415" s="80" t="s">
        <v>9515</v>
      </c>
    </row>
    <row r="3416" spans="1:2" x14ac:dyDescent="0.25">
      <c r="A3416" s="81" t="s">
        <v>5621</v>
      </c>
      <c r="B3416" s="80" t="s">
        <v>9515</v>
      </c>
    </row>
    <row r="3417" spans="1:2" x14ac:dyDescent="0.25">
      <c r="A3417" s="81" t="s">
        <v>5622</v>
      </c>
      <c r="B3417" s="80" t="s">
        <v>9515</v>
      </c>
    </row>
    <row r="3418" spans="1:2" x14ac:dyDescent="0.25">
      <c r="A3418" s="81" t="s">
        <v>5623</v>
      </c>
      <c r="B3418" s="80" t="s">
        <v>9515</v>
      </c>
    </row>
    <row r="3419" spans="1:2" x14ac:dyDescent="0.25">
      <c r="A3419" s="81" t="s">
        <v>5624</v>
      </c>
      <c r="B3419" s="80" t="s">
        <v>9515</v>
      </c>
    </row>
    <row r="3420" spans="1:2" x14ac:dyDescent="0.25">
      <c r="A3420" s="81" t="s">
        <v>5625</v>
      </c>
      <c r="B3420" s="80" t="s">
        <v>9515</v>
      </c>
    </row>
    <row r="3421" spans="1:2" x14ac:dyDescent="0.25">
      <c r="A3421" s="81" t="s">
        <v>5626</v>
      </c>
      <c r="B3421" s="80" t="s">
        <v>9515</v>
      </c>
    </row>
    <row r="3422" spans="1:2" x14ac:dyDescent="0.25">
      <c r="A3422" s="81" t="s">
        <v>5627</v>
      </c>
      <c r="B3422" s="80" t="s">
        <v>9515</v>
      </c>
    </row>
    <row r="3423" spans="1:2" x14ac:dyDescent="0.25">
      <c r="A3423" s="81" t="s">
        <v>5628</v>
      </c>
      <c r="B3423" s="80" t="s">
        <v>9515</v>
      </c>
    </row>
    <row r="3424" spans="1:2" x14ac:dyDescent="0.25">
      <c r="A3424" s="81" t="s">
        <v>5629</v>
      </c>
      <c r="B3424" s="80" t="s">
        <v>9515</v>
      </c>
    </row>
    <row r="3425" spans="1:2" x14ac:dyDescent="0.25">
      <c r="A3425" s="81" t="s">
        <v>5630</v>
      </c>
      <c r="B3425" s="80" t="s">
        <v>9515</v>
      </c>
    </row>
    <row r="3426" spans="1:2" x14ac:dyDescent="0.25">
      <c r="A3426" s="81" t="s">
        <v>5631</v>
      </c>
      <c r="B3426" s="80" t="s">
        <v>9515</v>
      </c>
    </row>
    <row r="3427" spans="1:2" x14ac:dyDescent="0.25">
      <c r="A3427" s="81" t="s">
        <v>5632</v>
      </c>
      <c r="B3427" s="80" t="s">
        <v>9515</v>
      </c>
    </row>
    <row r="3428" spans="1:2" x14ac:dyDescent="0.25">
      <c r="A3428" s="81" t="s">
        <v>5633</v>
      </c>
      <c r="B3428" s="80" t="s">
        <v>9515</v>
      </c>
    </row>
    <row r="3429" spans="1:2" x14ac:dyDescent="0.25">
      <c r="A3429" s="81" t="s">
        <v>5634</v>
      </c>
      <c r="B3429" s="80" t="s">
        <v>9515</v>
      </c>
    </row>
    <row r="3430" spans="1:2" x14ac:dyDescent="0.25">
      <c r="A3430" s="81" t="s">
        <v>5635</v>
      </c>
      <c r="B3430" s="80" t="s">
        <v>9515</v>
      </c>
    </row>
    <row r="3431" spans="1:2" x14ac:dyDescent="0.25">
      <c r="A3431" s="81" t="s">
        <v>5636</v>
      </c>
      <c r="B3431" s="80" t="s">
        <v>9515</v>
      </c>
    </row>
    <row r="3432" spans="1:2" x14ac:dyDescent="0.25">
      <c r="A3432" s="81" t="s">
        <v>5637</v>
      </c>
      <c r="B3432" s="80" t="s">
        <v>9515</v>
      </c>
    </row>
    <row r="3433" spans="1:2" x14ac:dyDescent="0.25">
      <c r="A3433" s="81" t="s">
        <v>5638</v>
      </c>
      <c r="B3433" s="80" t="s">
        <v>9515</v>
      </c>
    </row>
    <row r="3434" spans="1:2" x14ac:dyDescent="0.25">
      <c r="A3434" s="81" t="s">
        <v>5639</v>
      </c>
      <c r="B3434" s="80" t="s">
        <v>9515</v>
      </c>
    </row>
    <row r="3435" spans="1:2" x14ac:dyDescent="0.25">
      <c r="A3435" s="81" t="s">
        <v>5640</v>
      </c>
      <c r="B3435" s="80" t="s">
        <v>9515</v>
      </c>
    </row>
    <row r="3436" spans="1:2" x14ac:dyDescent="0.25">
      <c r="A3436" s="81" t="s">
        <v>5641</v>
      </c>
      <c r="B3436" s="80" t="s">
        <v>9515</v>
      </c>
    </row>
    <row r="3437" spans="1:2" x14ac:dyDescent="0.25">
      <c r="A3437" s="81" t="s">
        <v>5642</v>
      </c>
      <c r="B3437" s="80" t="s">
        <v>9515</v>
      </c>
    </row>
    <row r="3438" spans="1:2" x14ac:dyDescent="0.25">
      <c r="A3438" s="81" t="s">
        <v>5643</v>
      </c>
      <c r="B3438" s="80" t="s">
        <v>9515</v>
      </c>
    </row>
    <row r="3439" spans="1:2" x14ac:dyDescent="0.25">
      <c r="A3439" s="81" t="s">
        <v>5644</v>
      </c>
      <c r="B3439" s="80" t="s">
        <v>9515</v>
      </c>
    </row>
    <row r="3440" spans="1:2" x14ac:dyDescent="0.25">
      <c r="A3440" s="81" t="s">
        <v>5645</v>
      </c>
      <c r="B3440" s="80" t="s">
        <v>9515</v>
      </c>
    </row>
    <row r="3441" spans="1:2" x14ac:dyDescent="0.25">
      <c r="A3441" s="81" t="s">
        <v>5646</v>
      </c>
      <c r="B3441" s="80" t="s">
        <v>9515</v>
      </c>
    </row>
    <row r="3442" spans="1:2" x14ac:dyDescent="0.25">
      <c r="A3442" s="81" t="s">
        <v>5647</v>
      </c>
      <c r="B3442" s="80" t="s">
        <v>9515</v>
      </c>
    </row>
    <row r="3443" spans="1:2" x14ac:dyDescent="0.25">
      <c r="A3443" s="81" t="s">
        <v>5648</v>
      </c>
      <c r="B3443" s="80" t="s">
        <v>9515</v>
      </c>
    </row>
    <row r="3444" spans="1:2" x14ac:dyDescent="0.25">
      <c r="A3444" s="81" t="s">
        <v>5649</v>
      </c>
      <c r="B3444" s="80" t="s">
        <v>9515</v>
      </c>
    </row>
    <row r="3445" spans="1:2" x14ac:dyDescent="0.25">
      <c r="A3445" s="81" t="s">
        <v>5650</v>
      </c>
      <c r="B3445" s="80" t="s">
        <v>9515</v>
      </c>
    </row>
    <row r="3446" spans="1:2" x14ac:dyDescent="0.25">
      <c r="A3446" s="81" t="s">
        <v>5651</v>
      </c>
      <c r="B3446" s="80" t="s">
        <v>9515</v>
      </c>
    </row>
    <row r="3447" spans="1:2" x14ac:dyDescent="0.25">
      <c r="A3447" s="81" t="s">
        <v>5652</v>
      </c>
      <c r="B3447" s="80" t="s">
        <v>9515</v>
      </c>
    </row>
    <row r="3448" spans="1:2" x14ac:dyDescent="0.25">
      <c r="A3448" s="81" t="s">
        <v>5653</v>
      </c>
      <c r="B3448" s="80" t="s">
        <v>9515</v>
      </c>
    </row>
    <row r="3449" spans="1:2" x14ac:dyDescent="0.25">
      <c r="A3449" s="81" t="s">
        <v>5654</v>
      </c>
      <c r="B3449" s="80" t="s">
        <v>9515</v>
      </c>
    </row>
    <row r="3450" spans="1:2" x14ac:dyDescent="0.25">
      <c r="A3450" s="81" t="s">
        <v>5655</v>
      </c>
      <c r="B3450" s="80" t="s">
        <v>9515</v>
      </c>
    </row>
    <row r="3451" spans="1:2" x14ac:dyDescent="0.25">
      <c r="A3451" s="81" t="s">
        <v>5656</v>
      </c>
      <c r="B3451" s="80" t="s">
        <v>9515</v>
      </c>
    </row>
    <row r="3452" spans="1:2" x14ac:dyDescent="0.25">
      <c r="A3452" s="81" t="s">
        <v>5657</v>
      </c>
      <c r="B3452" s="80" t="s">
        <v>9515</v>
      </c>
    </row>
    <row r="3453" spans="1:2" x14ac:dyDescent="0.25">
      <c r="A3453" s="81" t="s">
        <v>5658</v>
      </c>
      <c r="B3453" s="80" t="s">
        <v>9515</v>
      </c>
    </row>
    <row r="3454" spans="1:2" x14ac:dyDescent="0.25">
      <c r="A3454" s="81" t="s">
        <v>5659</v>
      </c>
      <c r="B3454" s="80" t="s">
        <v>9515</v>
      </c>
    </row>
    <row r="3455" spans="1:2" x14ac:dyDescent="0.25">
      <c r="A3455" s="81" t="s">
        <v>5660</v>
      </c>
      <c r="B3455" s="80" t="s">
        <v>9515</v>
      </c>
    </row>
    <row r="3456" spans="1:2" x14ac:dyDescent="0.25">
      <c r="A3456" s="81" t="s">
        <v>5661</v>
      </c>
      <c r="B3456" s="80" t="s">
        <v>9515</v>
      </c>
    </row>
    <row r="3457" spans="1:2" x14ac:dyDescent="0.25">
      <c r="A3457" s="81" t="s">
        <v>5662</v>
      </c>
      <c r="B3457" s="80" t="s">
        <v>9515</v>
      </c>
    </row>
    <row r="3458" spans="1:2" x14ac:dyDescent="0.25">
      <c r="A3458" s="81" t="s">
        <v>5663</v>
      </c>
      <c r="B3458" s="80" t="s">
        <v>9515</v>
      </c>
    </row>
    <row r="3459" spans="1:2" x14ac:dyDescent="0.25">
      <c r="A3459" s="81" t="s">
        <v>5664</v>
      </c>
      <c r="B3459" s="80" t="s">
        <v>9515</v>
      </c>
    </row>
    <row r="3460" spans="1:2" x14ac:dyDescent="0.25">
      <c r="A3460" s="81" t="s">
        <v>5665</v>
      </c>
      <c r="B3460" s="80" t="s">
        <v>9515</v>
      </c>
    </row>
    <row r="3461" spans="1:2" x14ac:dyDescent="0.25">
      <c r="A3461" s="81" t="s">
        <v>5666</v>
      </c>
      <c r="B3461" s="80" t="s">
        <v>9515</v>
      </c>
    </row>
    <row r="3462" spans="1:2" x14ac:dyDescent="0.25">
      <c r="A3462" s="81" t="s">
        <v>5667</v>
      </c>
      <c r="B3462" s="80" t="s">
        <v>9515</v>
      </c>
    </row>
    <row r="3463" spans="1:2" x14ac:dyDescent="0.25">
      <c r="A3463" s="81" t="s">
        <v>5668</v>
      </c>
      <c r="B3463" s="80" t="s">
        <v>9515</v>
      </c>
    </row>
    <row r="3464" spans="1:2" x14ac:dyDescent="0.25">
      <c r="A3464" s="81" t="s">
        <v>5669</v>
      </c>
      <c r="B3464" s="80" t="s">
        <v>9515</v>
      </c>
    </row>
    <row r="3465" spans="1:2" x14ac:dyDescent="0.25">
      <c r="A3465" s="81" t="s">
        <v>5670</v>
      </c>
      <c r="B3465" s="80" t="s">
        <v>9515</v>
      </c>
    </row>
    <row r="3466" spans="1:2" x14ac:dyDescent="0.25">
      <c r="A3466" s="81" t="s">
        <v>5671</v>
      </c>
      <c r="B3466" s="80" t="s">
        <v>9515</v>
      </c>
    </row>
    <row r="3467" spans="1:2" x14ac:dyDescent="0.25">
      <c r="A3467" s="81" t="s">
        <v>5672</v>
      </c>
      <c r="B3467" s="80" t="s">
        <v>9515</v>
      </c>
    </row>
    <row r="3468" spans="1:2" x14ac:dyDescent="0.25">
      <c r="A3468" s="81" t="s">
        <v>5673</v>
      </c>
      <c r="B3468" s="80" t="s">
        <v>9515</v>
      </c>
    </row>
    <row r="3469" spans="1:2" x14ac:dyDescent="0.25">
      <c r="A3469" s="81" t="s">
        <v>5674</v>
      </c>
      <c r="B3469" s="80" t="s">
        <v>9515</v>
      </c>
    </row>
    <row r="3470" spans="1:2" x14ac:dyDescent="0.25">
      <c r="A3470" s="81" t="s">
        <v>5675</v>
      </c>
      <c r="B3470" s="80" t="s">
        <v>9515</v>
      </c>
    </row>
    <row r="3471" spans="1:2" x14ac:dyDescent="0.25">
      <c r="A3471" s="81" t="s">
        <v>5676</v>
      </c>
      <c r="B3471" s="80" t="s">
        <v>9515</v>
      </c>
    </row>
    <row r="3472" spans="1:2" x14ac:dyDescent="0.25">
      <c r="A3472" s="81" t="s">
        <v>5677</v>
      </c>
      <c r="B3472" s="80" t="s">
        <v>9515</v>
      </c>
    </row>
    <row r="3473" spans="1:2" x14ac:dyDescent="0.25">
      <c r="A3473" s="81" t="s">
        <v>5678</v>
      </c>
      <c r="B3473" s="80" t="s">
        <v>9515</v>
      </c>
    </row>
    <row r="3474" spans="1:2" x14ac:dyDescent="0.25">
      <c r="A3474" s="81" t="s">
        <v>5679</v>
      </c>
      <c r="B3474" s="80" t="s">
        <v>9515</v>
      </c>
    </row>
    <row r="3475" spans="1:2" x14ac:dyDescent="0.25">
      <c r="A3475" s="81" t="s">
        <v>5680</v>
      </c>
      <c r="B3475" s="80" t="s">
        <v>9515</v>
      </c>
    </row>
    <row r="3476" spans="1:2" x14ac:dyDescent="0.25">
      <c r="A3476" s="81" t="s">
        <v>5681</v>
      </c>
      <c r="B3476" s="80" t="s">
        <v>9515</v>
      </c>
    </row>
    <row r="3477" spans="1:2" x14ac:dyDescent="0.25">
      <c r="A3477" s="81" t="s">
        <v>5682</v>
      </c>
      <c r="B3477" s="80" t="s">
        <v>9515</v>
      </c>
    </row>
    <row r="3478" spans="1:2" x14ac:dyDescent="0.25">
      <c r="A3478" s="81" t="s">
        <v>5683</v>
      </c>
      <c r="B3478" s="80" t="s">
        <v>9515</v>
      </c>
    </row>
    <row r="3479" spans="1:2" x14ac:dyDescent="0.25">
      <c r="A3479" s="81" t="s">
        <v>5684</v>
      </c>
      <c r="B3479" s="80" t="s">
        <v>9515</v>
      </c>
    </row>
    <row r="3480" spans="1:2" x14ac:dyDescent="0.25">
      <c r="A3480" s="81" t="s">
        <v>5685</v>
      </c>
      <c r="B3480" s="80" t="s">
        <v>9515</v>
      </c>
    </row>
    <row r="3481" spans="1:2" x14ac:dyDescent="0.25">
      <c r="A3481" s="81" t="s">
        <v>5686</v>
      </c>
      <c r="B3481" s="80" t="s">
        <v>9515</v>
      </c>
    </row>
    <row r="3482" spans="1:2" x14ac:dyDescent="0.25">
      <c r="A3482" s="81" t="s">
        <v>5687</v>
      </c>
      <c r="B3482" s="80" t="s">
        <v>9515</v>
      </c>
    </row>
    <row r="3483" spans="1:2" x14ac:dyDescent="0.25">
      <c r="A3483" s="81" t="s">
        <v>5688</v>
      </c>
      <c r="B3483" s="80" t="s">
        <v>9515</v>
      </c>
    </row>
    <row r="3484" spans="1:2" x14ac:dyDescent="0.25">
      <c r="A3484" s="81" t="s">
        <v>5689</v>
      </c>
      <c r="B3484" s="80" t="s">
        <v>9515</v>
      </c>
    </row>
    <row r="3485" spans="1:2" x14ac:dyDescent="0.25">
      <c r="A3485" s="81" t="s">
        <v>5690</v>
      </c>
      <c r="B3485" s="80" t="s">
        <v>9515</v>
      </c>
    </row>
    <row r="3486" spans="1:2" x14ac:dyDescent="0.25">
      <c r="A3486" s="81" t="s">
        <v>5691</v>
      </c>
      <c r="B3486" s="80" t="s">
        <v>9515</v>
      </c>
    </row>
    <row r="3487" spans="1:2" x14ac:dyDescent="0.25">
      <c r="A3487" s="81" t="s">
        <v>5692</v>
      </c>
      <c r="B3487" s="80" t="s">
        <v>9515</v>
      </c>
    </row>
    <row r="3488" spans="1:2" x14ac:dyDescent="0.25">
      <c r="A3488" s="81" t="s">
        <v>5693</v>
      </c>
      <c r="B3488" s="80" t="s">
        <v>9515</v>
      </c>
    </row>
    <row r="3489" spans="1:2" x14ac:dyDescent="0.25">
      <c r="A3489" s="81" t="s">
        <v>5694</v>
      </c>
      <c r="B3489" s="80" t="s">
        <v>9515</v>
      </c>
    </row>
    <row r="3490" spans="1:2" x14ac:dyDescent="0.25">
      <c r="A3490" s="81" t="s">
        <v>5695</v>
      </c>
      <c r="B3490" s="80" t="s">
        <v>9515</v>
      </c>
    </row>
    <row r="3491" spans="1:2" x14ac:dyDescent="0.25">
      <c r="A3491" s="81" t="s">
        <v>5696</v>
      </c>
      <c r="B3491" s="80" t="s">
        <v>9515</v>
      </c>
    </row>
    <row r="3492" spans="1:2" x14ac:dyDescent="0.25">
      <c r="A3492" s="81" t="s">
        <v>5697</v>
      </c>
      <c r="B3492" s="80" t="s">
        <v>9515</v>
      </c>
    </row>
    <row r="3493" spans="1:2" x14ac:dyDescent="0.25">
      <c r="A3493" s="81" t="s">
        <v>5698</v>
      </c>
      <c r="B3493" s="80" t="s">
        <v>9515</v>
      </c>
    </row>
    <row r="3494" spans="1:2" x14ac:dyDescent="0.25">
      <c r="A3494" s="81" t="s">
        <v>5699</v>
      </c>
      <c r="B3494" s="80" t="s">
        <v>9515</v>
      </c>
    </row>
    <row r="3495" spans="1:2" x14ac:dyDescent="0.25">
      <c r="A3495" s="81" t="s">
        <v>5700</v>
      </c>
      <c r="B3495" s="80" t="s">
        <v>9515</v>
      </c>
    </row>
    <row r="3496" spans="1:2" x14ac:dyDescent="0.25">
      <c r="A3496" s="81" t="s">
        <v>5701</v>
      </c>
      <c r="B3496" s="80" t="s">
        <v>9515</v>
      </c>
    </row>
    <row r="3497" spans="1:2" x14ac:dyDescent="0.25">
      <c r="A3497" s="81" t="s">
        <v>5702</v>
      </c>
      <c r="B3497" s="80" t="s">
        <v>9515</v>
      </c>
    </row>
    <row r="3498" spans="1:2" x14ac:dyDescent="0.25">
      <c r="A3498" s="81" t="s">
        <v>5703</v>
      </c>
      <c r="B3498" s="80" t="s">
        <v>9515</v>
      </c>
    </row>
    <row r="3499" spans="1:2" x14ac:dyDescent="0.25">
      <c r="A3499" s="81" t="s">
        <v>5704</v>
      </c>
      <c r="B3499" s="80" t="s">
        <v>9515</v>
      </c>
    </row>
    <row r="3500" spans="1:2" x14ac:dyDescent="0.25">
      <c r="A3500" s="81" t="s">
        <v>5705</v>
      </c>
      <c r="B3500" s="80" t="s">
        <v>9515</v>
      </c>
    </row>
    <row r="3501" spans="1:2" x14ac:dyDescent="0.25">
      <c r="A3501" s="81" t="s">
        <v>5706</v>
      </c>
      <c r="B3501" s="80" t="s">
        <v>9515</v>
      </c>
    </row>
    <row r="3502" spans="1:2" x14ac:dyDescent="0.25">
      <c r="A3502" s="81" t="s">
        <v>5707</v>
      </c>
      <c r="B3502" s="80" t="s">
        <v>9515</v>
      </c>
    </row>
    <row r="3503" spans="1:2" x14ac:dyDescent="0.25">
      <c r="A3503" s="81" t="s">
        <v>5708</v>
      </c>
      <c r="B3503" s="80" t="s">
        <v>9515</v>
      </c>
    </row>
    <row r="3504" spans="1:2" x14ac:dyDescent="0.25">
      <c r="A3504" s="81" t="s">
        <v>5709</v>
      </c>
      <c r="B3504" s="80" t="s">
        <v>9515</v>
      </c>
    </row>
    <row r="3505" spans="1:2" x14ac:dyDescent="0.25">
      <c r="A3505" s="81" t="s">
        <v>5710</v>
      </c>
      <c r="B3505" s="80" t="s">
        <v>9515</v>
      </c>
    </row>
    <row r="3506" spans="1:2" x14ac:dyDescent="0.25">
      <c r="A3506" s="81" t="s">
        <v>5711</v>
      </c>
      <c r="B3506" s="80" t="s">
        <v>9515</v>
      </c>
    </row>
    <row r="3507" spans="1:2" x14ac:dyDescent="0.25">
      <c r="A3507" s="81" t="s">
        <v>5712</v>
      </c>
      <c r="B3507" s="80" t="s">
        <v>9515</v>
      </c>
    </row>
    <row r="3508" spans="1:2" x14ac:dyDescent="0.25">
      <c r="A3508" s="81" t="s">
        <v>5713</v>
      </c>
      <c r="B3508" s="80" t="s">
        <v>9515</v>
      </c>
    </row>
    <row r="3509" spans="1:2" x14ac:dyDescent="0.25">
      <c r="A3509" s="81" t="s">
        <v>5714</v>
      </c>
      <c r="B3509" s="80" t="s">
        <v>9515</v>
      </c>
    </row>
    <row r="3510" spans="1:2" x14ac:dyDescent="0.25">
      <c r="A3510" s="81" t="s">
        <v>5715</v>
      </c>
      <c r="B3510" s="80" t="s">
        <v>9515</v>
      </c>
    </row>
    <row r="3511" spans="1:2" x14ac:dyDescent="0.25">
      <c r="A3511" s="81" t="s">
        <v>5716</v>
      </c>
      <c r="B3511" s="80" t="s">
        <v>9515</v>
      </c>
    </row>
    <row r="3512" spans="1:2" x14ac:dyDescent="0.25">
      <c r="A3512" s="81" t="s">
        <v>5717</v>
      </c>
      <c r="B3512" s="80" t="s">
        <v>9515</v>
      </c>
    </row>
    <row r="3513" spans="1:2" x14ac:dyDescent="0.25">
      <c r="A3513" s="81" t="s">
        <v>5718</v>
      </c>
      <c r="B3513" s="80" t="s">
        <v>9515</v>
      </c>
    </row>
    <row r="3514" spans="1:2" x14ac:dyDescent="0.25">
      <c r="A3514" s="81" t="s">
        <v>5719</v>
      </c>
      <c r="B3514" s="80" t="s">
        <v>9515</v>
      </c>
    </row>
    <row r="3515" spans="1:2" x14ac:dyDescent="0.25">
      <c r="A3515" s="81" t="s">
        <v>5720</v>
      </c>
      <c r="B3515" s="80" t="s">
        <v>9515</v>
      </c>
    </row>
    <row r="3516" spans="1:2" x14ac:dyDescent="0.25">
      <c r="A3516" s="81" t="s">
        <v>5721</v>
      </c>
      <c r="B3516" s="80" t="s">
        <v>9515</v>
      </c>
    </row>
    <row r="3517" spans="1:2" x14ac:dyDescent="0.25">
      <c r="A3517" s="81" t="s">
        <v>5722</v>
      </c>
      <c r="B3517" s="80" t="s">
        <v>9515</v>
      </c>
    </row>
    <row r="3518" spans="1:2" x14ac:dyDescent="0.25">
      <c r="A3518" s="81" t="s">
        <v>5723</v>
      </c>
      <c r="B3518" s="80" t="s">
        <v>9515</v>
      </c>
    </row>
    <row r="3519" spans="1:2" x14ac:dyDescent="0.25">
      <c r="A3519" s="81" t="s">
        <v>5724</v>
      </c>
      <c r="B3519" s="80" t="s">
        <v>9515</v>
      </c>
    </row>
    <row r="3520" spans="1:2" x14ac:dyDescent="0.25">
      <c r="A3520" s="81" t="s">
        <v>5725</v>
      </c>
      <c r="B3520" s="80" t="s">
        <v>9515</v>
      </c>
    </row>
    <row r="3521" spans="1:2" x14ac:dyDescent="0.25">
      <c r="A3521" s="81" t="s">
        <v>5726</v>
      </c>
      <c r="B3521" s="80" t="s">
        <v>9515</v>
      </c>
    </row>
    <row r="3522" spans="1:2" x14ac:dyDescent="0.25">
      <c r="A3522" s="81" t="s">
        <v>5727</v>
      </c>
      <c r="B3522" s="80" t="s">
        <v>9515</v>
      </c>
    </row>
    <row r="3523" spans="1:2" x14ac:dyDescent="0.25">
      <c r="A3523" s="81" t="s">
        <v>5728</v>
      </c>
      <c r="B3523" s="80" t="s">
        <v>9515</v>
      </c>
    </row>
    <row r="3524" spans="1:2" x14ac:dyDescent="0.25">
      <c r="A3524" s="81" t="s">
        <v>5729</v>
      </c>
      <c r="B3524" s="80" t="s">
        <v>9515</v>
      </c>
    </row>
    <row r="3525" spans="1:2" x14ac:dyDescent="0.25">
      <c r="A3525" s="81" t="s">
        <v>5730</v>
      </c>
      <c r="B3525" s="80" t="s">
        <v>9515</v>
      </c>
    </row>
    <row r="3526" spans="1:2" x14ac:dyDescent="0.25">
      <c r="A3526" s="81" t="s">
        <v>5731</v>
      </c>
      <c r="B3526" s="80" t="s">
        <v>9515</v>
      </c>
    </row>
    <row r="3527" spans="1:2" x14ac:dyDescent="0.25">
      <c r="A3527" s="81" t="s">
        <v>5732</v>
      </c>
      <c r="B3527" s="80" t="s">
        <v>9515</v>
      </c>
    </row>
    <row r="3528" spans="1:2" x14ac:dyDescent="0.25">
      <c r="A3528" s="81" t="s">
        <v>5733</v>
      </c>
      <c r="B3528" s="80" t="s">
        <v>9515</v>
      </c>
    </row>
    <row r="3529" spans="1:2" x14ac:dyDescent="0.25">
      <c r="A3529" s="81" t="s">
        <v>5734</v>
      </c>
      <c r="B3529" s="80" t="s">
        <v>9515</v>
      </c>
    </row>
    <row r="3530" spans="1:2" x14ac:dyDescent="0.25">
      <c r="A3530" s="81" t="s">
        <v>5735</v>
      </c>
      <c r="B3530" s="80" t="s">
        <v>9515</v>
      </c>
    </row>
    <row r="3531" spans="1:2" x14ac:dyDescent="0.25">
      <c r="A3531" s="81" t="s">
        <v>5736</v>
      </c>
      <c r="B3531" s="80" t="s">
        <v>9515</v>
      </c>
    </row>
    <row r="3532" spans="1:2" x14ac:dyDescent="0.25">
      <c r="A3532" s="81" t="s">
        <v>5737</v>
      </c>
      <c r="B3532" s="80" t="s">
        <v>9515</v>
      </c>
    </row>
    <row r="3533" spans="1:2" x14ac:dyDescent="0.25">
      <c r="A3533" s="81" t="s">
        <v>5738</v>
      </c>
      <c r="B3533" s="80" t="s">
        <v>9515</v>
      </c>
    </row>
    <row r="3534" spans="1:2" x14ac:dyDescent="0.25">
      <c r="A3534" s="81" t="s">
        <v>5739</v>
      </c>
      <c r="B3534" s="80" t="s">
        <v>9515</v>
      </c>
    </row>
    <row r="3535" spans="1:2" x14ac:dyDescent="0.25">
      <c r="A3535" s="81" t="s">
        <v>5740</v>
      </c>
      <c r="B3535" s="80" t="s">
        <v>9515</v>
      </c>
    </row>
    <row r="3536" spans="1:2" x14ac:dyDescent="0.25">
      <c r="A3536" s="81" t="s">
        <v>5741</v>
      </c>
      <c r="B3536" s="80" t="s">
        <v>9515</v>
      </c>
    </row>
    <row r="3537" spans="1:2" x14ac:dyDescent="0.25">
      <c r="A3537" s="81" t="s">
        <v>5742</v>
      </c>
      <c r="B3537" s="80" t="s">
        <v>9515</v>
      </c>
    </row>
    <row r="3538" spans="1:2" x14ac:dyDescent="0.25">
      <c r="A3538" s="81" t="s">
        <v>5743</v>
      </c>
      <c r="B3538" s="80" t="s">
        <v>9515</v>
      </c>
    </row>
    <row r="3539" spans="1:2" x14ac:dyDescent="0.25">
      <c r="A3539" s="81" t="s">
        <v>5744</v>
      </c>
      <c r="B3539" s="80" t="s">
        <v>9515</v>
      </c>
    </row>
    <row r="3540" spans="1:2" x14ac:dyDescent="0.25">
      <c r="A3540" s="81" t="s">
        <v>5745</v>
      </c>
      <c r="B3540" s="80" t="s">
        <v>9515</v>
      </c>
    </row>
    <row r="3541" spans="1:2" x14ac:dyDescent="0.25">
      <c r="A3541" s="81" t="s">
        <v>5746</v>
      </c>
      <c r="B3541" s="80" t="s">
        <v>9515</v>
      </c>
    </row>
    <row r="3542" spans="1:2" x14ac:dyDescent="0.25">
      <c r="A3542" s="81" t="s">
        <v>5747</v>
      </c>
      <c r="B3542" s="80" t="s">
        <v>9515</v>
      </c>
    </row>
    <row r="3543" spans="1:2" x14ac:dyDescent="0.25">
      <c r="A3543" s="81" t="s">
        <v>5748</v>
      </c>
      <c r="B3543" s="80" t="s">
        <v>9515</v>
      </c>
    </row>
    <row r="3544" spans="1:2" x14ac:dyDescent="0.25">
      <c r="A3544" s="81" t="s">
        <v>5749</v>
      </c>
      <c r="B3544" s="80" t="s">
        <v>9515</v>
      </c>
    </row>
    <row r="3545" spans="1:2" x14ac:dyDescent="0.25">
      <c r="A3545" s="81" t="s">
        <v>5750</v>
      </c>
      <c r="B3545" s="80" t="s">
        <v>9515</v>
      </c>
    </row>
    <row r="3546" spans="1:2" x14ac:dyDescent="0.25">
      <c r="A3546" s="81" t="s">
        <v>5751</v>
      </c>
      <c r="B3546" s="80" t="s">
        <v>9515</v>
      </c>
    </row>
    <row r="3547" spans="1:2" x14ac:dyDescent="0.25">
      <c r="A3547" s="81" t="s">
        <v>5752</v>
      </c>
      <c r="B3547" s="80" t="s">
        <v>9515</v>
      </c>
    </row>
    <row r="3548" spans="1:2" x14ac:dyDescent="0.25">
      <c r="A3548" s="81" t="s">
        <v>5753</v>
      </c>
      <c r="B3548" s="80" t="s">
        <v>9515</v>
      </c>
    </row>
    <row r="3549" spans="1:2" x14ac:dyDescent="0.25">
      <c r="A3549" s="81" t="s">
        <v>5754</v>
      </c>
      <c r="B3549" s="80" t="s">
        <v>9515</v>
      </c>
    </row>
    <row r="3550" spans="1:2" x14ac:dyDescent="0.25">
      <c r="A3550" s="81" t="s">
        <v>5755</v>
      </c>
      <c r="B3550" s="80" t="s">
        <v>9515</v>
      </c>
    </row>
    <row r="3551" spans="1:2" x14ac:dyDescent="0.25">
      <c r="A3551" s="81" t="s">
        <v>5756</v>
      </c>
      <c r="B3551" s="80" t="s">
        <v>9515</v>
      </c>
    </row>
    <row r="3552" spans="1:2" x14ac:dyDescent="0.25">
      <c r="A3552" s="81" t="s">
        <v>5757</v>
      </c>
      <c r="B3552" s="80" t="s">
        <v>9515</v>
      </c>
    </row>
    <row r="3553" spans="1:2" x14ac:dyDescent="0.25">
      <c r="A3553" s="81" t="s">
        <v>5758</v>
      </c>
      <c r="B3553" s="80" t="s">
        <v>9515</v>
      </c>
    </row>
    <row r="3554" spans="1:2" x14ac:dyDescent="0.25">
      <c r="A3554" s="81" t="s">
        <v>5759</v>
      </c>
      <c r="B3554" s="80" t="s">
        <v>9515</v>
      </c>
    </row>
    <row r="3555" spans="1:2" x14ac:dyDescent="0.25">
      <c r="A3555" s="81" t="s">
        <v>5760</v>
      </c>
      <c r="B3555" s="80" t="s">
        <v>9515</v>
      </c>
    </row>
    <row r="3556" spans="1:2" x14ac:dyDescent="0.25">
      <c r="A3556" s="81" t="s">
        <v>5761</v>
      </c>
      <c r="B3556" s="80" t="s">
        <v>9515</v>
      </c>
    </row>
    <row r="3557" spans="1:2" x14ac:dyDescent="0.25">
      <c r="A3557" s="81" t="s">
        <v>5762</v>
      </c>
      <c r="B3557" s="80" t="s">
        <v>9515</v>
      </c>
    </row>
    <row r="3558" spans="1:2" x14ac:dyDescent="0.25">
      <c r="A3558" s="81" t="s">
        <v>5763</v>
      </c>
      <c r="B3558" s="80" t="s">
        <v>9515</v>
      </c>
    </row>
    <row r="3559" spans="1:2" x14ac:dyDescent="0.25">
      <c r="A3559" s="81" t="s">
        <v>5764</v>
      </c>
      <c r="B3559" s="80" t="s">
        <v>9515</v>
      </c>
    </row>
    <row r="3560" spans="1:2" x14ac:dyDescent="0.25">
      <c r="A3560" s="81" t="s">
        <v>5765</v>
      </c>
      <c r="B3560" s="80" t="s">
        <v>9515</v>
      </c>
    </row>
    <row r="3561" spans="1:2" x14ac:dyDescent="0.25">
      <c r="A3561" s="81" t="s">
        <v>5766</v>
      </c>
      <c r="B3561" s="80" t="s">
        <v>9515</v>
      </c>
    </row>
    <row r="3562" spans="1:2" x14ac:dyDescent="0.25">
      <c r="A3562" s="81" t="s">
        <v>5767</v>
      </c>
      <c r="B3562" s="80" t="s">
        <v>9515</v>
      </c>
    </row>
    <row r="3563" spans="1:2" x14ac:dyDescent="0.25">
      <c r="A3563" s="81" t="s">
        <v>5768</v>
      </c>
      <c r="B3563" s="80" t="s">
        <v>9515</v>
      </c>
    </row>
    <row r="3564" spans="1:2" x14ac:dyDescent="0.25">
      <c r="A3564" s="81" t="s">
        <v>5769</v>
      </c>
      <c r="B3564" s="80" t="s">
        <v>9515</v>
      </c>
    </row>
    <row r="3565" spans="1:2" x14ac:dyDescent="0.25">
      <c r="A3565" s="81" t="s">
        <v>5770</v>
      </c>
      <c r="B3565" s="80" t="s">
        <v>9515</v>
      </c>
    </row>
    <row r="3566" spans="1:2" x14ac:dyDescent="0.25">
      <c r="A3566" s="81" t="s">
        <v>5771</v>
      </c>
      <c r="B3566" s="80" t="s">
        <v>9515</v>
      </c>
    </row>
    <row r="3567" spans="1:2" x14ac:dyDescent="0.25">
      <c r="A3567" s="81" t="s">
        <v>5772</v>
      </c>
      <c r="B3567" s="80" t="s">
        <v>9515</v>
      </c>
    </row>
    <row r="3568" spans="1:2" x14ac:dyDescent="0.25">
      <c r="A3568" s="81" t="s">
        <v>5773</v>
      </c>
      <c r="B3568" s="80" t="s">
        <v>9515</v>
      </c>
    </row>
    <row r="3569" spans="1:2" x14ac:dyDescent="0.25">
      <c r="A3569" s="81" t="s">
        <v>5774</v>
      </c>
      <c r="B3569" s="80" t="s">
        <v>9515</v>
      </c>
    </row>
    <row r="3570" spans="1:2" x14ac:dyDescent="0.25">
      <c r="A3570" s="81" t="s">
        <v>5775</v>
      </c>
      <c r="B3570" s="80" t="s">
        <v>9515</v>
      </c>
    </row>
    <row r="3571" spans="1:2" x14ac:dyDescent="0.25">
      <c r="A3571" s="81" t="s">
        <v>5776</v>
      </c>
      <c r="B3571" s="80" t="s">
        <v>9515</v>
      </c>
    </row>
    <row r="3572" spans="1:2" x14ac:dyDescent="0.25">
      <c r="A3572" s="81" t="s">
        <v>5777</v>
      </c>
      <c r="B3572" s="80" t="s">
        <v>9515</v>
      </c>
    </row>
    <row r="3573" spans="1:2" x14ac:dyDescent="0.25">
      <c r="A3573" s="81" t="s">
        <v>5778</v>
      </c>
      <c r="B3573" s="80" t="s">
        <v>9515</v>
      </c>
    </row>
    <row r="3574" spans="1:2" x14ac:dyDescent="0.25">
      <c r="A3574" s="81" t="s">
        <v>5779</v>
      </c>
      <c r="B3574" s="80" t="s">
        <v>9515</v>
      </c>
    </row>
    <row r="3575" spans="1:2" x14ac:dyDescent="0.25">
      <c r="A3575" s="81" t="s">
        <v>5780</v>
      </c>
      <c r="B3575" s="80" t="s">
        <v>9515</v>
      </c>
    </row>
    <row r="3576" spans="1:2" x14ac:dyDescent="0.25">
      <c r="A3576" s="81" t="s">
        <v>5781</v>
      </c>
      <c r="B3576" s="80" t="s">
        <v>9515</v>
      </c>
    </row>
    <row r="3577" spans="1:2" x14ac:dyDescent="0.25">
      <c r="A3577" s="81" t="s">
        <v>5782</v>
      </c>
      <c r="B3577" s="80" t="s">
        <v>9515</v>
      </c>
    </row>
    <row r="3578" spans="1:2" x14ac:dyDescent="0.25">
      <c r="A3578" s="81" t="s">
        <v>5783</v>
      </c>
      <c r="B3578" s="80" t="s">
        <v>9515</v>
      </c>
    </row>
    <row r="3579" spans="1:2" x14ac:dyDescent="0.25">
      <c r="A3579" s="81" t="s">
        <v>5784</v>
      </c>
      <c r="B3579" s="80" t="s">
        <v>9515</v>
      </c>
    </row>
    <row r="3580" spans="1:2" x14ac:dyDescent="0.25">
      <c r="A3580" s="81" t="s">
        <v>5785</v>
      </c>
      <c r="B3580" s="80" t="s">
        <v>9515</v>
      </c>
    </row>
    <row r="3581" spans="1:2" x14ac:dyDescent="0.25">
      <c r="A3581" s="81" t="s">
        <v>5786</v>
      </c>
      <c r="B3581" s="80" t="s">
        <v>9515</v>
      </c>
    </row>
    <row r="3582" spans="1:2" x14ac:dyDescent="0.25">
      <c r="A3582" s="81" t="s">
        <v>5787</v>
      </c>
      <c r="B3582" s="80" t="s">
        <v>9515</v>
      </c>
    </row>
    <row r="3583" spans="1:2" x14ac:dyDescent="0.25">
      <c r="A3583" s="81" t="s">
        <v>5788</v>
      </c>
      <c r="B3583" s="80" t="s">
        <v>9515</v>
      </c>
    </row>
    <row r="3584" spans="1:2" x14ac:dyDescent="0.25">
      <c r="A3584" s="81" t="s">
        <v>5789</v>
      </c>
      <c r="B3584" s="80" t="s">
        <v>9515</v>
      </c>
    </row>
    <row r="3585" spans="1:2" x14ac:dyDescent="0.25">
      <c r="A3585" s="81" t="s">
        <v>5790</v>
      </c>
      <c r="B3585" s="80" t="s">
        <v>9515</v>
      </c>
    </row>
    <row r="3586" spans="1:2" x14ac:dyDescent="0.25">
      <c r="A3586" s="81" t="s">
        <v>5791</v>
      </c>
      <c r="B3586" s="80" t="s">
        <v>9515</v>
      </c>
    </row>
    <row r="3587" spans="1:2" x14ac:dyDescent="0.25">
      <c r="A3587" s="81" t="s">
        <v>5792</v>
      </c>
      <c r="B3587" s="80" t="s">
        <v>9515</v>
      </c>
    </row>
    <row r="3588" spans="1:2" x14ac:dyDescent="0.25">
      <c r="A3588" s="81" t="s">
        <v>5793</v>
      </c>
      <c r="B3588" s="80" t="s">
        <v>9515</v>
      </c>
    </row>
    <row r="3589" spans="1:2" x14ac:dyDescent="0.25">
      <c r="A3589" s="81" t="s">
        <v>5794</v>
      </c>
      <c r="B3589" s="80" t="s">
        <v>9515</v>
      </c>
    </row>
    <row r="3590" spans="1:2" x14ac:dyDescent="0.25">
      <c r="A3590" s="81" t="s">
        <v>5795</v>
      </c>
      <c r="B3590" s="80" t="s">
        <v>9515</v>
      </c>
    </row>
    <row r="3591" spans="1:2" x14ac:dyDescent="0.25">
      <c r="A3591" s="81" t="s">
        <v>5796</v>
      </c>
      <c r="B3591" s="80" t="s">
        <v>9515</v>
      </c>
    </row>
    <row r="3592" spans="1:2" x14ac:dyDescent="0.25">
      <c r="A3592" s="81" t="s">
        <v>5797</v>
      </c>
      <c r="B3592" s="80" t="s">
        <v>9515</v>
      </c>
    </row>
    <row r="3593" spans="1:2" x14ac:dyDescent="0.25">
      <c r="A3593" s="81" t="s">
        <v>5798</v>
      </c>
      <c r="B3593" s="80" t="s">
        <v>9515</v>
      </c>
    </row>
    <row r="3594" spans="1:2" x14ac:dyDescent="0.25">
      <c r="A3594" s="81" t="s">
        <v>5799</v>
      </c>
      <c r="B3594" s="80" t="s">
        <v>9515</v>
      </c>
    </row>
    <row r="3595" spans="1:2" x14ac:dyDescent="0.25">
      <c r="A3595" s="81" t="s">
        <v>5800</v>
      </c>
      <c r="B3595" s="80" t="s">
        <v>9515</v>
      </c>
    </row>
    <row r="3596" spans="1:2" x14ac:dyDescent="0.25">
      <c r="A3596" s="81" t="s">
        <v>5801</v>
      </c>
      <c r="B3596" s="80" t="s">
        <v>9515</v>
      </c>
    </row>
    <row r="3597" spans="1:2" x14ac:dyDescent="0.25">
      <c r="A3597" s="81" t="s">
        <v>5802</v>
      </c>
      <c r="B3597" s="80" t="s">
        <v>9515</v>
      </c>
    </row>
    <row r="3598" spans="1:2" x14ac:dyDescent="0.25">
      <c r="A3598" s="81" t="s">
        <v>5803</v>
      </c>
      <c r="B3598" s="80" t="s">
        <v>9515</v>
      </c>
    </row>
    <row r="3599" spans="1:2" x14ac:dyDescent="0.25">
      <c r="A3599" s="81" t="s">
        <v>5804</v>
      </c>
      <c r="B3599" s="80" t="s">
        <v>9515</v>
      </c>
    </row>
    <row r="3600" spans="1:2" x14ac:dyDescent="0.25">
      <c r="A3600" s="81" t="s">
        <v>5805</v>
      </c>
      <c r="B3600" s="80" t="s">
        <v>9515</v>
      </c>
    </row>
    <row r="3601" spans="1:2" x14ac:dyDescent="0.25">
      <c r="A3601" s="81" t="s">
        <v>5806</v>
      </c>
      <c r="B3601" s="80" t="s">
        <v>9515</v>
      </c>
    </row>
    <row r="3602" spans="1:2" x14ac:dyDescent="0.25">
      <c r="A3602" s="81" t="s">
        <v>5807</v>
      </c>
      <c r="B3602" s="80" t="s">
        <v>9515</v>
      </c>
    </row>
    <row r="3603" spans="1:2" x14ac:dyDescent="0.25">
      <c r="A3603" s="81" t="s">
        <v>5808</v>
      </c>
      <c r="B3603" s="80" t="s">
        <v>9515</v>
      </c>
    </row>
    <row r="3604" spans="1:2" x14ac:dyDescent="0.25">
      <c r="A3604" s="81" t="s">
        <v>5809</v>
      </c>
      <c r="B3604" s="80" t="s">
        <v>9515</v>
      </c>
    </row>
    <row r="3605" spans="1:2" x14ac:dyDescent="0.25">
      <c r="A3605" s="81" t="s">
        <v>5810</v>
      </c>
      <c r="B3605" s="80" t="s">
        <v>9515</v>
      </c>
    </row>
    <row r="3606" spans="1:2" x14ac:dyDescent="0.25">
      <c r="A3606" s="81" t="s">
        <v>5811</v>
      </c>
      <c r="B3606" s="80" t="s">
        <v>9515</v>
      </c>
    </row>
    <row r="3607" spans="1:2" x14ac:dyDescent="0.25">
      <c r="A3607" s="81" t="s">
        <v>5812</v>
      </c>
      <c r="B3607" s="80" t="s">
        <v>9515</v>
      </c>
    </row>
    <row r="3608" spans="1:2" x14ac:dyDescent="0.25">
      <c r="A3608" s="81" t="s">
        <v>5813</v>
      </c>
      <c r="B3608" s="80" t="s">
        <v>9515</v>
      </c>
    </row>
    <row r="3609" spans="1:2" x14ac:dyDescent="0.25">
      <c r="A3609" s="81" t="s">
        <v>5814</v>
      </c>
      <c r="B3609" s="80" t="s">
        <v>9515</v>
      </c>
    </row>
    <row r="3610" spans="1:2" x14ac:dyDescent="0.25">
      <c r="A3610" s="81" t="s">
        <v>5815</v>
      </c>
      <c r="B3610" s="80" t="s">
        <v>9515</v>
      </c>
    </row>
    <row r="3611" spans="1:2" x14ac:dyDescent="0.25">
      <c r="A3611" s="81" t="s">
        <v>5816</v>
      </c>
      <c r="B3611" s="80" t="s">
        <v>9515</v>
      </c>
    </row>
    <row r="3612" spans="1:2" x14ac:dyDescent="0.25">
      <c r="A3612" s="81" t="s">
        <v>5817</v>
      </c>
      <c r="B3612" s="80" t="s">
        <v>9515</v>
      </c>
    </row>
    <row r="3613" spans="1:2" x14ac:dyDescent="0.25">
      <c r="A3613" s="81" t="s">
        <v>5818</v>
      </c>
      <c r="B3613" s="80" t="s">
        <v>9515</v>
      </c>
    </row>
    <row r="3614" spans="1:2" x14ac:dyDescent="0.25">
      <c r="A3614" s="81" t="s">
        <v>5819</v>
      </c>
      <c r="B3614" s="80" t="s">
        <v>9515</v>
      </c>
    </row>
    <row r="3615" spans="1:2" x14ac:dyDescent="0.25">
      <c r="A3615" s="81" t="s">
        <v>5820</v>
      </c>
      <c r="B3615" s="80" t="s">
        <v>9515</v>
      </c>
    </row>
    <row r="3616" spans="1:2" x14ac:dyDescent="0.25">
      <c r="A3616" s="81" t="s">
        <v>5821</v>
      </c>
      <c r="B3616" s="80" t="s">
        <v>9515</v>
      </c>
    </row>
    <row r="3617" spans="1:2" x14ac:dyDescent="0.25">
      <c r="A3617" s="81" t="s">
        <v>5822</v>
      </c>
      <c r="B3617" s="80" t="s">
        <v>9515</v>
      </c>
    </row>
    <row r="3618" spans="1:2" x14ac:dyDescent="0.25">
      <c r="A3618" s="81" t="s">
        <v>5823</v>
      </c>
      <c r="B3618" s="80" t="s">
        <v>9515</v>
      </c>
    </row>
    <row r="3619" spans="1:2" x14ac:dyDescent="0.25">
      <c r="A3619" s="81" t="s">
        <v>5824</v>
      </c>
      <c r="B3619" s="80" t="s">
        <v>9515</v>
      </c>
    </row>
    <row r="3620" spans="1:2" x14ac:dyDescent="0.25">
      <c r="A3620" s="81" t="s">
        <v>5825</v>
      </c>
      <c r="B3620" s="80" t="s">
        <v>9515</v>
      </c>
    </row>
    <row r="3621" spans="1:2" x14ac:dyDescent="0.25">
      <c r="A3621" s="81" t="s">
        <v>5826</v>
      </c>
      <c r="B3621" s="80" t="s">
        <v>9515</v>
      </c>
    </row>
    <row r="3622" spans="1:2" x14ac:dyDescent="0.25">
      <c r="A3622" s="81" t="s">
        <v>5827</v>
      </c>
      <c r="B3622" s="80" t="s">
        <v>9515</v>
      </c>
    </row>
    <row r="3623" spans="1:2" x14ac:dyDescent="0.25">
      <c r="A3623" s="81" t="s">
        <v>5828</v>
      </c>
      <c r="B3623" s="80" t="s">
        <v>9515</v>
      </c>
    </row>
    <row r="3624" spans="1:2" x14ac:dyDescent="0.25">
      <c r="A3624" s="81" t="s">
        <v>5829</v>
      </c>
      <c r="B3624" s="80" t="s">
        <v>9515</v>
      </c>
    </row>
    <row r="3625" spans="1:2" x14ac:dyDescent="0.25">
      <c r="A3625" s="81" t="s">
        <v>5830</v>
      </c>
      <c r="B3625" s="80" t="s">
        <v>9515</v>
      </c>
    </row>
    <row r="3626" spans="1:2" x14ac:dyDescent="0.25">
      <c r="A3626" s="81" t="s">
        <v>5831</v>
      </c>
      <c r="B3626" s="80" t="s">
        <v>9515</v>
      </c>
    </row>
    <row r="3627" spans="1:2" x14ac:dyDescent="0.25">
      <c r="A3627" s="81" t="s">
        <v>5832</v>
      </c>
      <c r="B3627" s="80" t="s">
        <v>9515</v>
      </c>
    </row>
    <row r="3628" spans="1:2" x14ac:dyDescent="0.25">
      <c r="A3628" s="81" t="s">
        <v>5833</v>
      </c>
      <c r="B3628" s="80" t="s">
        <v>9515</v>
      </c>
    </row>
    <row r="3629" spans="1:2" x14ac:dyDescent="0.25">
      <c r="A3629" s="81" t="s">
        <v>5834</v>
      </c>
      <c r="B3629" s="80" t="s">
        <v>9515</v>
      </c>
    </row>
    <row r="3630" spans="1:2" x14ac:dyDescent="0.25">
      <c r="A3630" s="81" t="s">
        <v>5835</v>
      </c>
      <c r="B3630" s="80" t="s">
        <v>9515</v>
      </c>
    </row>
    <row r="3631" spans="1:2" x14ac:dyDescent="0.25">
      <c r="A3631" s="81" t="s">
        <v>5836</v>
      </c>
      <c r="B3631" s="80" t="s">
        <v>9515</v>
      </c>
    </row>
    <row r="3632" spans="1:2" x14ac:dyDescent="0.25">
      <c r="A3632" s="81" t="s">
        <v>5837</v>
      </c>
      <c r="B3632" s="80" t="s">
        <v>9515</v>
      </c>
    </row>
    <row r="3633" spans="1:2" x14ac:dyDescent="0.25">
      <c r="A3633" s="81" t="s">
        <v>5838</v>
      </c>
      <c r="B3633" s="80" t="s">
        <v>9515</v>
      </c>
    </row>
    <row r="3634" spans="1:2" x14ac:dyDescent="0.25">
      <c r="A3634" s="81" t="s">
        <v>5839</v>
      </c>
      <c r="B3634" s="80" t="s">
        <v>9515</v>
      </c>
    </row>
    <row r="3635" spans="1:2" x14ac:dyDescent="0.25">
      <c r="A3635" s="81" t="s">
        <v>5840</v>
      </c>
      <c r="B3635" s="80" t="s">
        <v>9515</v>
      </c>
    </row>
    <row r="3636" spans="1:2" x14ac:dyDescent="0.25">
      <c r="A3636" s="81" t="s">
        <v>5841</v>
      </c>
      <c r="B3636" s="80" t="s">
        <v>9515</v>
      </c>
    </row>
    <row r="3637" spans="1:2" x14ac:dyDescent="0.25">
      <c r="A3637" s="81" t="s">
        <v>5842</v>
      </c>
      <c r="B3637" s="80" t="s">
        <v>9515</v>
      </c>
    </row>
    <row r="3638" spans="1:2" x14ac:dyDescent="0.25">
      <c r="A3638" s="81" t="s">
        <v>5843</v>
      </c>
      <c r="B3638" s="80" t="s">
        <v>9515</v>
      </c>
    </row>
    <row r="3639" spans="1:2" x14ac:dyDescent="0.25">
      <c r="A3639" s="81" t="s">
        <v>5844</v>
      </c>
      <c r="B3639" s="80" t="s">
        <v>9515</v>
      </c>
    </row>
    <row r="3640" spans="1:2" x14ac:dyDescent="0.25">
      <c r="A3640" s="81" t="s">
        <v>5845</v>
      </c>
      <c r="B3640" s="80" t="s">
        <v>9515</v>
      </c>
    </row>
    <row r="3641" spans="1:2" x14ac:dyDescent="0.25">
      <c r="A3641" s="81" t="s">
        <v>5846</v>
      </c>
      <c r="B3641" s="80" t="s">
        <v>9515</v>
      </c>
    </row>
    <row r="3642" spans="1:2" x14ac:dyDescent="0.25">
      <c r="A3642" s="81" t="s">
        <v>5847</v>
      </c>
      <c r="B3642" s="80" t="s">
        <v>9515</v>
      </c>
    </row>
    <row r="3643" spans="1:2" x14ac:dyDescent="0.25">
      <c r="A3643" s="81" t="s">
        <v>5848</v>
      </c>
      <c r="B3643" s="80" t="s">
        <v>9515</v>
      </c>
    </row>
    <row r="3644" spans="1:2" x14ac:dyDescent="0.25">
      <c r="A3644" s="81" t="s">
        <v>5849</v>
      </c>
      <c r="B3644" s="80" t="s">
        <v>9515</v>
      </c>
    </row>
    <row r="3645" spans="1:2" x14ac:dyDescent="0.25">
      <c r="A3645" s="81" t="s">
        <v>5850</v>
      </c>
      <c r="B3645" s="80" t="s">
        <v>9515</v>
      </c>
    </row>
    <row r="3646" spans="1:2" x14ac:dyDescent="0.25">
      <c r="A3646" s="81" t="s">
        <v>5851</v>
      </c>
      <c r="B3646" s="80" t="s">
        <v>9515</v>
      </c>
    </row>
    <row r="3647" spans="1:2" x14ac:dyDescent="0.25">
      <c r="A3647" s="81" t="s">
        <v>5852</v>
      </c>
      <c r="B3647" s="80" t="s">
        <v>9515</v>
      </c>
    </row>
    <row r="3648" spans="1:2" x14ac:dyDescent="0.25">
      <c r="A3648" s="81" t="s">
        <v>5853</v>
      </c>
      <c r="B3648" s="80" t="s">
        <v>9515</v>
      </c>
    </row>
    <row r="3649" spans="1:2" x14ac:dyDescent="0.25">
      <c r="A3649" s="81" t="s">
        <v>5854</v>
      </c>
      <c r="B3649" s="80" t="s">
        <v>9515</v>
      </c>
    </row>
    <row r="3650" spans="1:2" x14ac:dyDescent="0.25">
      <c r="A3650" s="81" t="s">
        <v>5855</v>
      </c>
      <c r="B3650" s="80" t="s">
        <v>9515</v>
      </c>
    </row>
    <row r="3651" spans="1:2" x14ac:dyDescent="0.25">
      <c r="A3651" s="81" t="s">
        <v>5856</v>
      </c>
      <c r="B3651" s="80" t="s">
        <v>9515</v>
      </c>
    </row>
    <row r="3652" spans="1:2" x14ac:dyDescent="0.25">
      <c r="A3652" s="81" t="s">
        <v>5857</v>
      </c>
      <c r="B3652" s="80" t="s">
        <v>9515</v>
      </c>
    </row>
    <row r="3653" spans="1:2" x14ac:dyDescent="0.25">
      <c r="A3653" s="81" t="s">
        <v>5858</v>
      </c>
      <c r="B3653" s="80" t="s">
        <v>9515</v>
      </c>
    </row>
    <row r="3654" spans="1:2" x14ac:dyDescent="0.25">
      <c r="A3654" s="81" t="s">
        <v>5859</v>
      </c>
      <c r="B3654" s="80" t="s">
        <v>9515</v>
      </c>
    </row>
    <row r="3655" spans="1:2" x14ac:dyDescent="0.25">
      <c r="A3655" s="81" t="s">
        <v>5860</v>
      </c>
      <c r="B3655" s="80" t="s">
        <v>9515</v>
      </c>
    </row>
    <row r="3656" spans="1:2" x14ac:dyDescent="0.25">
      <c r="A3656" s="81" t="s">
        <v>5861</v>
      </c>
      <c r="B3656" s="80" t="s">
        <v>9515</v>
      </c>
    </row>
    <row r="3657" spans="1:2" x14ac:dyDescent="0.25">
      <c r="A3657" s="81" t="s">
        <v>5862</v>
      </c>
      <c r="B3657" s="80" t="s">
        <v>9515</v>
      </c>
    </row>
    <row r="3658" spans="1:2" x14ac:dyDescent="0.25">
      <c r="A3658" s="81" t="s">
        <v>5863</v>
      </c>
      <c r="B3658" s="80" t="s">
        <v>9515</v>
      </c>
    </row>
    <row r="3659" spans="1:2" x14ac:dyDescent="0.25">
      <c r="A3659" s="81" t="s">
        <v>5864</v>
      </c>
      <c r="B3659" s="80" t="s">
        <v>9515</v>
      </c>
    </row>
    <row r="3660" spans="1:2" x14ac:dyDescent="0.25">
      <c r="A3660" s="81" t="s">
        <v>5865</v>
      </c>
      <c r="B3660" s="80" t="s">
        <v>9515</v>
      </c>
    </row>
    <row r="3661" spans="1:2" x14ac:dyDescent="0.25">
      <c r="A3661" s="81" t="s">
        <v>5866</v>
      </c>
      <c r="B3661" s="80" t="s">
        <v>9515</v>
      </c>
    </row>
    <row r="3662" spans="1:2" x14ac:dyDescent="0.25">
      <c r="A3662" s="81" t="s">
        <v>5867</v>
      </c>
      <c r="B3662" s="80" t="s">
        <v>9515</v>
      </c>
    </row>
    <row r="3663" spans="1:2" x14ac:dyDescent="0.25">
      <c r="A3663" s="81" t="s">
        <v>5868</v>
      </c>
      <c r="B3663" s="80" t="s">
        <v>9515</v>
      </c>
    </row>
    <row r="3664" spans="1:2" x14ac:dyDescent="0.25">
      <c r="A3664" s="81" t="s">
        <v>5869</v>
      </c>
      <c r="B3664" s="80" t="s">
        <v>9515</v>
      </c>
    </row>
    <row r="3665" spans="1:2" x14ac:dyDescent="0.25">
      <c r="A3665" s="81" t="s">
        <v>5870</v>
      </c>
      <c r="B3665" s="80" t="s">
        <v>9515</v>
      </c>
    </row>
    <row r="3666" spans="1:2" x14ac:dyDescent="0.25">
      <c r="A3666" s="81" t="s">
        <v>5871</v>
      </c>
      <c r="B3666" s="80" t="s">
        <v>9515</v>
      </c>
    </row>
    <row r="3667" spans="1:2" x14ac:dyDescent="0.25">
      <c r="A3667" s="81" t="s">
        <v>5872</v>
      </c>
      <c r="B3667" s="80" t="s">
        <v>9515</v>
      </c>
    </row>
    <row r="3668" spans="1:2" x14ac:dyDescent="0.25">
      <c r="A3668" s="81" t="s">
        <v>5873</v>
      </c>
      <c r="B3668" s="80" t="s">
        <v>9515</v>
      </c>
    </row>
    <row r="3669" spans="1:2" x14ac:dyDescent="0.25">
      <c r="A3669" s="81" t="s">
        <v>5874</v>
      </c>
      <c r="B3669" s="80" t="s">
        <v>9515</v>
      </c>
    </row>
    <row r="3670" spans="1:2" x14ac:dyDescent="0.25">
      <c r="A3670" s="81" t="s">
        <v>5875</v>
      </c>
      <c r="B3670" s="80" t="s">
        <v>9515</v>
      </c>
    </row>
    <row r="3671" spans="1:2" x14ac:dyDescent="0.25">
      <c r="A3671" s="81" t="s">
        <v>5876</v>
      </c>
      <c r="B3671" s="80" t="s">
        <v>9515</v>
      </c>
    </row>
    <row r="3672" spans="1:2" x14ac:dyDescent="0.25">
      <c r="A3672" s="81" t="s">
        <v>5877</v>
      </c>
      <c r="B3672" s="80" t="s">
        <v>9515</v>
      </c>
    </row>
    <row r="3673" spans="1:2" x14ac:dyDescent="0.25">
      <c r="A3673" s="81" t="s">
        <v>5878</v>
      </c>
      <c r="B3673" s="80" t="s">
        <v>9515</v>
      </c>
    </row>
    <row r="3674" spans="1:2" x14ac:dyDescent="0.25">
      <c r="A3674" s="81" t="s">
        <v>5879</v>
      </c>
      <c r="B3674" s="80" t="s">
        <v>9515</v>
      </c>
    </row>
    <row r="3675" spans="1:2" x14ac:dyDescent="0.25">
      <c r="A3675" s="81" t="s">
        <v>5880</v>
      </c>
      <c r="B3675" s="80" t="s">
        <v>9515</v>
      </c>
    </row>
    <row r="3676" spans="1:2" x14ac:dyDescent="0.25">
      <c r="A3676" s="81" t="s">
        <v>5881</v>
      </c>
      <c r="B3676" s="80" t="s">
        <v>9515</v>
      </c>
    </row>
    <row r="3677" spans="1:2" x14ac:dyDescent="0.25">
      <c r="A3677" s="81" t="s">
        <v>5882</v>
      </c>
      <c r="B3677" s="80" t="s">
        <v>9515</v>
      </c>
    </row>
    <row r="3678" spans="1:2" x14ac:dyDescent="0.25">
      <c r="A3678" s="81" t="s">
        <v>5883</v>
      </c>
      <c r="B3678" s="80" t="s">
        <v>9515</v>
      </c>
    </row>
    <row r="3679" spans="1:2" x14ac:dyDescent="0.25">
      <c r="A3679" s="81" t="s">
        <v>5884</v>
      </c>
      <c r="B3679" s="80" t="s">
        <v>9515</v>
      </c>
    </row>
    <row r="3680" spans="1:2" x14ac:dyDescent="0.25">
      <c r="A3680" s="81" t="s">
        <v>5885</v>
      </c>
      <c r="B3680" s="80" t="s">
        <v>9515</v>
      </c>
    </row>
    <row r="3681" spans="1:2" x14ac:dyDescent="0.25">
      <c r="A3681" s="81" t="s">
        <v>5886</v>
      </c>
      <c r="B3681" s="80" t="s">
        <v>9515</v>
      </c>
    </row>
    <row r="3682" spans="1:2" x14ac:dyDescent="0.25">
      <c r="A3682" s="81" t="s">
        <v>5887</v>
      </c>
      <c r="B3682" s="80" t="s">
        <v>9515</v>
      </c>
    </row>
    <row r="3683" spans="1:2" x14ac:dyDescent="0.25">
      <c r="A3683" s="81" t="s">
        <v>5888</v>
      </c>
      <c r="B3683" s="80" t="s">
        <v>9515</v>
      </c>
    </row>
    <row r="3684" spans="1:2" x14ac:dyDescent="0.25">
      <c r="A3684" s="81" t="s">
        <v>5889</v>
      </c>
      <c r="B3684" s="80" t="s">
        <v>9515</v>
      </c>
    </row>
    <row r="3685" spans="1:2" x14ac:dyDescent="0.25">
      <c r="A3685" s="81" t="s">
        <v>5890</v>
      </c>
      <c r="B3685" s="80" t="s">
        <v>9515</v>
      </c>
    </row>
    <row r="3686" spans="1:2" x14ac:dyDescent="0.25">
      <c r="A3686" s="81" t="s">
        <v>5891</v>
      </c>
      <c r="B3686" s="80" t="s">
        <v>9515</v>
      </c>
    </row>
    <row r="3687" spans="1:2" x14ac:dyDescent="0.25">
      <c r="A3687" s="81" t="s">
        <v>5892</v>
      </c>
      <c r="B3687" s="80" t="s">
        <v>9515</v>
      </c>
    </row>
    <row r="3688" spans="1:2" x14ac:dyDescent="0.25">
      <c r="A3688" s="81" t="s">
        <v>5893</v>
      </c>
      <c r="B3688" s="80" t="s">
        <v>9515</v>
      </c>
    </row>
    <row r="3689" spans="1:2" x14ac:dyDescent="0.25">
      <c r="A3689" s="81" t="s">
        <v>5894</v>
      </c>
      <c r="B3689" s="80" t="s">
        <v>9515</v>
      </c>
    </row>
    <row r="3690" spans="1:2" x14ac:dyDescent="0.25">
      <c r="A3690" s="81" t="s">
        <v>5895</v>
      </c>
      <c r="B3690" s="80" t="s">
        <v>9515</v>
      </c>
    </row>
    <row r="3691" spans="1:2" x14ac:dyDescent="0.25">
      <c r="A3691" s="81" t="s">
        <v>5896</v>
      </c>
      <c r="B3691" s="80" t="s">
        <v>9515</v>
      </c>
    </row>
    <row r="3692" spans="1:2" x14ac:dyDescent="0.25">
      <c r="A3692" s="81" t="s">
        <v>5897</v>
      </c>
      <c r="B3692" s="80" t="s">
        <v>9515</v>
      </c>
    </row>
    <row r="3693" spans="1:2" x14ac:dyDescent="0.25">
      <c r="A3693" s="81" t="s">
        <v>5898</v>
      </c>
      <c r="B3693" s="80" t="s">
        <v>9515</v>
      </c>
    </row>
    <row r="3694" spans="1:2" x14ac:dyDescent="0.25">
      <c r="A3694" s="81" t="s">
        <v>5899</v>
      </c>
      <c r="B3694" s="80" t="s">
        <v>9515</v>
      </c>
    </row>
    <row r="3695" spans="1:2" x14ac:dyDescent="0.25">
      <c r="A3695" s="81" t="s">
        <v>5900</v>
      </c>
      <c r="B3695" s="80" t="s">
        <v>9515</v>
      </c>
    </row>
    <row r="3696" spans="1:2" x14ac:dyDescent="0.25">
      <c r="A3696" s="81" t="s">
        <v>5901</v>
      </c>
      <c r="B3696" s="80" t="s">
        <v>9515</v>
      </c>
    </row>
    <row r="3697" spans="1:2" x14ac:dyDescent="0.25">
      <c r="A3697" s="81" t="s">
        <v>5902</v>
      </c>
      <c r="B3697" s="80" t="s">
        <v>9515</v>
      </c>
    </row>
    <row r="3698" spans="1:2" x14ac:dyDescent="0.25">
      <c r="A3698" s="81" t="s">
        <v>5903</v>
      </c>
      <c r="B3698" s="80" t="s">
        <v>9515</v>
      </c>
    </row>
    <row r="3699" spans="1:2" x14ac:dyDescent="0.25">
      <c r="A3699" s="81" t="s">
        <v>5904</v>
      </c>
      <c r="B3699" s="80" t="s">
        <v>9515</v>
      </c>
    </row>
    <row r="3700" spans="1:2" x14ac:dyDescent="0.25">
      <c r="A3700" s="81" t="s">
        <v>5905</v>
      </c>
      <c r="B3700" s="80" t="s">
        <v>9515</v>
      </c>
    </row>
    <row r="3701" spans="1:2" x14ac:dyDescent="0.25">
      <c r="A3701" s="81" t="s">
        <v>1810</v>
      </c>
      <c r="B3701" s="80" t="s">
        <v>9515</v>
      </c>
    </row>
    <row r="3702" spans="1:2" x14ac:dyDescent="0.25">
      <c r="A3702" s="81" t="s">
        <v>5906</v>
      </c>
      <c r="B3702" s="80" t="s">
        <v>9515</v>
      </c>
    </row>
    <row r="3703" spans="1:2" x14ac:dyDescent="0.25">
      <c r="A3703" s="81" t="s">
        <v>5907</v>
      </c>
      <c r="B3703" s="80" t="s">
        <v>9515</v>
      </c>
    </row>
    <row r="3704" spans="1:2" x14ac:dyDescent="0.25">
      <c r="A3704" s="81" t="s">
        <v>5908</v>
      </c>
      <c r="B3704" s="80" t="s">
        <v>9515</v>
      </c>
    </row>
    <row r="3705" spans="1:2" x14ac:dyDescent="0.25">
      <c r="A3705" s="81" t="s">
        <v>5909</v>
      </c>
      <c r="B3705" s="80" t="s">
        <v>9515</v>
      </c>
    </row>
    <row r="3706" spans="1:2" x14ac:dyDescent="0.25">
      <c r="A3706" s="81" t="s">
        <v>5910</v>
      </c>
      <c r="B3706" s="80" t="s">
        <v>9515</v>
      </c>
    </row>
    <row r="3707" spans="1:2" x14ac:dyDescent="0.25">
      <c r="A3707" s="81" t="s">
        <v>5911</v>
      </c>
      <c r="B3707" s="80" t="s">
        <v>9515</v>
      </c>
    </row>
    <row r="3708" spans="1:2" x14ac:dyDescent="0.25">
      <c r="A3708" s="81" t="s">
        <v>5912</v>
      </c>
      <c r="B3708" s="80" t="s">
        <v>9515</v>
      </c>
    </row>
    <row r="3709" spans="1:2" x14ac:dyDescent="0.25">
      <c r="A3709" s="81" t="s">
        <v>5913</v>
      </c>
      <c r="B3709" s="80" t="s">
        <v>9515</v>
      </c>
    </row>
    <row r="3710" spans="1:2" x14ac:dyDescent="0.25">
      <c r="A3710" s="81" t="s">
        <v>5914</v>
      </c>
      <c r="B3710" s="80" t="s">
        <v>9515</v>
      </c>
    </row>
    <row r="3711" spans="1:2" x14ac:dyDescent="0.25">
      <c r="A3711" s="81" t="s">
        <v>5915</v>
      </c>
      <c r="B3711" s="80" t="s">
        <v>9515</v>
      </c>
    </row>
    <row r="3712" spans="1:2" x14ac:dyDescent="0.25">
      <c r="A3712" s="81" t="s">
        <v>5916</v>
      </c>
      <c r="B3712" s="80" t="s">
        <v>9515</v>
      </c>
    </row>
    <row r="3713" spans="1:2" x14ac:dyDescent="0.25">
      <c r="A3713" s="81" t="s">
        <v>5917</v>
      </c>
      <c r="B3713" s="80" t="s">
        <v>9515</v>
      </c>
    </row>
    <row r="3714" spans="1:2" x14ac:dyDescent="0.25">
      <c r="A3714" s="81" t="s">
        <v>5918</v>
      </c>
      <c r="B3714" s="80" t="s">
        <v>9515</v>
      </c>
    </row>
    <row r="3715" spans="1:2" x14ac:dyDescent="0.25">
      <c r="A3715" s="81" t="s">
        <v>5919</v>
      </c>
      <c r="B3715" s="80" t="s">
        <v>9515</v>
      </c>
    </row>
    <row r="3716" spans="1:2" x14ac:dyDescent="0.25">
      <c r="A3716" s="81" t="s">
        <v>5920</v>
      </c>
      <c r="B3716" s="80" t="s">
        <v>9515</v>
      </c>
    </row>
    <row r="3717" spans="1:2" x14ac:dyDescent="0.25">
      <c r="A3717" s="81" t="s">
        <v>5921</v>
      </c>
      <c r="B3717" s="80" t="s">
        <v>9515</v>
      </c>
    </row>
    <row r="3718" spans="1:2" x14ac:dyDescent="0.25">
      <c r="A3718" s="81" t="s">
        <v>5922</v>
      </c>
      <c r="B3718" s="80" t="s">
        <v>9515</v>
      </c>
    </row>
    <row r="3719" spans="1:2" x14ac:dyDescent="0.25">
      <c r="A3719" s="81" t="s">
        <v>5923</v>
      </c>
      <c r="B3719" s="80" t="s">
        <v>9515</v>
      </c>
    </row>
    <row r="3720" spans="1:2" x14ac:dyDescent="0.25">
      <c r="A3720" s="81" t="s">
        <v>5924</v>
      </c>
      <c r="B3720" s="80" t="s">
        <v>9515</v>
      </c>
    </row>
    <row r="3721" spans="1:2" x14ac:dyDescent="0.25">
      <c r="A3721" s="81" t="s">
        <v>5925</v>
      </c>
      <c r="B3721" s="80" t="s">
        <v>9515</v>
      </c>
    </row>
    <row r="3722" spans="1:2" x14ac:dyDescent="0.25">
      <c r="A3722" s="81" t="s">
        <v>5926</v>
      </c>
      <c r="B3722" s="80" t="s">
        <v>9515</v>
      </c>
    </row>
    <row r="3723" spans="1:2" x14ac:dyDescent="0.25">
      <c r="A3723" s="81" t="s">
        <v>5927</v>
      </c>
      <c r="B3723" s="80" t="s">
        <v>9515</v>
      </c>
    </row>
    <row r="3724" spans="1:2" x14ac:dyDescent="0.25">
      <c r="A3724" s="81" t="s">
        <v>5928</v>
      </c>
      <c r="B3724" s="80" t="s">
        <v>9515</v>
      </c>
    </row>
    <row r="3725" spans="1:2" x14ac:dyDescent="0.25">
      <c r="A3725" s="81" t="s">
        <v>5929</v>
      </c>
      <c r="B3725" s="80" t="s">
        <v>9515</v>
      </c>
    </row>
    <row r="3726" spans="1:2" x14ac:dyDescent="0.25">
      <c r="A3726" s="81" t="s">
        <v>5930</v>
      </c>
      <c r="B3726" s="80" t="s">
        <v>9515</v>
      </c>
    </row>
    <row r="3727" spans="1:2" x14ac:dyDescent="0.25">
      <c r="A3727" s="81" t="s">
        <v>5931</v>
      </c>
      <c r="B3727" s="80" t="s">
        <v>9515</v>
      </c>
    </row>
    <row r="3728" spans="1:2" x14ac:dyDescent="0.25">
      <c r="A3728" s="81" t="s">
        <v>5932</v>
      </c>
      <c r="B3728" s="80" t="s">
        <v>9515</v>
      </c>
    </row>
    <row r="3729" spans="1:2" x14ac:dyDescent="0.25">
      <c r="A3729" s="81" t="s">
        <v>5933</v>
      </c>
      <c r="B3729" s="80" t="s">
        <v>9515</v>
      </c>
    </row>
    <row r="3730" spans="1:2" x14ac:dyDescent="0.25">
      <c r="A3730" s="81" t="s">
        <v>5934</v>
      </c>
      <c r="B3730" s="80" t="s">
        <v>9515</v>
      </c>
    </row>
    <row r="3731" spans="1:2" x14ac:dyDescent="0.25">
      <c r="A3731" s="81" t="s">
        <v>5935</v>
      </c>
      <c r="B3731" s="80" t="s">
        <v>9515</v>
      </c>
    </row>
    <row r="3732" spans="1:2" x14ac:dyDescent="0.25">
      <c r="A3732" s="81" t="s">
        <v>5936</v>
      </c>
      <c r="B3732" s="80" t="s">
        <v>9515</v>
      </c>
    </row>
    <row r="3733" spans="1:2" x14ac:dyDescent="0.25">
      <c r="A3733" s="81" t="s">
        <v>5937</v>
      </c>
      <c r="B3733" s="80" t="s">
        <v>9515</v>
      </c>
    </row>
    <row r="3734" spans="1:2" x14ac:dyDescent="0.25">
      <c r="A3734" s="81" t="s">
        <v>5938</v>
      </c>
      <c r="B3734" s="80" t="s">
        <v>9515</v>
      </c>
    </row>
    <row r="3735" spans="1:2" x14ac:dyDescent="0.25">
      <c r="A3735" s="81" t="s">
        <v>5939</v>
      </c>
      <c r="B3735" s="80" t="s">
        <v>9515</v>
      </c>
    </row>
    <row r="3736" spans="1:2" x14ac:dyDescent="0.25">
      <c r="A3736" s="81" t="s">
        <v>5940</v>
      </c>
      <c r="B3736" s="80" t="s">
        <v>9515</v>
      </c>
    </row>
    <row r="3737" spans="1:2" x14ac:dyDescent="0.25">
      <c r="A3737" s="81" t="s">
        <v>5941</v>
      </c>
      <c r="B3737" s="80" t="s">
        <v>9515</v>
      </c>
    </row>
    <row r="3738" spans="1:2" x14ac:dyDescent="0.25">
      <c r="A3738" s="81" t="s">
        <v>5942</v>
      </c>
      <c r="B3738" s="80" t="s">
        <v>9515</v>
      </c>
    </row>
    <row r="3739" spans="1:2" x14ac:dyDescent="0.25">
      <c r="A3739" s="81" t="s">
        <v>5943</v>
      </c>
      <c r="B3739" s="80" t="s">
        <v>9515</v>
      </c>
    </row>
    <row r="3740" spans="1:2" x14ac:dyDescent="0.25">
      <c r="A3740" s="81" t="s">
        <v>5944</v>
      </c>
      <c r="B3740" s="80" t="s">
        <v>9515</v>
      </c>
    </row>
    <row r="3741" spans="1:2" x14ac:dyDescent="0.25">
      <c r="A3741" s="81" t="s">
        <v>5945</v>
      </c>
      <c r="B3741" s="80" t="s">
        <v>9515</v>
      </c>
    </row>
    <row r="3742" spans="1:2" x14ac:dyDescent="0.25">
      <c r="A3742" s="81" t="s">
        <v>5946</v>
      </c>
      <c r="B3742" s="80" t="s">
        <v>9515</v>
      </c>
    </row>
    <row r="3743" spans="1:2" x14ac:dyDescent="0.25">
      <c r="A3743" s="81" t="s">
        <v>5947</v>
      </c>
      <c r="B3743" s="80" t="s">
        <v>9515</v>
      </c>
    </row>
    <row r="3744" spans="1:2" x14ac:dyDescent="0.25">
      <c r="A3744" s="81" t="s">
        <v>5948</v>
      </c>
      <c r="B3744" s="80" t="s">
        <v>9515</v>
      </c>
    </row>
    <row r="3745" spans="1:2" x14ac:dyDescent="0.25">
      <c r="A3745" s="81" t="s">
        <v>5949</v>
      </c>
      <c r="B3745" s="80" t="s">
        <v>9515</v>
      </c>
    </row>
    <row r="3746" spans="1:2" x14ac:dyDescent="0.25">
      <c r="A3746" s="81" t="s">
        <v>5950</v>
      </c>
      <c r="B3746" s="80" t="s">
        <v>9515</v>
      </c>
    </row>
    <row r="3747" spans="1:2" x14ac:dyDescent="0.25">
      <c r="A3747" s="81" t="s">
        <v>5951</v>
      </c>
      <c r="B3747" s="80" t="s">
        <v>9515</v>
      </c>
    </row>
    <row r="3748" spans="1:2" x14ac:dyDescent="0.25">
      <c r="A3748" s="81" t="s">
        <v>5952</v>
      </c>
      <c r="B3748" s="80" t="s">
        <v>9515</v>
      </c>
    </row>
    <row r="3749" spans="1:2" x14ac:dyDescent="0.25">
      <c r="A3749" s="81" t="s">
        <v>5953</v>
      </c>
      <c r="B3749" s="80" t="s">
        <v>9515</v>
      </c>
    </row>
    <row r="3750" spans="1:2" x14ac:dyDescent="0.25">
      <c r="A3750" s="81" t="s">
        <v>5954</v>
      </c>
      <c r="B3750" s="80" t="s">
        <v>9515</v>
      </c>
    </row>
    <row r="3751" spans="1:2" x14ac:dyDescent="0.25">
      <c r="A3751" s="81" t="s">
        <v>5955</v>
      </c>
      <c r="B3751" s="80" t="s">
        <v>9515</v>
      </c>
    </row>
    <row r="3752" spans="1:2" x14ac:dyDescent="0.25">
      <c r="A3752" s="81" t="s">
        <v>5956</v>
      </c>
      <c r="B3752" s="80" t="s">
        <v>9515</v>
      </c>
    </row>
    <row r="3753" spans="1:2" x14ac:dyDescent="0.25">
      <c r="A3753" s="81" t="s">
        <v>5957</v>
      </c>
      <c r="B3753" s="80" t="s">
        <v>9515</v>
      </c>
    </row>
    <row r="3754" spans="1:2" x14ac:dyDescent="0.25">
      <c r="A3754" s="81" t="s">
        <v>5958</v>
      </c>
      <c r="B3754" s="80" t="s">
        <v>9515</v>
      </c>
    </row>
    <row r="3755" spans="1:2" x14ac:dyDescent="0.25">
      <c r="A3755" s="81" t="s">
        <v>5959</v>
      </c>
      <c r="B3755" s="80" t="s">
        <v>9515</v>
      </c>
    </row>
    <row r="3756" spans="1:2" x14ac:dyDescent="0.25">
      <c r="A3756" s="81" t="s">
        <v>5960</v>
      </c>
      <c r="B3756" s="80" t="s">
        <v>9515</v>
      </c>
    </row>
    <row r="3757" spans="1:2" x14ac:dyDescent="0.25">
      <c r="A3757" s="81" t="s">
        <v>5961</v>
      </c>
      <c r="B3757" s="80" t="s">
        <v>9515</v>
      </c>
    </row>
    <row r="3758" spans="1:2" x14ac:dyDescent="0.25">
      <c r="A3758" s="81" t="s">
        <v>5962</v>
      </c>
      <c r="B3758" s="80" t="s">
        <v>9515</v>
      </c>
    </row>
    <row r="3759" spans="1:2" x14ac:dyDescent="0.25">
      <c r="A3759" s="81" t="s">
        <v>5963</v>
      </c>
      <c r="B3759" s="80" t="s">
        <v>9515</v>
      </c>
    </row>
    <row r="3760" spans="1:2" x14ac:dyDescent="0.25">
      <c r="A3760" s="81" t="s">
        <v>5964</v>
      </c>
      <c r="B3760" s="80" t="s">
        <v>9515</v>
      </c>
    </row>
    <row r="3761" spans="1:2" x14ac:dyDescent="0.25">
      <c r="A3761" s="81" t="s">
        <v>5965</v>
      </c>
      <c r="B3761" s="80" t="s">
        <v>9515</v>
      </c>
    </row>
    <row r="3762" spans="1:2" x14ac:dyDescent="0.25">
      <c r="A3762" s="81" t="s">
        <v>5966</v>
      </c>
      <c r="B3762" s="80" t="s">
        <v>9515</v>
      </c>
    </row>
    <row r="3763" spans="1:2" x14ac:dyDescent="0.25">
      <c r="A3763" s="81" t="s">
        <v>5967</v>
      </c>
      <c r="B3763" s="80" t="s">
        <v>9515</v>
      </c>
    </row>
    <row r="3764" spans="1:2" x14ac:dyDescent="0.25">
      <c r="A3764" s="81" t="s">
        <v>5968</v>
      </c>
      <c r="B3764" s="80" t="s">
        <v>9515</v>
      </c>
    </row>
    <row r="3765" spans="1:2" x14ac:dyDescent="0.25">
      <c r="A3765" s="81" t="s">
        <v>5969</v>
      </c>
      <c r="B3765" s="80" t="s">
        <v>9515</v>
      </c>
    </row>
    <row r="3766" spans="1:2" x14ac:dyDescent="0.25">
      <c r="A3766" s="81" t="s">
        <v>5970</v>
      </c>
      <c r="B3766" s="80" t="s">
        <v>9515</v>
      </c>
    </row>
    <row r="3767" spans="1:2" x14ac:dyDescent="0.25">
      <c r="A3767" s="81" t="s">
        <v>5971</v>
      </c>
      <c r="B3767" s="80" t="s">
        <v>9515</v>
      </c>
    </row>
    <row r="3768" spans="1:2" x14ac:dyDescent="0.25">
      <c r="A3768" s="81" t="s">
        <v>5972</v>
      </c>
      <c r="B3768" s="80" t="s">
        <v>9515</v>
      </c>
    </row>
    <row r="3769" spans="1:2" x14ac:dyDescent="0.25">
      <c r="A3769" s="81" t="s">
        <v>5973</v>
      </c>
      <c r="B3769" s="80" t="s">
        <v>9515</v>
      </c>
    </row>
    <row r="3770" spans="1:2" x14ac:dyDescent="0.25">
      <c r="A3770" s="81" t="s">
        <v>5974</v>
      </c>
      <c r="B3770" s="80" t="s">
        <v>9515</v>
      </c>
    </row>
    <row r="3771" spans="1:2" x14ac:dyDescent="0.25">
      <c r="A3771" s="81" t="s">
        <v>5975</v>
      </c>
      <c r="B3771" s="80" t="s">
        <v>9515</v>
      </c>
    </row>
    <row r="3772" spans="1:2" x14ac:dyDescent="0.25">
      <c r="A3772" s="81" t="s">
        <v>5976</v>
      </c>
      <c r="B3772" s="80" t="s">
        <v>9515</v>
      </c>
    </row>
    <row r="3773" spans="1:2" x14ac:dyDescent="0.25">
      <c r="A3773" s="81" t="s">
        <v>5977</v>
      </c>
      <c r="B3773" s="80" t="s">
        <v>9515</v>
      </c>
    </row>
    <row r="3774" spans="1:2" x14ac:dyDescent="0.25">
      <c r="A3774" s="81" t="s">
        <v>5978</v>
      </c>
      <c r="B3774" s="80" t="s">
        <v>9515</v>
      </c>
    </row>
    <row r="3775" spans="1:2" x14ac:dyDescent="0.25">
      <c r="A3775" s="81" t="s">
        <v>5979</v>
      </c>
      <c r="B3775" s="80" t="s">
        <v>9515</v>
      </c>
    </row>
    <row r="3776" spans="1:2" x14ac:dyDescent="0.25">
      <c r="A3776" s="81" t="s">
        <v>5980</v>
      </c>
      <c r="B3776" s="80" t="s">
        <v>9515</v>
      </c>
    </row>
    <row r="3777" spans="1:2" x14ac:dyDescent="0.25">
      <c r="A3777" s="81" t="s">
        <v>5981</v>
      </c>
      <c r="B3777" s="80" t="s">
        <v>9515</v>
      </c>
    </row>
    <row r="3778" spans="1:2" x14ac:dyDescent="0.25">
      <c r="A3778" s="81" t="s">
        <v>5982</v>
      </c>
      <c r="B3778" s="80" t="s">
        <v>9515</v>
      </c>
    </row>
    <row r="3779" spans="1:2" x14ac:dyDescent="0.25">
      <c r="A3779" s="81" t="s">
        <v>5983</v>
      </c>
      <c r="B3779" s="80" t="s">
        <v>9515</v>
      </c>
    </row>
    <row r="3780" spans="1:2" x14ac:dyDescent="0.25">
      <c r="A3780" s="81" t="s">
        <v>5984</v>
      </c>
      <c r="B3780" s="80" t="s">
        <v>9515</v>
      </c>
    </row>
    <row r="3781" spans="1:2" x14ac:dyDescent="0.25">
      <c r="A3781" s="81" t="s">
        <v>5985</v>
      </c>
      <c r="B3781" s="80" t="s">
        <v>9515</v>
      </c>
    </row>
    <row r="3782" spans="1:2" x14ac:dyDescent="0.25">
      <c r="A3782" s="81" t="s">
        <v>5986</v>
      </c>
      <c r="B3782" s="80" t="s">
        <v>9515</v>
      </c>
    </row>
    <row r="3783" spans="1:2" x14ac:dyDescent="0.25">
      <c r="A3783" s="81" t="s">
        <v>5987</v>
      </c>
      <c r="B3783" s="80" t="s">
        <v>9515</v>
      </c>
    </row>
    <row r="3784" spans="1:2" x14ac:dyDescent="0.25">
      <c r="A3784" s="81" t="s">
        <v>5988</v>
      </c>
      <c r="B3784" s="80" t="s">
        <v>9515</v>
      </c>
    </row>
    <row r="3785" spans="1:2" x14ac:dyDescent="0.25">
      <c r="A3785" s="81" t="s">
        <v>5989</v>
      </c>
      <c r="B3785" s="80" t="s">
        <v>9515</v>
      </c>
    </row>
    <row r="3786" spans="1:2" x14ac:dyDescent="0.25">
      <c r="A3786" s="81" t="s">
        <v>5990</v>
      </c>
      <c r="B3786" s="80" t="s">
        <v>9515</v>
      </c>
    </row>
    <row r="3787" spans="1:2" x14ac:dyDescent="0.25">
      <c r="A3787" s="81" t="s">
        <v>5991</v>
      </c>
      <c r="B3787" s="80" t="s">
        <v>9515</v>
      </c>
    </row>
    <row r="3788" spans="1:2" x14ac:dyDescent="0.25">
      <c r="A3788" s="81" t="s">
        <v>2129</v>
      </c>
      <c r="B3788" s="80" t="s">
        <v>9515</v>
      </c>
    </row>
    <row r="3789" spans="1:2" x14ac:dyDescent="0.25">
      <c r="A3789" s="81" t="s">
        <v>5992</v>
      </c>
      <c r="B3789" s="80" t="s">
        <v>9515</v>
      </c>
    </row>
    <row r="3790" spans="1:2" x14ac:dyDescent="0.25">
      <c r="A3790" s="81" t="s">
        <v>5993</v>
      </c>
      <c r="B3790" s="80" t="s">
        <v>9515</v>
      </c>
    </row>
    <row r="3791" spans="1:2" x14ac:dyDescent="0.25">
      <c r="A3791" s="81" t="s">
        <v>5994</v>
      </c>
      <c r="B3791" s="80" t="s">
        <v>9515</v>
      </c>
    </row>
    <row r="3792" spans="1:2" x14ac:dyDescent="0.25">
      <c r="A3792" s="81" t="s">
        <v>5995</v>
      </c>
      <c r="B3792" s="80" t="s">
        <v>9515</v>
      </c>
    </row>
    <row r="3793" spans="1:2" x14ac:dyDescent="0.25">
      <c r="A3793" s="81" t="s">
        <v>5996</v>
      </c>
      <c r="B3793" s="80" t="s">
        <v>9515</v>
      </c>
    </row>
    <row r="3794" spans="1:2" x14ac:dyDescent="0.25">
      <c r="A3794" s="81" t="s">
        <v>5997</v>
      </c>
      <c r="B3794" s="80" t="s">
        <v>9515</v>
      </c>
    </row>
    <row r="3795" spans="1:2" x14ac:dyDescent="0.25">
      <c r="A3795" s="81" t="s">
        <v>5998</v>
      </c>
      <c r="B3795" s="80" t="s">
        <v>9515</v>
      </c>
    </row>
    <row r="3796" spans="1:2" x14ac:dyDescent="0.25">
      <c r="A3796" s="81" t="s">
        <v>5999</v>
      </c>
      <c r="B3796" s="80" t="s">
        <v>9515</v>
      </c>
    </row>
    <row r="3797" spans="1:2" x14ac:dyDescent="0.25">
      <c r="A3797" s="81" t="s">
        <v>6000</v>
      </c>
      <c r="B3797" s="80" t="s">
        <v>9515</v>
      </c>
    </row>
    <row r="3798" spans="1:2" x14ac:dyDescent="0.25">
      <c r="A3798" s="81" t="s">
        <v>6001</v>
      </c>
      <c r="B3798" s="80" t="s">
        <v>9515</v>
      </c>
    </row>
    <row r="3799" spans="1:2" x14ac:dyDescent="0.25">
      <c r="A3799" s="81" t="s">
        <v>6002</v>
      </c>
      <c r="B3799" s="80" t="s">
        <v>9515</v>
      </c>
    </row>
    <row r="3800" spans="1:2" x14ac:dyDescent="0.25">
      <c r="A3800" s="81" t="s">
        <v>6003</v>
      </c>
      <c r="B3800" s="80" t="s">
        <v>9515</v>
      </c>
    </row>
    <row r="3801" spans="1:2" x14ac:dyDescent="0.25">
      <c r="A3801" s="81" t="s">
        <v>6004</v>
      </c>
      <c r="B3801" s="80" t="s">
        <v>9515</v>
      </c>
    </row>
    <row r="3802" spans="1:2" x14ac:dyDescent="0.25">
      <c r="A3802" s="81" t="s">
        <v>6005</v>
      </c>
      <c r="B3802" s="80" t="s">
        <v>9515</v>
      </c>
    </row>
    <row r="3803" spans="1:2" x14ac:dyDescent="0.25">
      <c r="A3803" s="81" t="s">
        <v>6006</v>
      </c>
      <c r="B3803" s="80" t="s">
        <v>9515</v>
      </c>
    </row>
    <row r="3804" spans="1:2" x14ac:dyDescent="0.25">
      <c r="A3804" s="81" t="s">
        <v>6007</v>
      </c>
      <c r="B3804" s="80" t="s">
        <v>9515</v>
      </c>
    </row>
    <row r="3805" spans="1:2" x14ac:dyDescent="0.25">
      <c r="A3805" s="81" t="s">
        <v>6008</v>
      </c>
      <c r="B3805" s="80" t="s">
        <v>9515</v>
      </c>
    </row>
    <row r="3806" spans="1:2" x14ac:dyDescent="0.25">
      <c r="A3806" s="81" t="s">
        <v>6009</v>
      </c>
      <c r="B3806" s="80" t="s">
        <v>9515</v>
      </c>
    </row>
    <row r="3807" spans="1:2" x14ac:dyDescent="0.25">
      <c r="A3807" s="81" t="s">
        <v>6010</v>
      </c>
      <c r="B3807" s="80" t="s">
        <v>9515</v>
      </c>
    </row>
    <row r="3808" spans="1:2" x14ac:dyDescent="0.25">
      <c r="A3808" s="81" t="s">
        <v>6011</v>
      </c>
      <c r="B3808" s="80" t="s">
        <v>9515</v>
      </c>
    </row>
    <row r="3809" spans="1:2" x14ac:dyDescent="0.25">
      <c r="A3809" s="81" t="s">
        <v>6012</v>
      </c>
      <c r="B3809" s="80" t="s">
        <v>9515</v>
      </c>
    </row>
    <row r="3810" spans="1:2" x14ac:dyDescent="0.25">
      <c r="A3810" s="81" t="s">
        <v>6013</v>
      </c>
      <c r="B3810" s="80" t="s">
        <v>9515</v>
      </c>
    </row>
    <row r="3811" spans="1:2" x14ac:dyDescent="0.25">
      <c r="A3811" s="81" t="s">
        <v>6014</v>
      </c>
      <c r="B3811" s="80" t="s">
        <v>9515</v>
      </c>
    </row>
    <row r="3812" spans="1:2" x14ac:dyDescent="0.25">
      <c r="A3812" s="81" t="s">
        <v>6015</v>
      </c>
      <c r="B3812" s="80" t="s">
        <v>9515</v>
      </c>
    </row>
    <row r="3813" spans="1:2" x14ac:dyDescent="0.25">
      <c r="A3813" s="81" t="s">
        <v>6016</v>
      </c>
      <c r="B3813" s="80" t="s">
        <v>9515</v>
      </c>
    </row>
    <row r="3814" spans="1:2" x14ac:dyDescent="0.25">
      <c r="A3814" s="81" t="s">
        <v>6017</v>
      </c>
      <c r="B3814" s="80" t="s">
        <v>9515</v>
      </c>
    </row>
    <row r="3815" spans="1:2" x14ac:dyDescent="0.25">
      <c r="A3815" s="81" t="s">
        <v>6018</v>
      </c>
      <c r="B3815" s="80" t="s">
        <v>9515</v>
      </c>
    </row>
    <row r="3816" spans="1:2" x14ac:dyDescent="0.25">
      <c r="A3816" s="81" t="s">
        <v>6019</v>
      </c>
      <c r="B3816" s="80" t="s">
        <v>9515</v>
      </c>
    </row>
    <row r="3817" spans="1:2" x14ac:dyDescent="0.25">
      <c r="A3817" s="81" t="s">
        <v>6020</v>
      </c>
      <c r="B3817" s="80" t="s">
        <v>9515</v>
      </c>
    </row>
    <row r="3818" spans="1:2" x14ac:dyDescent="0.25">
      <c r="A3818" s="81" t="s">
        <v>6021</v>
      </c>
      <c r="B3818" s="80" t="s">
        <v>9515</v>
      </c>
    </row>
    <row r="3819" spans="1:2" x14ac:dyDescent="0.25">
      <c r="A3819" s="81" t="s">
        <v>6022</v>
      </c>
      <c r="B3819" s="80" t="s">
        <v>9515</v>
      </c>
    </row>
    <row r="3820" spans="1:2" x14ac:dyDescent="0.25">
      <c r="A3820" s="81" t="s">
        <v>6023</v>
      </c>
      <c r="B3820" s="80" t="s">
        <v>9515</v>
      </c>
    </row>
    <row r="3821" spans="1:2" x14ac:dyDescent="0.25">
      <c r="A3821" s="81" t="s">
        <v>6024</v>
      </c>
      <c r="B3821" s="80" t="s">
        <v>9515</v>
      </c>
    </row>
    <row r="3822" spans="1:2" x14ac:dyDescent="0.25">
      <c r="A3822" s="81" t="s">
        <v>6025</v>
      </c>
      <c r="B3822" s="80" t="s">
        <v>9515</v>
      </c>
    </row>
    <row r="3823" spans="1:2" x14ac:dyDescent="0.25">
      <c r="A3823" s="81" t="s">
        <v>6026</v>
      </c>
      <c r="B3823" s="80" t="s">
        <v>9515</v>
      </c>
    </row>
    <row r="3824" spans="1:2" x14ac:dyDescent="0.25">
      <c r="A3824" s="81" t="s">
        <v>6027</v>
      </c>
      <c r="B3824" s="80" t="s">
        <v>9515</v>
      </c>
    </row>
    <row r="3825" spans="1:2" x14ac:dyDescent="0.25">
      <c r="A3825" s="81" t="s">
        <v>6028</v>
      </c>
      <c r="B3825" s="80" t="s">
        <v>9515</v>
      </c>
    </row>
    <row r="3826" spans="1:2" x14ac:dyDescent="0.25">
      <c r="A3826" s="81" t="s">
        <v>6029</v>
      </c>
      <c r="B3826" s="80" t="s">
        <v>9515</v>
      </c>
    </row>
    <row r="3827" spans="1:2" x14ac:dyDescent="0.25">
      <c r="A3827" s="81" t="s">
        <v>6030</v>
      </c>
      <c r="B3827" s="80" t="s">
        <v>9515</v>
      </c>
    </row>
    <row r="3828" spans="1:2" x14ac:dyDescent="0.25">
      <c r="A3828" s="81" t="s">
        <v>6031</v>
      </c>
      <c r="B3828" s="80" t="s">
        <v>9515</v>
      </c>
    </row>
    <row r="3829" spans="1:2" x14ac:dyDescent="0.25">
      <c r="A3829" s="81" t="s">
        <v>6032</v>
      </c>
      <c r="B3829" s="80" t="s">
        <v>9515</v>
      </c>
    </row>
    <row r="3830" spans="1:2" x14ac:dyDescent="0.25">
      <c r="A3830" s="81" t="s">
        <v>6033</v>
      </c>
      <c r="B3830" s="80" t="s">
        <v>9515</v>
      </c>
    </row>
    <row r="3831" spans="1:2" x14ac:dyDescent="0.25">
      <c r="A3831" s="81" t="s">
        <v>6034</v>
      </c>
      <c r="B3831" s="80" t="s">
        <v>9515</v>
      </c>
    </row>
    <row r="3832" spans="1:2" x14ac:dyDescent="0.25">
      <c r="A3832" s="81" t="s">
        <v>6035</v>
      </c>
      <c r="B3832" s="80" t="s">
        <v>9515</v>
      </c>
    </row>
    <row r="3833" spans="1:2" x14ac:dyDescent="0.25">
      <c r="A3833" s="81" t="s">
        <v>6036</v>
      </c>
      <c r="B3833" s="80" t="s">
        <v>9515</v>
      </c>
    </row>
    <row r="3834" spans="1:2" x14ac:dyDescent="0.25">
      <c r="A3834" s="81" t="s">
        <v>6037</v>
      </c>
      <c r="B3834" s="80" t="s">
        <v>9515</v>
      </c>
    </row>
    <row r="3835" spans="1:2" x14ac:dyDescent="0.25">
      <c r="A3835" s="81" t="s">
        <v>6038</v>
      </c>
      <c r="B3835" s="80" t="s">
        <v>9515</v>
      </c>
    </row>
    <row r="3836" spans="1:2" x14ac:dyDescent="0.25">
      <c r="A3836" s="81" t="s">
        <v>6039</v>
      </c>
      <c r="B3836" s="80" t="s">
        <v>9515</v>
      </c>
    </row>
    <row r="3837" spans="1:2" x14ac:dyDescent="0.25">
      <c r="A3837" s="81" t="s">
        <v>6040</v>
      </c>
      <c r="B3837" s="80" t="s">
        <v>9515</v>
      </c>
    </row>
    <row r="3838" spans="1:2" x14ac:dyDescent="0.25">
      <c r="A3838" s="81" t="s">
        <v>6041</v>
      </c>
      <c r="B3838" s="80" t="s">
        <v>9515</v>
      </c>
    </row>
    <row r="3839" spans="1:2" x14ac:dyDescent="0.25">
      <c r="A3839" s="81" t="s">
        <v>6042</v>
      </c>
      <c r="B3839" s="80" t="s">
        <v>9515</v>
      </c>
    </row>
    <row r="3840" spans="1:2" x14ac:dyDescent="0.25">
      <c r="A3840" s="81" t="s">
        <v>6043</v>
      </c>
      <c r="B3840" s="80" t="s">
        <v>9515</v>
      </c>
    </row>
    <row r="3841" spans="1:2" x14ac:dyDescent="0.25">
      <c r="A3841" s="81" t="s">
        <v>6044</v>
      </c>
      <c r="B3841" s="80" t="s">
        <v>9515</v>
      </c>
    </row>
    <row r="3842" spans="1:2" x14ac:dyDescent="0.25">
      <c r="A3842" s="81" t="s">
        <v>6045</v>
      </c>
      <c r="B3842" s="80" t="s">
        <v>9515</v>
      </c>
    </row>
    <row r="3843" spans="1:2" x14ac:dyDescent="0.25">
      <c r="A3843" s="81" t="s">
        <v>6046</v>
      </c>
      <c r="B3843" s="80" t="s">
        <v>9515</v>
      </c>
    </row>
    <row r="3844" spans="1:2" x14ac:dyDescent="0.25">
      <c r="A3844" s="81" t="s">
        <v>6047</v>
      </c>
      <c r="B3844" s="80" t="s">
        <v>9515</v>
      </c>
    </row>
    <row r="3845" spans="1:2" x14ac:dyDescent="0.25">
      <c r="A3845" s="81" t="s">
        <v>6048</v>
      </c>
      <c r="B3845" s="80" t="s">
        <v>9515</v>
      </c>
    </row>
    <row r="3846" spans="1:2" x14ac:dyDescent="0.25">
      <c r="A3846" s="81" t="s">
        <v>6049</v>
      </c>
      <c r="B3846" s="80" t="s">
        <v>9515</v>
      </c>
    </row>
    <row r="3847" spans="1:2" x14ac:dyDescent="0.25">
      <c r="A3847" s="81" t="s">
        <v>6050</v>
      </c>
      <c r="B3847" s="80" t="s">
        <v>9515</v>
      </c>
    </row>
    <row r="3848" spans="1:2" x14ac:dyDescent="0.25">
      <c r="A3848" s="81" t="s">
        <v>6051</v>
      </c>
      <c r="B3848" s="80" t="s">
        <v>9515</v>
      </c>
    </row>
    <row r="3849" spans="1:2" x14ac:dyDescent="0.25">
      <c r="A3849" s="81" t="s">
        <v>6052</v>
      </c>
      <c r="B3849" s="80" t="s">
        <v>9515</v>
      </c>
    </row>
    <row r="3850" spans="1:2" x14ac:dyDescent="0.25">
      <c r="A3850" s="81" t="s">
        <v>6053</v>
      </c>
      <c r="B3850" s="80" t="s">
        <v>9515</v>
      </c>
    </row>
    <row r="3851" spans="1:2" x14ac:dyDescent="0.25">
      <c r="A3851" s="81" t="s">
        <v>6054</v>
      </c>
      <c r="B3851" s="80" t="s">
        <v>9515</v>
      </c>
    </row>
    <row r="3852" spans="1:2" x14ac:dyDescent="0.25">
      <c r="A3852" s="81" t="s">
        <v>6055</v>
      </c>
      <c r="B3852" s="80" t="s">
        <v>9515</v>
      </c>
    </row>
    <row r="3853" spans="1:2" x14ac:dyDescent="0.25">
      <c r="A3853" s="81" t="s">
        <v>6056</v>
      </c>
      <c r="B3853" s="80" t="s">
        <v>9515</v>
      </c>
    </row>
    <row r="3854" spans="1:2" x14ac:dyDescent="0.25">
      <c r="A3854" s="81" t="s">
        <v>6057</v>
      </c>
      <c r="B3854" s="80" t="s">
        <v>9515</v>
      </c>
    </row>
    <row r="3855" spans="1:2" x14ac:dyDescent="0.25">
      <c r="A3855" s="81" t="s">
        <v>6058</v>
      </c>
      <c r="B3855" s="80" t="s">
        <v>9515</v>
      </c>
    </row>
    <row r="3856" spans="1:2" x14ac:dyDescent="0.25">
      <c r="A3856" s="81" t="s">
        <v>6059</v>
      </c>
      <c r="B3856" s="80" t="s">
        <v>9515</v>
      </c>
    </row>
    <row r="3857" spans="1:2" x14ac:dyDescent="0.25">
      <c r="A3857" s="81" t="s">
        <v>6060</v>
      </c>
      <c r="B3857" s="80" t="s">
        <v>9515</v>
      </c>
    </row>
    <row r="3858" spans="1:2" x14ac:dyDescent="0.25">
      <c r="A3858" s="81" t="s">
        <v>6061</v>
      </c>
      <c r="B3858" s="80" t="s">
        <v>9515</v>
      </c>
    </row>
    <row r="3859" spans="1:2" x14ac:dyDescent="0.25">
      <c r="A3859" s="81" t="s">
        <v>6062</v>
      </c>
      <c r="B3859" s="80" t="s">
        <v>9515</v>
      </c>
    </row>
    <row r="3860" spans="1:2" x14ac:dyDescent="0.25">
      <c r="A3860" s="81" t="s">
        <v>6063</v>
      </c>
      <c r="B3860" s="80" t="s">
        <v>9515</v>
      </c>
    </row>
    <row r="3861" spans="1:2" x14ac:dyDescent="0.25">
      <c r="A3861" s="81" t="s">
        <v>6064</v>
      </c>
      <c r="B3861" s="80" t="s">
        <v>9515</v>
      </c>
    </row>
    <row r="3862" spans="1:2" x14ac:dyDescent="0.25">
      <c r="A3862" s="81" t="s">
        <v>6065</v>
      </c>
      <c r="B3862" s="80" t="s">
        <v>9515</v>
      </c>
    </row>
    <row r="3863" spans="1:2" x14ac:dyDescent="0.25">
      <c r="A3863" s="81" t="s">
        <v>6066</v>
      </c>
      <c r="B3863" s="80" t="s">
        <v>9515</v>
      </c>
    </row>
    <row r="3864" spans="1:2" x14ac:dyDescent="0.25">
      <c r="A3864" s="81" t="s">
        <v>6067</v>
      </c>
      <c r="B3864" s="80" t="s">
        <v>9515</v>
      </c>
    </row>
    <row r="3865" spans="1:2" x14ac:dyDescent="0.25">
      <c r="A3865" s="81" t="s">
        <v>6068</v>
      </c>
      <c r="B3865" s="80" t="s">
        <v>9515</v>
      </c>
    </row>
    <row r="3866" spans="1:2" x14ac:dyDescent="0.25">
      <c r="A3866" s="81" t="s">
        <v>6069</v>
      </c>
      <c r="B3866" s="80" t="s">
        <v>9515</v>
      </c>
    </row>
    <row r="3867" spans="1:2" x14ac:dyDescent="0.25">
      <c r="A3867" s="81" t="s">
        <v>6070</v>
      </c>
      <c r="B3867" s="80" t="s">
        <v>9515</v>
      </c>
    </row>
    <row r="3868" spans="1:2" x14ac:dyDescent="0.25">
      <c r="A3868" s="81" t="s">
        <v>6071</v>
      </c>
      <c r="B3868" s="80" t="s">
        <v>9515</v>
      </c>
    </row>
    <row r="3869" spans="1:2" x14ac:dyDescent="0.25">
      <c r="A3869" s="81" t="s">
        <v>6072</v>
      </c>
      <c r="B3869" s="80" t="s">
        <v>9515</v>
      </c>
    </row>
    <row r="3870" spans="1:2" x14ac:dyDescent="0.25">
      <c r="A3870" s="81" t="s">
        <v>6073</v>
      </c>
      <c r="B3870" s="80" t="s">
        <v>9515</v>
      </c>
    </row>
    <row r="3871" spans="1:2" x14ac:dyDescent="0.25">
      <c r="A3871" s="81" t="s">
        <v>6074</v>
      </c>
      <c r="B3871" s="80" t="s">
        <v>9515</v>
      </c>
    </row>
    <row r="3872" spans="1:2" x14ac:dyDescent="0.25">
      <c r="A3872" s="81" t="s">
        <v>6075</v>
      </c>
      <c r="B3872" s="80" t="s">
        <v>9515</v>
      </c>
    </row>
    <row r="3873" spans="1:2" x14ac:dyDescent="0.25">
      <c r="A3873" s="81" t="s">
        <v>6076</v>
      </c>
      <c r="B3873" s="80" t="s">
        <v>9515</v>
      </c>
    </row>
    <row r="3874" spans="1:2" x14ac:dyDescent="0.25">
      <c r="A3874" s="81" t="s">
        <v>6077</v>
      </c>
      <c r="B3874" s="80" t="s">
        <v>9515</v>
      </c>
    </row>
    <row r="3875" spans="1:2" x14ac:dyDescent="0.25">
      <c r="A3875" s="81" t="s">
        <v>6078</v>
      </c>
      <c r="B3875" s="80" t="s">
        <v>9515</v>
      </c>
    </row>
    <row r="3876" spans="1:2" x14ac:dyDescent="0.25">
      <c r="A3876" s="81" t="s">
        <v>6079</v>
      </c>
      <c r="B3876" s="80" t="s">
        <v>9515</v>
      </c>
    </row>
    <row r="3877" spans="1:2" x14ac:dyDescent="0.25">
      <c r="A3877" s="81" t="s">
        <v>6080</v>
      </c>
      <c r="B3877" s="80" t="s">
        <v>9515</v>
      </c>
    </row>
    <row r="3878" spans="1:2" x14ac:dyDescent="0.25">
      <c r="A3878" s="81" t="s">
        <v>6081</v>
      </c>
      <c r="B3878" s="80" t="s">
        <v>9515</v>
      </c>
    </row>
    <row r="3879" spans="1:2" x14ac:dyDescent="0.25">
      <c r="A3879" s="81" t="s">
        <v>6082</v>
      </c>
      <c r="B3879" s="80" t="s">
        <v>9515</v>
      </c>
    </row>
    <row r="3880" spans="1:2" x14ac:dyDescent="0.25">
      <c r="A3880" s="81" t="s">
        <v>6083</v>
      </c>
      <c r="B3880" s="80" t="s">
        <v>9515</v>
      </c>
    </row>
    <row r="3881" spans="1:2" x14ac:dyDescent="0.25">
      <c r="A3881" s="81" t="s">
        <v>6084</v>
      </c>
      <c r="B3881" s="80" t="s">
        <v>9515</v>
      </c>
    </row>
    <row r="3882" spans="1:2" x14ac:dyDescent="0.25">
      <c r="A3882" s="81" t="s">
        <v>6085</v>
      </c>
      <c r="B3882" s="80" t="s">
        <v>9515</v>
      </c>
    </row>
    <row r="3883" spans="1:2" x14ac:dyDescent="0.25">
      <c r="A3883" s="81" t="s">
        <v>6086</v>
      </c>
      <c r="B3883" s="80" t="s">
        <v>9515</v>
      </c>
    </row>
    <row r="3884" spans="1:2" x14ac:dyDescent="0.25">
      <c r="A3884" s="81" t="s">
        <v>6087</v>
      </c>
      <c r="B3884" s="80" t="s">
        <v>9515</v>
      </c>
    </row>
    <row r="3885" spans="1:2" x14ac:dyDescent="0.25">
      <c r="A3885" s="81" t="s">
        <v>6088</v>
      </c>
      <c r="B3885" s="80" t="s">
        <v>9515</v>
      </c>
    </row>
    <row r="3886" spans="1:2" x14ac:dyDescent="0.25">
      <c r="A3886" s="81" t="s">
        <v>6089</v>
      </c>
      <c r="B3886" s="80" t="s">
        <v>9515</v>
      </c>
    </row>
    <row r="3887" spans="1:2" x14ac:dyDescent="0.25">
      <c r="A3887" s="81" t="s">
        <v>6090</v>
      </c>
      <c r="B3887" s="80" t="s">
        <v>9515</v>
      </c>
    </row>
    <row r="3888" spans="1:2" x14ac:dyDescent="0.25">
      <c r="A3888" s="81" t="s">
        <v>6091</v>
      </c>
      <c r="B3888" s="80" t="s">
        <v>9515</v>
      </c>
    </row>
    <row r="3889" spans="1:2" x14ac:dyDescent="0.25">
      <c r="A3889" s="81" t="s">
        <v>6092</v>
      </c>
      <c r="B3889" s="80" t="s">
        <v>9515</v>
      </c>
    </row>
    <row r="3890" spans="1:2" x14ac:dyDescent="0.25">
      <c r="A3890" s="81" t="s">
        <v>6093</v>
      </c>
      <c r="B3890" s="80" t="s">
        <v>9515</v>
      </c>
    </row>
    <row r="3891" spans="1:2" x14ac:dyDescent="0.25">
      <c r="A3891" s="81" t="s">
        <v>6094</v>
      </c>
      <c r="B3891" s="80" t="s">
        <v>9515</v>
      </c>
    </row>
    <row r="3892" spans="1:2" x14ac:dyDescent="0.25">
      <c r="A3892" s="81" t="s">
        <v>6095</v>
      </c>
      <c r="B3892" s="80" t="s">
        <v>9515</v>
      </c>
    </row>
    <row r="3893" spans="1:2" x14ac:dyDescent="0.25">
      <c r="A3893" s="81" t="s">
        <v>6096</v>
      </c>
      <c r="B3893" s="80" t="s">
        <v>9515</v>
      </c>
    </row>
    <row r="3894" spans="1:2" x14ac:dyDescent="0.25">
      <c r="A3894" s="81" t="s">
        <v>6097</v>
      </c>
      <c r="B3894" s="80" t="s">
        <v>9515</v>
      </c>
    </row>
    <row r="3895" spans="1:2" x14ac:dyDescent="0.25">
      <c r="A3895" s="81" t="s">
        <v>6098</v>
      </c>
      <c r="B3895" s="80" t="s">
        <v>9515</v>
      </c>
    </row>
    <row r="3896" spans="1:2" x14ac:dyDescent="0.25">
      <c r="A3896" s="81" t="s">
        <v>6099</v>
      </c>
      <c r="B3896" s="80" t="s">
        <v>9515</v>
      </c>
    </row>
    <row r="3897" spans="1:2" x14ac:dyDescent="0.25">
      <c r="A3897" s="81" t="s">
        <v>6100</v>
      </c>
      <c r="B3897" s="80" t="s">
        <v>9515</v>
      </c>
    </row>
    <row r="3898" spans="1:2" x14ac:dyDescent="0.25">
      <c r="A3898" s="81" t="s">
        <v>6101</v>
      </c>
      <c r="B3898" s="80" t="s">
        <v>9515</v>
      </c>
    </row>
    <row r="3899" spans="1:2" x14ac:dyDescent="0.25">
      <c r="A3899" s="81" t="s">
        <v>6102</v>
      </c>
      <c r="B3899" s="80" t="s">
        <v>9515</v>
      </c>
    </row>
    <row r="3900" spans="1:2" x14ac:dyDescent="0.25">
      <c r="A3900" s="81" t="s">
        <v>6103</v>
      </c>
      <c r="B3900" s="80" t="s">
        <v>9515</v>
      </c>
    </row>
    <row r="3901" spans="1:2" x14ac:dyDescent="0.25">
      <c r="A3901" s="81" t="s">
        <v>6104</v>
      </c>
      <c r="B3901" s="80" t="s">
        <v>9515</v>
      </c>
    </row>
    <row r="3902" spans="1:2" x14ac:dyDescent="0.25">
      <c r="A3902" s="81" t="s">
        <v>6105</v>
      </c>
      <c r="B3902" s="80" t="s">
        <v>9515</v>
      </c>
    </row>
    <row r="3903" spans="1:2" x14ac:dyDescent="0.25">
      <c r="A3903" s="81" t="s">
        <v>6106</v>
      </c>
      <c r="B3903" s="80" t="s">
        <v>9515</v>
      </c>
    </row>
    <row r="3904" spans="1:2" x14ac:dyDescent="0.25">
      <c r="A3904" s="81" t="s">
        <v>6107</v>
      </c>
      <c r="B3904" s="80" t="s">
        <v>9515</v>
      </c>
    </row>
    <row r="3905" spans="1:2" x14ac:dyDescent="0.25">
      <c r="A3905" s="81" t="s">
        <v>6108</v>
      </c>
      <c r="B3905" s="80" t="s">
        <v>9515</v>
      </c>
    </row>
    <row r="3906" spans="1:2" x14ac:dyDescent="0.25">
      <c r="A3906" s="81" t="s">
        <v>6109</v>
      </c>
      <c r="B3906" s="80" t="s">
        <v>9515</v>
      </c>
    </row>
    <row r="3907" spans="1:2" x14ac:dyDescent="0.25">
      <c r="A3907" s="81" t="s">
        <v>6110</v>
      </c>
      <c r="B3907" s="80" t="s">
        <v>9515</v>
      </c>
    </row>
    <row r="3908" spans="1:2" x14ac:dyDescent="0.25">
      <c r="A3908" s="81" t="s">
        <v>6111</v>
      </c>
      <c r="B3908" s="80" t="s">
        <v>9515</v>
      </c>
    </row>
    <row r="3909" spans="1:2" x14ac:dyDescent="0.25">
      <c r="A3909" s="81" t="s">
        <v>6112</v>
      </c>
      <c r="B3909" s="80" t="s">
        <v>9515</v>
      </c>
    </row>
    <row r="3910" spans="1:2" x14ac:dyDescent="0.25">
      <c r="A3910" s="81" t="s">
        <v>6113</v>
      </c>
      <c r="B3910" s="80" t="s">
        <v>9515</v>
      </c>
    </row>
    <row r="3911" spans="1:2" x14ac:dyDescent="0.25">
      <c r="A3911" s="81" t="s">
        <v>6114</v>
      </c>
      <c r="B3911" s="80" t="s">
        <v>9515</v>
      </c>
    </row>
    <row r="3912" spans="1:2" x14ac:dyDescent="0.25">
      <c r="A3912" s="81" t="s">
        <v>6115</v>
      </c>
      <c r="B3912" s="80" t="s">
        <v>9515</v>
      </c>
    </row>
    <row r="3913" spans="1:2" x14ac:dyDescent="0.25">
      <c r="A3913" s="81" t="s">
        <v>6116</v>
      </c>
      <c r="B3913" s="80" t="s">
        <v>9515</v>
      </c>
    </row>
    <row r="3914" spans="1:2" x14ac:dyDescent="0.25">
      <c r="A3914" s="81" t="s">
        <v>6117</v>
      </c>
      <c r="B3914" s="80" t="s">
        <v>9515</v>
      </c>
    </row>
    <row r="3915" spans="1:2" x14ac:dyDescent="0.25">
      <c r="A3915" s="81" t="s">
        <v>6118</v>
      </c>
      <c r="B3915" s="80" t="s">
        <v>9515</v>
      </c>
    </row>
    <row r="3916" spans="1:2" x14ac:dyDescent="0.25">
      <c r="A3916" s="81" t="s">
        <v>6119</v>
      </c>
      <c r="B3916" s="80" t="s">
        <v>9515</v>
      </c>
    </row>
    <row r="3917" spans="1:2" x14ac:dyDescent="0.25">
      <c r="A3917" s="81" t="s">
        <v>6120</v>
      </c>
      <c r="B3917" s="80" t="s">
        <v>9515</v>
      </c>
    </row>
    <row r="3918" spans="1:2" x14ac:dyDescent="0.25">
      <c r="A3918" s="81" t="s">
        <v>6121</v>
      </c>
      <c r="B3918" s="80" t="s">
        <v>9515</v>
      </c>
    </row>
    <row r="3919" spans="1:2" x14ac:dyDescent="0.25">
      <c r="A3919" s="81" t="s">
        <v>6122</v>
      </c>
      <c r="B3919" s="80" t="s">
        <v>9515</v>
      </c>
    </row>
    <row r="3920" spans="1:2" x14ac:dyDescent="0.25">
      <c r="A3920" s="81" t="s">
        <v>6123</v>
      </c>
      <c r="B3920" s="80" t="s">
        <v>9515</v>
      </c>
    </row>
    <row r="3921" spans="1:2" x14ac:dyDescent="0.25">
      <c r="A3921" s="81" t="s">
        <v>6124</v>
      </c>
      <c r="B3921" s="80" t="s">
        <v>9515</v>
      </c>
    </row>
    <row r="3922" spans="1:2" x14ac:dyDescent="0.25">
      <c r="A3922" s="81" t="s">
        <v>6125</v>
      </c>
      <c r="B3922" s="80" t="s">
        <v>9515</v>
      </c>
    </row>
    <row r="3923" spans="1:2" x14ac:dyDescent="0.25">
      <c r="A3923" s="81" t="s">
        <v>6126</v>
      </c>
      <c r="B3923" s="80" t="s">
        <v>9515</v>
      </c>
    </row>
    <row r="3924" spans="1:2" x14ac:dyDescent="0.25">
      <c r="A3924" s="81" t="s">
        <v>6127</v>
      </c>
      <c r="B3924" s="80" t="s">
        <v>9515</v>
      </c>
    </row>
    <row r="3925" spans="1:2" x14ac:dyDescent="0.25">
      <c r="A3925" s="81" t="s">
        <v>6128</v>
      </c>
      <c r="B3925" s="80" t="s">
        <v>9515</v>
      </c>
    </row>
    <row r="3926" spans="1:2" x14ac:dyDescent="0.25">
      <c r="A3926" s="81" t="s">
        <v>6129</v>
      </c>
      <c r="B3926" s="80" t="s">
        <v>9515</v>
      </c>
    </row>
    <row r="3927" spans="1:2" x14ac:dyDescent="0.25">
      <c r="A3927" s="81" t="s">
        <v>6130</v>
      </c>
      <c r="B3927" s="80" t="s">
        <v>9515</v>
      </c>
    </row>
    <row r="3928" spans="1:2" x14ac:dyDescent="0.25">
      <c r="A3928" s="81" t="s">
        <v>6131</v>
      </c>
      <c r="B3928" s="80" t="s">
        <v>9515</v>
      </c>
    </row>
    <row r="3929" spans="1:2" x14ac:dyDescent="0.25">
      <c r="A3929" s="81" t="s">
        <v>6132</v>
      </c>
      <c r="B3929" s="80" t="s">
        <v>9515</v>
      </c>
    </row>
    <row r="3930" spans="1:2" x14ac:dyDescent="0.25">
      <c r="A3930" s="81" t="s">
        <v>6133</v>
      </c>
      <c r="B3930" s="80" t="s">
        <v>9515</v>
      </c>
    </row>
    <row r="3931" spans="1:2" x14ac:dyDescent="0.25">
      <c r="A3931" s="81" t="s">
        <v>6134</v>
      </c>
      <c r="B3931" s="80" t="s">
        <v>9515</v>
      </c>
    </row>
    <row r="3932" spans="1:2" x14ac:dyDescent="0.25">
      <c r="A3932" s="81" t="s">
        <v>6135</v>
      </c>
      <c r="B3932" s="80" t="s">
        <v>9515</v>
      </c>
    </row>
    <row r="3933" spans="1:2" x14ac:dyDescent="0.25">
      <c r="A3933" s="81" t="s">
        <v>6136</v>
      </c>
      <c r="B3933" s="80" t="s">
        <v>9515</v>
      </c>
    </row>
    <row r="3934" spans="1:2" x14ac:dyDescent="0.25">
      <c r="A3934" s="81" t="s">
        <v>6137</v>
      </c>
      <c r="B3934" s="80" t="s">
        <v>9515</v>
      </c>
    </row>
    <row r="3935" spans="1:2" x14ac:dyDescent="0.25">
      <c r="A3935" s="81" t="s">
        <v>6138</v>
      </c>
      <c r="B3935" s="80" t="s">
        <v>9515</v>
      </c>
    </row>
    <row r="3936" spans="1:2" x14ac:dyDescent="0.25">
      <c r="A3936" s="81" t="s">
        <v>6139</v>
      </c>
      <c r="B3936" s="80" t="s">
        <v>9515</v>
      </c>
    </row>
    <row r="3937" spans="1:2" x14ac:dyDescent="0.25">
      <c r="A3937" s="81" t="s">
        <v>6140</v>
      </c>
      <c r="B3937" s="80" t="s">
        <v>9515</v>
      </c>
    </row>
    <row r="3938" spans="1:2" x14ac:dyDescent="0.25">
      <c r="A3938" s="81" t="s">
        <v>6141</v>
      </c>
      <c r="B3938" s="80" t="s">
        <v>9515</v>
      </c>
    </row>
    <row r="3939" spans="1:2" x14ac:dyDescent="0.25">
      <c r="A3939" s="81" t="s">
        <v>6142</v>
      </c>
      <c r="B3939" s="80" t="s">
        <v>9515</v>
      </c>
    </row>
    <row r="3940" spans="1:2" x14ac:dyDescent="0.25">
      <c r="A3940" s="81" t="s">
        <v>6143</v>
      </c>
      <c r="B3940" s="80" t="s">
        <v>9515</v>
      </c>
    </row>
    <row r="3941" spans="1:2" x14ac:dyDescent="0.25">
      <c r="A3941" s="81" t="s">
        <v>6144</v>
      </c>
      <c r="B3941" s="80" t="s">
        <v>9515</v>
      </c>
    </row>
    <row r="3942" spans="1:2" x14ac:dyDescent="0.25">
      <c r="A3942" s="81" t="s">
        <v>6145</v>
      </c>
      <c r="B3942" s="80" t="s">
        <v>9515</v>
      </c>
    </row>
    <row r="3943" spans="1:2" x14ac:dyDescent="0.25">
      <c r="A3943" s="81" t="s">
        <v>6146</v>
      </c>
      <c r="B3943" s="80" t="s">
        <v>9515</v>
      </c>
    </row>
    <row r="3944" spans="1:2" x14ac:dyDescent="0.25">
      <c r="A3944" s="81" t="s">
        <v>6147</v>
      </c>
      <c r="B3944" s="80" t="s">
        <v>9515</v>
      </c>
    </row>
    <row r="3945" spans="1:2" x14ac:dyDescent="0.25">
      <c r="A3945" s="81" t="s">
        <v>6148</v>
      </c>
      <c r="B3945" s="80" t="s">
        <v>9515</v>
      </c>
    </row>
    <row r="3946" spans="1:2" x14ac:dyDescent="0.25">
      <c r="A3946" s="81" t="s">
        <v>6149</v>
      </c>
      <c r="B3946" s="80" t="s">
        <v>9515</v>
      </c>
    </row>
    <row r="3947" spans="1:2" x14ac:dyDescent="0.25">
      <c r="A3947" s="81" t="s">
        <v>6150</v>
      </c>
      <c r="B3947" s="80" t="s">
        <v>9515</v>
      </c>
    </row>
    <row r="3948" spans="1:2" x14ac:dyDescent="0.25">
      <c r="A3948" s="81" t="s">
        <v>6151</v>
      </c>
      <c r="B3948" s="80" t="s">
        <v>9515</v>
      </c>
    </row>
    <row r="3949" spans="1:2" x14ac:dyDescent="0.25">
      <c r="A3949" s="81" t="s">
        <v>6152</v>
      </c>
      <c r="B3949" s="80" t="s">
        <v>9515</v>
      </c>
    </row>
    <row r="3950" spans="1:2" x14ac:dyDescent="0.25">
      <c r="A3950" s="81" t="s">
        <v>6153</v>
      </c>
      <c r="B3950" s="80" t="s">
        <v>9515</v>
      </c>
    </row>
    <row r="3951" spans="1:2" x14ac:dyDescent="0.25">
      <c r="A3951" s="81" t="s">
        <v>6154</v>
      </c>
      <c r="B3951" s="80" t="s">
        <v>9515</v>
      </c>
    </row>
    <row r="3952" spans="1:2" x14ac:dyDescent="0.25">
      <c r="A3952" s="81" t="s">
        <v>6155</v>
      </c>
      <c r="B3952" s="80" t="s">
        <v>9515</v>
      </c>
    </row>
    <row r="3953" spans="1:2" x14ac:dyDescent="0.25">
      <c r="A3953" s="81" t="s">
        <v>6156</v>
      </c>
      <c r="B3953" s="80" t="s">
        <v>9515</v>
      </c>
    </row>
    <row r="3954" spans="1:2" x14ac:dyDescent="0.25">
      <c r="A3954" s="81" t="s">
        <v>6157</v>
      </c>
      <c r="B3954" s="80" t="s">
        <v>9515</v>
      </c>
    </row>
    <row r="3955" spans="1:2" x14ac:dyDescent="0.25">
      <c r="A3955" s="81" t="s">
        <v>6158</v>
      </c>
      <c r="B3955" s="80" t="s">
        <v>9515</v>
      </c>
    </row>
    <row r="3956" spans="1:2" x14ac:dyDescent="0.25">
      <c r="A3956" s="81" t="s">
        <v>6159</v>
      </c>
      <c r="B3956" s="80" t="s">
        <v>9515</v>
      </c>
    </row>
    <row r="3957" spans="1:2" x14ac:dyDescent="0.25">
      <c r="A3957" s="81" t="s">
        <v>6160</v>
      </c>
      <c r="B3957" s="80" t="s">
        <v>9515</v>
      </c>
    </row>
    <row r="3958" spans="1:2" x14ac:dyDescent="0.25">
      <c r="A3958" s="81" t="s">
        <v>6161</v>
      </c>
      <c r="B3958" s="80" t="s">
        <v>9515</v>
      </c>
    </row>
    <row r="3959" spans="1:2" x14ac:dyDescent="0.25">
      <c r="A3959" s="81" t="s">
        <v>6162</v>
      </c>
      <c r="B3959" s="80" t="s">
        <v>9515</v>
      </c>
    </row>
    <row r="3960" spans="1:2" x14ac:dyDescent="0.25">
      <c r="A3960" s="81" t="s">
        <v>6163</v>
      </c>
      <c r="B3960" s="80" t="s">
        <v>9515</v>
      </c>
    </row>
    <row r="3961" spans="1:2" x14ac:dyDescent="0.25">
      <c r="A3961" s="81" t="s">
        <v>6164</v>
      </c>
      <c r="B3961" s="80" t="s">
        <v>9515</v>
      </c>
    </row>
    <row r="3962" spans="1:2" x14ac:dyDescent="0.25">
      <c r="A3962" s="81" t="s">
        <v>6165</v>
      </c>
      <c r="B3962" s="80" t="s">
        <v>9515</v>
      </c>
    </row>
    <row r="3963" spans="1:2" x14ac:dyDescent="0.25">
      <c r="A3963" s="81" t="s">
        <v>6166</v>
      </c>
      <c r="B3963" s="80" t="s">
        <v>9515</v>
      </c>
    </row>
    <row r="3964" spans="1:2" x14ac:dyDescent="0.25">
      <c r="A3964" s="81" t="s">
        <v>6167</v>
      </c>
      <c r="B3964" s="80" t="s">
        <v>9515</v>
      </c>
    </row>
    <row r="3965" spans="1:2" x14ac:dyDescent="0.25">
      <c r="A3965" s="81" t="s">
        <v>6168</v>
      </c>
      <c r="B3965" s="80" t="s">
        <v>9515</v>
      </c>
    </row>
    <row r="3966" spans="1:2" x14ac:dyDescent="0.25">
      <c r="A3966" s="81" t="s">
        <v>6169</v>
      </c>
      <c r="B3966" s="80" t="s">
        <v>9515</v>
      </c>
    </row>
    <row r="3967" spans="1:2" x14ac:dyDescent="0.25">
      <c r="A3967" s="81" t="s">
        <v>6170</v>
      </c>
      <c r="B3967" s="80" t="s">
        <v>9515</v>
      </c>
    </row>
    <row r="3968" spans="1:2" x14ac:dyDescent="0.25">
      <c r="A3968" s="81" t="s">
        <v>6171</v>
      </c>
      <c r="B3968" s="80" t="s">
        <v>9515</v>
      </c>
    </row>
    <row r="3969" spans="1:2" x14ac:dyDescent="0.25">
      <c r="A3969" s="81" t="s">
        <v>6172</v>
      </c>
      <c r="B3969" s="80" t="s">
        <v>9515</v>
      </c>
    </row>
    <row r="3970" spans="1:2" x14ac:dyDescent="0.25">
      <c r="A3970" s="81" t="s">
        <v>6173</v>
      </c>
      <c r="B3970" s="80" t="s">
        <v>9515</v>
      </c>
    </row>
    <row r="3971" spans="1:2" x14ac:dyDescent="0.25">
      <c r="A3971" s="81" t="s">
        <v>6174</v>
      </c>
      <c r="B3971" s="80" t="s">
        <v>9515</v>
      </c>
    </row>
    <row r="3972" spans="1:2" x14ac:dyDescent="0.25">
      <c r="A3972" s="81" t="s">
        <v>6175</v>
      </c>
      <c r="B3972" s="80" t="s">
        <v>9515</v>
      </c>
    </row>
    <row r="3973" spans="1:2" x14ac:dyDescent="0.25">
      <c r="A3973" s="81" t="s">
        <v>6176</v>
      </c>
      <c r="B3973" s="80" t="s">
        <v>9515</v>
      </c>
    </row>
    <row r="3974" spans="1:2" x14ac:dyDescent="0.25">
      <c r="A3974" s="81" t="s">
        <v>6177</v>
      </c>
      <c r="B3974" s="80" t="s">
        <v>9515</v>
      </c>
    </row>
    <row r="3975" spans="1:2" x14ac:dyDescent="0.25">
      <c r="A3975" s="81" t="s">
        <v>6178</v>
      </c>
      <c r="B3975" s="80" t="s">
        <v>9515</v>
      </c>
    </row>
    <row r="3976" spans="1:2" x14ac:dyDescent="0.25">
      <c r="A3976" s="81" t="s">
        <v>6179</v>
      </c>
      <c r="B3976" s="80" t="s">
        <v>9515</v>
      </c>
    </row>
    <row r="3977" spans="1:2" x14ac:dyDescent="0.25">
      <c r="A3977" s="81" t="s">
        <v>6180</v>
      </c>
      <c r="B3977" s="80" t="s">
        <v>9515</v>
      </c>
    </row>
    <row r="3978" spans="1:2" x14ac:dyDescent="0.25">
      <c r="A3978" s="81" t="s">
        <v>6181</v>
      </c>
      <c r="B3978" s="80" t="s">
        <v>9515</v>
      </c>
    </row>
    <row r="3979" spans="1:2" x14ac:dyDescent="0.25">
      <c r="A3979" s="81" t="s">
        <v>6182</v>
      </c>
      <c r="B3979" s="80" t="s">
        <v>9515</v>
      </c>
    </row>
    <row r="3980" spans="1:2" x14ac:dyDescent="0.25">
      <c r="A3980" s="81" t="s">
        <v>6183</v>
      </c>
      <c r="B3980" s="80" t="s">
        <v>9515</v>
      </c>
    </row>
    <row r="3981" spans="1:2" x14ac:dyDescent="0.25">
      <c r="A3981" s="81" t="s">
        <v>6184</v>
      </c>
      <c r="B3981" s="80" t="s">
        <v>9515</v>
      </c>
    </row>
    <row r="3982" spans="1:2" x14ac:dyDescent="0.25">
      <c r="A3982" s="81" t="s">
        <v>6185</v>
      </c>
      <c r="B3982" s="80" t="s">
        <v>9515</v>
      </c>
    </row>
    <row r="3983" spans="1:2" x14ac:dyDescent="0.25">
      <c r="A3983" s="81" t="s">
        <v>6186</v>
      </c>
      <c r="B3983" s="80" t="s">
        <v>9515</v>
      </c>
    </row>
    <row r="3984" spans="1:2" x14ac:dyDescent="0.25">
      <c r="A3984" s="81" t="s">
        <v>6187</v>
      </c>
      <c r="B3984" s="80" t="s">
        <v>9515</v>
      </c>
    </row>
    <row r="3985" spans="1:2" x14ac:dyDescent="0.25">
      <c r="A3985" s="81" t="s">
        <v>6188</v>
      </c>
      <c r="B3985" s="80" t="s">
        <v>9515</v>
      </c>
    </row>
    <row r="3986" spans="1:2" x14ac:dyDescent="0.25">
      <c r="A3986" s="81" t="s">
        <v>6189</v>
      </c>
      <c r="B3986" s="80" t="s">
        <v>9515</v>
      </c>
    </row>
    <row r="3987" spans="1:2" x14ac:dyDescent="0.25">
      <c r="A3987" s="81" t="s">
        <v>6190</v>
      </c>
      <c r="B3987" s="80" t="s">
        <v>9515</v>
      </c>
    </row>
    <row r="3988" spans="1:2" x14ac:dyDescent="0.25">
      <c r="A3988" s="81" t="s">
        <v>6191</v>
      </c>
      <c r="B3988" s="80" t="s">
        <v>9515</v>
      </c>
    </row>
    <row r="3989" spans="1:2" x14ac:dyDescent="0.25">
      <c r="A3989" s="81" t="s">
        <v>6192</v>
      </c>
      <c r="B3989" s="80" t="s">
        <v>9515</v>
      </c>
    </row>
    <row r="3990" spans="1:2" x14ac:dyDescent="0.25">
      <c r="A3990" s="81" t="s">
        <v>6193</v>
      </c>
      <c r="B3990" s="80" t="s">
        <v>9515</v>
      </c>
    </row>
    <row r="3991" spans="1:2" x14ac:dyDescent="0.25">
      <c r="A3991" s="81" t="s">
        <v>6194</v>
      </c>
      <c r="B3991" s="80" t="s">
        <v>9515</v>
      </c>
    </row>
    <row r="3992" spans="1:2" x14ac:dyDescent="0.25">
      <c r="A3992" s="81" t="s">
        <v>6195</v>
      </c>
      <c r="B3992" s="80" t="s">
        <v>9515</v>
      </c>
    </row>
    <row r="3993" spans="1:2" x14ac:dyDescent="0.25">
      <c r="A3993" s="81" t="s">
        <v>6196</v>
      </c>
      <c r="B3993" s="80" t="s">
        <v>9515</v>
      </c>
    </row>
    <row r="3994" spans="1:2" x14ac:dyDescent="0.25">
      <c r="A3994" s="81" t="s">
        <v>6197</v>
      </c>
      <c r="B3994" s="80" t="s">
        <v>9515</v>
      </c>
    </row>
    <row r="3995" spans="1:2" x14ac:dyDescent="0.25">
      <c r="A3995" s="81" t="s">
        <v>6198</v>
      </c>
      <c r="B3995" s="80" t="s">
        <v>9515</v>
      </c>
    </row>
    <row r="3996" spans="1:2" x14ac:dyDescent="0.25">
      <c r="A3996" s="81" t="s">
        <v>6199</v>
      </c>
      <c r="B3996" s="80" t="s">
        <v>9515</v>
      </c>
    </row>
    <row r="3997" spans="1:2" x14ac:dyDescent="0.25">
      <c r="A3997" s="81" t="s">
        <v>6200</v>
      </c>
      <c r="B3997" s="80" t="s">
        <v>9515</v>
      </c>
    </row>
    <row r="3998" spans="1:2" x14ac:dyDescent="0.25">
      <c r="A3998" s="81" t="s">
        <v>6201</v>
      </c>
      <c r="B3998" s="80" t="s">
        <v>9515</v>
      </c>
    </row>
    <row r="3999" spans="1:2" x14ac:dyDescent="0.25">
      <c r="A3999" s="81" t="s">
        <v>6202</v>
      </c>
      <c r="B3999" s="80" t="s">
        <v>9515</v>
      </c>
    </row>
    <row r="4000" spans="1:2" x14ac:dyDescent="0.25">
      <c r="A4000" s="81" t="s">
        <v>6203</v>
      </c>
      <c r="B4000" s="80" t="s">
        <v>9515</v>
      </c>
    </row>
    <row r="4001" spans="1:2" x14ac:dyDescent="0.25">
      <c r="A4001" s="81" t="s">
        <v>6204</v>
      </c>
      <c r="B4001" s="80" t="s">
        <v>9515</v>
      </c>
    </row>
    <row r="4002" spans="1:2" x14ac:dyDescent="0.25">
      <c r="A4002" s="81" t="s">
        <v>6205</v>
      </c>
      <c r="B4002" s="80" t="s">
        <v>9515</v>
      </c>
    </row>
    <row r="4003" spans="1:2" x14ac:dyDescent="0.25">
      <c r="A4003" s="81" t="s">
        <v>6206</v>
      </c>
      <c r="B4003" s="80" t="s">
        <v>9515</v>
      </c>
    </row>
    <row r="4004" spans="1:2" x14ac:dyDescent="0.25">
      <c r="A4004" s="81" t="s">
        <v>6207</v>
      </c>
      <c r="B4004" s="80" t="s">
        <v>9515</v>
      </c>
    </row>
    <row r="4005" spans="1:2" x14ac:dyDescent="0.25">
      <c r="A4005" s="81" t="s">
        <v>6208</v>
      </c>
      <c r="B4005" s="80" t="s">
        <v>9515</v>
      </c>
    </row>
    <row r="4006" spans="1:2" x14ac:dyDescent="0.25">
      <c r="A4006" s="81" t="s">
        <v>6209</v>
      </c>
      <c r="B4006" s="80" t="s">
        <v>9515</v>
      </c>
    </row>
    <row r="4007" spans="1:2" x14ac:dyDescent="0.25">
      <c r="A4007" s="81" t="s">
        <v>6210</v>
      </c>
      <c r="B4007" s="80" t="s">
        <v>9515</v>
      </c>
    </row>
    <row r="4008" spans="1:2" x14ac:dyDescent="0.25">
      <c r="A4008" s="81" t="s">
        <v>6211</v>
      </c>
      <c r="B4008" s="80" t="s">
        <v>9515</v>
      </c>
    </row>
    <row r="4009" spans="1:2" x14ac:dyDescent="0.25">
      <c r="A4009" s="81" t="s">
        <v>6212</v>
      </c>
      <c r="B4009" s="80" t="s">
        <v>9515</v>
      </c>
    </row>
    <row r="4010" spans="1:2" x14ac:dyDescent="0.25">
      <c r="A4010" s="81" t="s">
        <v>6213</v>
      </c>
      <c r="B4010" s="80" t="s">
        <v>9515</v>
      </c>
    </row>
    <row r="4011" spans="1:2" x14ac:dyDescent="0.25">
      <c r="A4011" s="81" t="s">
        <v>6214</v>
      </c>
      <c r="B4011" s="80" t="s">
        <v>9515</v>
      </c>
    </row>
    <row r="4012" spans="1:2" x14ac:dyDescent="0.25">
      <c r="A4012" s="81" t="s">
        <v>6215</v>
      </c>
      <c r="B4012" s="80" t="s">
        <v>9515</v>
      </c>
    </row>
    <row r="4013" spans="1:2" x14ac:dyDescent="0.25">
      <c r="A4013" s="81" t="s">
        <v>6216</v>
      </c>
      <c r="B4013" s="80" t="s">
        <v>9515</v>
      </c>
    </row>
    <row r="4014" spans="1:2" x14ac:dyDescent="0.25">
      <c r="A4014" s="81" t="s">
        <v>6217</v>
      </c>
      <c r="B4014" s="80" t="s">
        <v>9515</v>
      </c>
    </row>
    <row r="4015" spans="1:2" x14ac:dyDescent="0.25">
      <c r="A4015" s="81" t="s">
        <v>6218</v>
      </c>
      <c r="B4015" s="80" t="s">
        <v>9515</v>
      </c>
    </row>
    <row r="4016" spans="1:2" x14ac:dyDescent="0.25">
      <c r="A4016" s="81" t="s">
        <v>6219</v>
      </c>
      <c r="B4016" s="80" t="s">
        <v>9515</v>
      </c>
    </row>
    <row r="4017" spans="1:2" x14ac:dyDescent="0.25">
      <c r="A4017" s="81" t="s">
        <v>6220</v>
      </c>
      <c r="B4017" s="80" t="s">
        <v>9515</v>
      </c>
    </row>
    <row r="4018" spans="1:2" x14ac:dyDescent="0.25">
      <c r="A4018" s="81" t="s">
        <v>6221</v>
      </c>
      <c r="B4018" s="80" t="s">
        <v>9515</v>
      </c>
    </row>
    <row r="4019" spans="1:2" x14ac:dyDescent="0.25">
      <c r="A4019" s="81" t="s">
        <v>6222</v>
      </c>
      <c r="B4019" s="80" t="s">
        <v>9515</v>
      </c>
    </row>
    <row r="4020" spans="1:2" x14ac:dyDescent="0.25">
      <c r="A4020" s="81" t="s">
        <v>6223</v>
      </c>
      <c r="B4020" s="80" t="s">
        <v>9515</v>
      </c>
    </row>
    <row r="4021" spans="1:2" x14ac:dyDescent="0.25">
      <c r="A4021" s="81" t="s">
        <v>6224</v>
      </c>
      <c r="B4021" s="80" t="s">
        <v>9515</v>
      </c>
    </row>
    <row r="4022" spans="1:2" x14ac:dyDescent="0.25">
      <c r="A4022" s="81" t="s">
        <v>6225</v>
      </c>
      <c r="B4022" s="80" t="s">
        <v>9515</v>
      </c>
    </row>
    <row r="4023" spans="1:2" x14ac:dyDescent="0.25">
      <c r="A4023" s="81" t="s">
        <v>6226</v>
      </c>
      <c r="B4023" s="80" t="s">
        <v>9515</v>
      </c>
    </row>
    <row r="4024" spans="1:2" x14ac:dyDescent="0.25">
      <c r="A4024" s="81" t="s">
        <v>6227</v>
      </c>
      <c r="B4024" s="80" t="s">
        <v>9515</v>
      </c>
    </row>
    <row r="4025" spans="1:2" x14ac:dyDescent="0.25">
      <c r="A4025" s="81" t="s">
        <v>6228</v>
      </c>
      <c r="B4025" s="80" t="s">
        <v>9515</v>
      </c>
    </row>
    <row r="4026" spans="1:2" x14ac:dyDescent="0.25">
      <c r="A4026" s="81" t="s">
        <v>6229</v>
      </c>
      <c r="B4026" s="80" t="s">
        <v>9515</v>
      </c>
    </row>
    <row r="4027" spans="1:2" x14ac:dyDescent="0.25">
      <c r="A4027" s="81" t="s">
        <v>6230</v>
      </c>
      <c r="B4027" s="80" t="s">
        <v>9515</v>
      </c>
    </row>
    <row r="4028" spans="1:2" x14ac:dyDescent="0.25">
      <c r="A4028" s="81" t="s">
        <v>6231</v>
      </c>
      <c r="B4028" s="80" t="s">
        <v>9515</v>
      </c>
    </row>
    <row r="4029" spans="1:2" x14ac:dyDescent="0.25">
      <c r="A4029" s="81" t="s">
        <v>6232</v>
      </c>
      <c r="B4029" s="80" t="s">
        <v>9515</v>
      </c>
    </row>
    <row r="4030" spans="1:2" x14ac:dyDescent="0.25">
      <c r="A4030" s="81" t="s">
        <v>6233</v>
      </c>
      <c r="B4030" s="80" t="s">
        <v>9515</v>
      </c>
    </row>
    <row r="4031" spans="1:2" x14ac:dyDescent="0.25">
      <c r="A4031" s="81" t="s">
        <v>6234</v>
      </c>
      <c r="B4031" s="80" t="s">
        <v>9515</v>
      </c>
    </row>
    <row r="4032" spans="1:2" x14ac:dyDescent="0.25">
      <c r="A4032" s="81" t="s">
        <v>6235</v>
      </c>
      <c r="B4032" s="80" t="s">
        <v>9515</v>
      </c>
    </row>
    <row r="4033" spans="1:2" x14ac:dyDescent="0.25">
      <c r="A4033" s="81" t="s">
        <v>6236</v>
      </c>
      <c r="B4033" s="80" t="s">
        <v>9515</v>
      </c>
    </row>
    <row r="4034" spans="1:2" x14ac:dyDescent="0.25">
      <c r="A4034" s="81" t="s">
        <v>6237</v>
      </c>
      <c r="B4034" s="80" t="s">
        <v>9515</v>
      </c>
    </row>
    <row r="4035" spans="1:2" x14ac:dyDescent="0.25">
      <c r="A4035" s="81" t="s">
        <v>6238</v>
      </c>
      <c r="B4035" s="80" t="s">
        <v>9515</v>
      </c>
    </row>
    <row r="4036" spans="1:2" x14ac:dyDescent="0.25">
      <c r="A4036" s="81" t="s">
        <v>6239</v>
      </c>
      <c r="B4036" s="80" t="s">
        <v>9515</v>
      </c>
    </row>
    <row r="4037" spans="1:2" x14ac:dyDescent="0.25">
      <c r="A4037" s="81" t="s">
        <v>6240</v>
      </c>
      <c r="B4037" s="80" t="s">
        <v>9515</v>
      </c>
    </row>
    <row r="4038" spans="1:2" x14ac:dyDescent="0.25">
      <c r="A4038" s="81" t="s">
        <v>6241</v>
      </c>
      <c r="B4038" s="80" t="s">
        <v>9515</v>
      </c>
    </row>
    <row r="4039" spans="1:2" x14ac:dyDescent="0.25">
      <c r="A4039" s="81" t="s">
        <v>6242</v>
      </c>
      <c r="B4039" s="80" t="s">
        <v>9515</v>
      </c>
    </row>
    <row r="4040" spans="1:2" x14ac:dyDescent="0.25">
      <c r="A4040" s="81" t="s">
        <v>6243</v>
      </c>
      <c r="B4040" s="80" t="s">
        <v>9515</v>
      </c>
    </row>
    <row r="4041" spans="1:2" x14ac:dyDescent="0.25">
      <c r="A4041" s="81" t="s">
        <v>6244</v>
      </c>
      <c r="B4041" s="80" t="s">
        <v>9515</v>
      </c>
    </row>
    <row r="4042" spans="1:2" x14ac:dyDescent="0.25">
      <c r="A4042" s="81" t="s">
        <v>6245</v>
      </c>
      <c r="B4042" s="80" t="s">
        <v>9515</v>
      </c>
    </row>
    <row r="4043" spans="1:2" x14ac:dyDescent="0.25">
      <c r="A4043" s="81" t="s">
        <v>6246</v>
      </c>
      <c r="B4043" s="80" t="s">
        <v>9515</v>
      </c>
    </row>
    <row r="4044" spans="1:2" x14ac:dyDescent="0.25">
      <c r="A4044" s="81" t="s">
        <v>6247</v>
      </c>
      <c r="B4044" s="80" t="s">
        <v>9515</v>
      </c>
    </row>
    <row r="4045" spans="1:2" x14ac:dyDescent="0.25">
      <c r="A4045" s="81" t="s">
        <v>6248</v>
      </c>
      <c r="B4045" s="80" t="s">
        <v>9515</v>
      </c>
    </row>
    <row r="4046" spans="1:2" x14ac:dyDescent="0.25">
      <c r="A4046" s="81" t="s">
        <v>6249</v>
      </c>
      <c r="B4046" s="80" t="s">
        <v>9515</v>
      </c>
    </row>
    <row r="4047" spans="1:2" x14ac:dyDescent="0.25">
      <c r="A4047" s="81" t="s">
        <v>6250</v>
      </c>
      <c r="B4047" s="80" t="s">
        <v>9515</v>
      </c>
    </row>
    <row r="4048" spans="1:2" x14ac:dyDescent="0.25">
      <c r="A4048" s="81" t="s">
        <v>6251</v>
      </c>
      <c r="B4048" s="80" t="s">
        <v>9515</v>
      </c>
    </row>
    <row r="4049" spans="1:2" x14ac:dyDescent="0.25">
      <c r="A4049" s="81" t="s">
        <v>6252</v>
      </c>
      <c r="B4049" s="80" t="s">
        <v>9515</v>
      </c>
    </row>
    <row r="4050" spans="1:2" x14ac:dyDescent="0.25">
      <c r="A4050" s="81" t="s">
        <v>6253</v>
      </c>
      <c r="B4050" s="80" t="s">
        <v>9515</v>
      </c>
    </row>
    <row r="4051" spans="1:2" x14ac:dyDescent="0.25">
      <c r="A4051" s="81" t="s">
        <v>6254</v>
      </c>
      <c r="B4051" s="80" t="s">
        <v>9515</v>
      </c>
    </row>
    <row r="4052" spans="1:2" x14ac:dyDescent="0.25">
      <c r="A4052" s="81" t="s">
        <v>6255</v>
      </c>
      <c r="B4052" s="80" t="s">
        <v>9515</v>
      </c>
    </row>
    <row r="4053" spans="1:2" x14ac:dyDescent="0.25">
      <c r="A4053" s="81" t="s">
        <v>6256</v>
      </c>
      <c r="B4053" s="80" t="s">
        <v>9515</v>
      </c>
    </row>
    <row r="4054" spans="1:2" x14ac:dyDescent="0.25">
      <c r="A4054" s="81" t="s">
        <v>6257</v>
      </c>
      <c r="B4054" s="80" t="s">
        <v>9515</v>
      </c>
    </row>
    <row r="4055" spans="1:2" x14ac:dyDescent="0.25">
      <c r="A4055" s="81" t="s">
        <v>6258</v>
      </c>
      <c r="B4055" s="80" t="s">
        <v>9515</v>
      </c>
    </row>
    <row r="4056" spans="1:2" x14ac:dyDescent="0.25">
      <c r="A4056" s="81" t="s">
        <v>6259</v>
      </c>
      <c r="B4056" s="80" t="s">
        <v>9515</v>
      </c>
    </row>
    <row r="4057" spans="1:2" x14ac:dyDescent="0.25">
      <c r="A4057" s="81" t="s">
        <v>6260</v>
      </c>
      <c r="B4057" s="80" t="s">
        <v>9515</v>
      </c>
    </row>
    <row r="4058" spans="1:2" x14ac:dyDescent="0.25">
      <c r="A4058" s="81" t="s">
        <v>6261</v>
      </c>
      <c r="B4058" s="80" t="s">
        <v>9515</v>
      </c>
    </row>
    <row r="4059" spans="1:2" x14ac:dyDescent="0.25">
      <c r="A4059" s="81" t="s">
        <v>6262</v>
      </c>
      <c r="B4059" s="80" t="s">
        <v>9515</v>
      </c>
    </row>
    <row r="4060" spans="1:2" x14ac:dyDescent="0.25">
      <c r="A4060" s="81" t="s">
        <v>6263</v>
      </c>
      <c r="B4060" s="80" t="s">
        <v>9515</v>
      </c>
    </row>
    <row r="4061" spans="1:2" x14ac:dyDescent="0.25">
      <c r="A4061" s="81" t="s">
        <v>6264</v>
      </c>
      <c r="B4061" s="80" t="s">
        <v>9515</v>
      </c>
    </row>
    <row r="4062" spans="1:2" x14ac:dyDescent="0.25">
      <c r="A4062" s="81" t="s">
        <v>6265</v>
      </c>
      <c r="B4062" s="80" t="s">
        <v>9515</v>
      </c>
    </row>
    <row r="4063" spans="1:2" x14ac:dyDescent="0.25">
      <c r="A4063" s="81" t="s">
        <v>6266</v>
      </c>
      <c r="B4063" s="80" t="s">
        <v>9515</v>
      </c>
    </row>
    <row r="4064" spans="1:2" x14ac:dyDescent="0.25">
      <c r="A4064" s="81" t="s">
        <v>6267</v>
      </c>
      <c r="B4064" s="80" t="s">
        <v>9515</v>
      </c>
    </row>
    <row r="4065" spans="1:2" x14ac:dyDescent="0.25">
      <c r="A4065" s="81" t="s">
        <v>6268</v>
      </c>
      <c r="B4065" s="80" t="s">
        <v>9515</v>
      </c>
    </row>
    <row r="4066" spans="1:2" x14ac:dyDescent="0.25">
      <c r="A4066" s="81" t="s">
        <v>6269</v>
      </c>
      <c r="B4066" s="80" t="s">
        <v>9515</v>
      </c>
    </row>
    <row r="4067" spans="1:2" x14ac:dyDescent="0.25">
      <c r="A4067" s="81" t="s">
        <v>6270</v>
      </c>
      <c r="B4067" s="80" t="s">
        <v>9515</v>
      </c>
    </row>
    <row r="4068" spans="1:2" x14ac:dyDescent="0.25">
      <c r="A4068" s="81" t="s">
        <v>6271</v>
      </c>
      <c r="B4068" s="80" t="s">
        <v>9515</v>
      </c>
    </row>
    <row r="4069" spans="1:2" x14ac:dyDescent="0.25">
      <c r="A4069" s="81" t="s">
        <v>6272</v>
      </c>
      <c r="B4069" s="80" t="s">
        <v>9515</v>
      </c>
    </row>
    <row r="4070" spans="1:2" x14ac:dyDescent="0.25">
      <c r="A4070" s="81" t="s">
        <v>6273</v>
      </c>
      <c r="B4070" s="80" t="s">
        <v>9515</v>
      </c>
    </row>
    <row r="4071" spans="1:2" x14ac:dyDescent="0.25">
      <c r="A4071" s="81" t="s">
        <v>6274</v>
      </c>
      <c r="B4071" s="80" t="s">
        <v>9515</v>
      </c>
    </row>
    <row r="4072" spans="1:2" x14ac:dyDescent="0.25">
      <c r="A4072" s="81" t="s">
        <v>6275</v>
      </c>
      <c r="B4072" s="80" t="s">
        <v>9515</v>
      </c>
    </row>
    <row r="4073" spans="1:2" x14ac:dyDescent="0.25">
      <c r="A4073" s="81" t="s">
        <v>6276</v>
      </c>
      <c r="B4073" s="80" t="s">
        <v>9515</v>
      </c>
    </row>
    <row r="4074" spans="1:2" x14ac:dyDescent="0.25">
      <c r="A4074" s="81" t="s">
        <v>6277</v>
      </c>
      <c r="B4074" s="80" t="s">
        <v>9515</v>
      </c>
    </row>
    <row r="4075" spans="1:2" x14ac:dyDescent="0.25">
      <c r="A4075" s="81" t="s">
        <v>6278</v>
      </c>
      <c r="B4075" s="80" t="s">
        <v>9515</v>
      </c>
    </row>
    <row r="4076" spans="1:2" x14ac:dyDescent="0.25">
      <c r="A4076" s="81" t="s">
        <v>6279</v>
      </c>
      <c r="B4076" s="80" t="s">
        <v>9515</v>
      </c>
    </row>
    <row r="4077" spans="1:2" x14ac:dyDescent="0.25">
      <c r="A4077" s="81" t="s">
        <v>6280</v>
      </c>
      <c r="B4077" s="80" t="s">
        <v>9515</v>
      </c>
    </row>
    <row r="4078" spans="1:2" x14ac:dyDescent="0.25">
      <c r="A4078" s="81" t="s">
        <v>6281</v>
      </c>
      <c r="B4078" s="80" t="s">
        <v>9515</v>
      </c>
    </row>
    <row r="4079" spans="1:2" x14ac:dyDescent="0.25">
      <c r="A4079" s="81" t="s">
        <v>6282</v>
      </c>
      <c r="B4079" s="80" t="s">
        <v>9515</v>
      </c>
    </row>
    <row r="4080" spans="1:2" x14ac:dyDescent="0.25">
      <c r="A4080" s="81" t="s">
        <v>6283</v>
      </c>
      <c r="B4080" s="80" t="s">
        <v>9515</v>
      </c>
    </row>
    <row r="4081" spans="1:2" x14ac:dyDescent="0.25">
      <c r="A4081" s="81" t="s">
        <v>6284</v>
      </c>
      <c r="B4081" s="80" t="s">
        <v>9515</v>
      </c>
    </row>
    <row r="4082" spans="1:2" x14ac:dyDescent="0.25">
      <c r="A4082" s="81" t="s">
        <v>6285</v>
      </c>
      <c r="B4082" s="80" t="s">
        <v>9515</v>
      </c>
    </row>
    <row r="4083" spans="1:2" x14ac:dyDescent="0.25">
      <c r="A4083" s="81" t="s">
        <v>6286</v>
      </c>
      <c r="B4083" s="80" t="s">
        <v>9515</v>
      </c>
    </row>
    <row r="4084" spans="1:2" x14ac:dyDescent="0.25">
      <c r="A4084" s="81" t="s">
        <v>6287</v>
      </c>
      <c r="B4084" s="80" t="s">
        <v>9515</v>
      </c>
    </row>
    <row r="4085" spans="1:2" x14ac:dyDescent="0.25">
      <c r="A4085" s="81" t="s">
        <v>6288</v>
      </c>
      <c r="B4085" s="80" t="s">
        <v>9515</v>
      </c>
    </row>
    <row r="4086" spans="1:2" x14ac:dyDescent="0.25">
      <c r="A4086" s="81" t="s">
        <v>6289</v>
      </c>
      <c r="B4086" s="80" t="s">
        <v>9515</v>
      </c>
    </row>
    <row r="4087" spans="1:2" x14ac:dyDescent="0.25">
      <c r="A4087" s="81" t="s">
        <v>6290</v>
      </c>
      <c r="B4087" s="80" t="s">
        <v>9515</v>
      </c>
    </row>
    <row r="4088" spans="1:2" x14ac:dyDescent="0.25">
      <c r="A4088" s="81" t="s">
        <v>6291</v>
      </c>
      <c r="B4088" s="80" t="s">
        <v>9515</v>
      </c>
    </row>
    <row r="4089" spans="1:2" x14ac:dyDescent="0.25">
      <c r="A4089" s="81" t="s">
        <v>6292</v>
      </c>
      <c r="B4089" s="80" t="s">
        <v>9515</v>
      </c>
    </row>
    <row r="4090" spans="1:2" x14ac:dyDescent="0.25">
      <c r="A4090" s="81" t="s">
        <v>6293</v>
      </c>
      <c r="B4090" s="80" t="s">
        <v>9515</v>
      </c>
    </row>
    <row r="4091" spans="1:2" x14ac:dyDescent="0.25">
      <c r="A4091" s="81" t="s">
        <v>6294</v>
      </c>
      <c r="B4091" s="80" t="s">
        <v>9515</v>
      </c>
    </row>
    <row r="4092" spans="1:2" x14ac:dyDescent="0.25">
      <c r="A4092" s="81" t="s">
        <v>6295</v>
      </c>
      <c r="B4092" s="80" t="s">
        <v>9515</v>
      </c>
    </row>
    <row r="4093" spans="1:2" x14ac:dyDescent="0.25">
      <c r="A4093" s="81" t="s">
        <v>6296</v>
      </c>
      <c r="B4093" s="80" t="s">
        <v>9515</v>
      </c>
    </row>
    <row r="4094" spans="1:2" x14ac:dyDescent="0.25">
      <c r="A4094" s="81" t="s">
        <v>6297</v>
      </c>
      <c r="B4094" s="80" t="s">
        <v>9515</v>
      </c>
    </row>
    <row r="4095" spans="1:2" x14ac:dyDescent="0.25">
      <c r="A4095" s="81" t="s">
        <v>6298</v>
      </c>
      <c r="B4095" s="80" t="s">
        <v>9515</v>
      </c>
    </row>
    <row r="4096" spans="1:2" x14ac:dyDescent="0.25">
      <c r="A4096" s="81" t="s">
        <v>6299</v>
      </c>
      <c r="B4096" s="80" t="s">
        <v>9515</v>
      </c>
    </row>
    <row r="4097" spans="1:2" x14ac:dyDescent="0.25">
      <c r="A4097" s="81" t="s">
        <v>2018</v>
      </c>
      <c r="B4097" s="80" t="s">
        <v>9515</v>
      </c>
    </row>
    <row r="4098" spans="1:2" x14ac:dyDescent="0.25">
      <c r="A4098" s="81" t="s">
        <v>6300</v>
      </c>
      <c r="B4098" s="80" t="s">
        <v>9515</v>
      </c>
    </row>
    <row r="4099" spans="1:2" x14ac:dyDescent="0.25">
      <c r="A4099" s="81" t="s">
        <v>6301</v>
      </c>
      <c r="B4099" s="80" t="s">
        <v>9515</v>
      </c>
    </row>
    <row r="4100" spans="1:2" x14ac:dyDescent="0.25">
      <c r="A4100" s="81" t="s">
        <v>6302</v>
      </c>
      <c r="B4100" s="80" t="s">
        <v>9515</v>
      </c>
    </row>
    <row r="4101" spans="1:2" x14ac:dyDescent="0.25">
      <c r="A4101" s="81" t="s">
        <v>6303</v>
      </c>
      <c r="B4101" s="80" t="s">
        <v>9515</v>
      </c>
    </row>
    <row r="4102" spans="1:2" x14ac:dyDescent="0.25">
      <c r="A4102" s="81" t="s">
        <v>6304</v>
      </c>
      <c r="B4102" s="80" t="s">
        <v>9515</v>
      </c>
    </row>
    <row r="4103" spans="1:2" x14ac:dyDescent="0.25">
      <c r="A4103" s="81" t="s">
        <v>6305</v>
      </c>
      <c r="B4103" s="80" t="s">
        <v>9515</v>
      </c>
    </row>
    <row r="4104" spans="1:2" x14ac:dyDescent="0.25">
      <c r="A4104" s="81" t="s">
        <v>6306</v>
      </c>
      <c r="B4104" s="80" t="s">
        <v>9515</v>
      </c>
    </row>
    <row r="4105" spans="1:2" x14ac:dyDescent="0.25">
      <c r="A4105" s="81" t="s">
        <v>6307</v>
      </c>
      <c r="B4105" s="80" t="s">
        <v>9515</v>
      </c>
    </row>
    <row r="4106" spans="1:2" x14ac:dyDescent="0.25">
      <c r="A4106" s="81" t="s">
        <v>1712</v>
      </c>
      <c r="B4106" s="80" t="s">
        <v>9515</v>
      </c>
    </row>
    <row r="4107" spans="1:2" x14ac:dyDescent="0.25">
      <c r="A4107" s="81" t="s">
        <v>6308</v>
      </c>
      <c r="B4107" s="80" t="s">
        <v>9515</v>
      </c>
    </row>
    <row r="4108" spans="1:2" x14ac:dyDescent="0.25">
      <c r="A4108" s="81" t="s">
        <v>6309</v>
      </c>
      <c r="B4108" s="80" t="s">
        <v>9515</v>
      </c>
    </row>
    <row r="4109" spans="1:2" x14ac:dyDescent="0.25">
      <c r="A4109" s="81" t="s">
        <v>6310</v>
      </c>
      <c r="B4109" s="80" t="s">
        <v>9515</v>
      </c>
    </row>
    <row r="4110" spans="1:2" x14ac:dyDescent="0.25">
      <c r="A4110" s="81" t="s">
        <v>6311</v>
      </c>
      <c r="B4110" s="80" t="s">
        <v>9515</v>
      </c>
    </row>
    <row r="4111" spans="1:2" x14ac:dyDescent="0.25">
      <c r="A4111" s="81" t="s">
        <v>6312</v>
      </c>
      <c r="B4111" s="80" t="s">
        <v>9515</v>
      </c>
    </row>
    <row r="4112" spans="1:2" x14ac:dyDescent="0.25">
      <c r="A4112" s="81" t="s">
        <v>6313</v>
      </c>
      <c r="B4112" s="80" t="s">
        <v>9515</v>
      </c>
    </row>
    <row r="4113" spans="1:2" x14ac:dyDescent="0.25">
      <c r="A4113" s="81" t="s">
        <v>6314</v>
      </c>
      <c r="B4113" s="80" t="s">
        <v>9515</v>
      </c>
    </row>
    <row r="4114" spans="1:2" x14ac:dyDescent="0.25">
      <c r="A4114" s="81" t="s">
        <v>6315</v>
      </c>
      <c r="B4114" s="80" t="s">
        <v>9515</v>
      </c>
    </row>
    <row r="4115" spans="1:2" x14ac:dyDescent="0.25">
      <c r="A4115" s="81" t="s">
        <v>6316</v>
      </c>
      <c r="B4115" s="80" t="s">
        <v>9515</v>
      </c>
    </row>
    <row r="4116" spans="1:2" x14ac:dyDescent="0.25">
      <c r="A4116" s="81" t="b">
        <v>0</v>
      </c>
      <c r="B4116" s="80" t="s">
        <v>9515</v>
      </c>
    </row>
    <row r="4117" spans="1:2" x14ac:dyDescent="0.25">
      <c r="A4117" s="81" t="s">
        <v>6317</v>
      </c>
      <c r="B4117" s="80" t="s">
        <v>9515</v>
      </c>
    </row>
    <row r="4118" spans="1:2" x14ac:dyDescent="0.25">
      <c r="A4118" s="81" t="s">
        <v>6318</v>
      </c>
      <c r="B4118" s="80" t="s">
        <v>9515</v>
      </c>
    </row>
    <row r="4119" spans="1:2" x14ac:dyDescent="0.25">
      <c r="A4119" s="81" t="s">
        <v>6319</v>
      </c>
      <c r="B4119" s="80" t="s">
        <v>9515</v>
      </c>
    </row>
    <row r="4120" spans="1:2" x14ac:dyDescent="0.25">
      <c r="A4120" s="81" t="s">
        <v>6320</v>
      </c>
      <c r="B4120" s="80" t="s">
        <v>9515</v>
      </c>
    </row>
    <row r="4121" spans="1:2" x14ac:dyDescent="0.25">
      <c r="A4121" s="81" t="s">
        <v>6321</v>
      </c>
      <c r="B4121" s="80" t="s">
        <v>9515</v>
      </c>
    </row>
    <row r="4122" spans="1:2" x14ac:dyDescent="0.25">
      <c r="A4122" s="81" t="s">
        <v>6322</v>
      </c>
      <c r="B4122" s="80" t="s">
        <v>9515</v>
      </c>
    </row>
    <row r="4123" spans="1:2" x14ac:dyDescent="0.25">
      <c r="A4123" s="81" t="s">
        <v>6323</v>
      </c>
      <c r="B4123" s="80" t="s">
        <v>9515</v>
      </c>
    </row>
    <row r="4124" spans="1:2" x14ac:dyDescent="0.25">
      <c r="A4124" s="81" t="s">
        <v>6324</v>
      </c>
      <c r="B4124" s="80" t="s">
        <v>9515</v>
      </c>
    </row>
    <row r="4125" spans="1:2" x14ac:dyDescent="0.25">
      <c r="A4125" s="81" t="s">
        <v>6325</v>
      </c>
      <c r="B4125" s="80" t="s">
        <v>9515</v>
      </c>
    </row>
    <row r="4126" spans="1:2" x14ac:dyDescent="0.25">
      <c r="A4126" s="81" t="s">
        <v>6326</v>
      </c>
      <c r="B4126" s="80" t="s">
        <v>9515</v>
      </c>
    </row>
    <row r="4127" spans="1:2" x14ac:dyDescent="0.25">
      <c r="A4127" s="81" t="s">
        <v>6327</v>
      </c>
      <c r="B4127" s="80" t="s">
        <v>9515</v>
      </c>
    </row>
    <row r="4128" spans="1:2" x14ac:dyDescent="0.25">
      <c r="A4128" s="81" t="s">
        <v>6328</v>
      </c>
      <c r="B4128" s="80" t="s">
        <v>9515</v>
      </c>
    </row>
    <row r="4129" spans="1:2" x14ac:dyDescent="0.25">
      <c r="A4129" s="81" t="s">
        <v>6329</v>
      </c>
      <c r="B4129" s="80" t="s">
        <v>9515</v>
      </c>
    </row>
    <row r="4130" spans="1:2" x14ac:dyDescent="0.25">
      <c r="A4130" s="81" t="s">
        <v>6330</v>
      </c>
      <c r="B4130" s="80" t="s">
        <v>9515</v>
      </c>
    </row>
    <row r="4131" spans="1:2" x14ac:dyDescent="0.25">
      <c r="A4131" s="81" t="s">
        <v>6331</v>
      </c>
      <c r="B4131" s="80" t="s">
        <v>9515</v>
      </c>
    </row>
    <row r="4132" spans="1:2" x14ac:dyDescent="0.25">
      <c r="A4132" s="81" t="s">
        <v>6332</v>
      </c>
      <c r="B4132" s="80" t="s">
        <v>9515</v>
      </c>
    </row>
    <row r="4133" spans="1:2" x14ac:dyDescent="0.25">
      <c r="A4133" s="81" t="s">
        <v>6333</v>
      </c>
      <c r="B4133" s="80" t="s">
        <v>9515</v>
      </c>
    </row>
    <row r="4134" spans="1:2" x14ac:dyDescent="0.25">
      <c r="A4134" s="81" t="s">
        <v>6334</v>
      </c>
      <c r="B4134" s="80" t="s">
        <v>9515</v>
      </c>
    </row>
    <row r="4135" spans="1:2" x14ac:dyDescent="0.25">
      <c r="A4135" s="81" t="s">
        <v>6335</v>
      </c>
      <c r="B4135" s="80" t="s">
        <v>9515</v>
      </c>
    </row>
    <row r="4136" spans="1:2" x14ac:dyDescent="0.25">
      <c r="A4136" s="81" t="s">
        <v>6336</v>
      </c>
      <c r="B4136" s="80" t="s">
        <v>9515</v>
      </c>
    </row>
    <row r="4137" spans="1:2" x14ac:dyDescent="0.25">
      <c r="A4137" s="81" t="s">
        <v>6337</v>
      </c>
      <c r="B4137" s="80" t="s">
        <v>9515</v>
      </c>
    </row>
    <row r="4138" spans="1:2" x14ac:dyDescent="0.25">
      <c r="A4138" s="81" t="s">
        <v>6338</v>
      </c>
      <c r="B4138" s="80" t="s">
        <v>9515</v>
      </c>
    </row>
    <row r="4139" spans="1:2" x14ac:dyDescent="0.25">
      <c r="A4139" s="81" t="s">
        <v>6339</v>
      </c>
      <c r="B4139" s="80" t="s">
        <v>9515</v>
      </c>
    </row>
    <row r="4140" spans="1:2" x14ac:dyDescent="0.25">
      <c r="A4140" s="81" t="s">
        <v>6340</v>
      </c>
      <c r="B4140" s="80" t="s">
        <v>9515</v>
      </c>
    </row>
    <row r="4141" spans="1:2" x14ac:dyDescent="0.25">
      <c r="A4141" s="81" t="s">
        <v>6341</v>
      </c>
      <c r="B4141" s="80" t="s">
        <v>9515</v>
      </c>
    </row>
    <row r="4142" spans="1:2" x14ac:dyDescent="0.25">
      <c r="A4142" s="81" t="s">
        <v>6342</v>
      </c>
      <c r="B4142" s="80" t="s">
        <v>9515</v>
      </c>
    </row>
    <row r="4143" spans="1:2" x14ac:dyDescent="0.25">
      <c r="A4143" s="81" t="s">
        <v>6343</v>
      </c>
      <c r="B4143" s="80" t="s">
        <v>9515</v>
      </c>
    </row>
    <row r="4144" spans="1:2" x14ac:dyDescent="0.25">
      <c r="A4144" s="81" t="s">
        <v>6344</v>
      </c>
      <c r="B4144" s="80" t="s">
        <v>9515</v>
      </c>
    </row>
    <row r="4145" spans="1:2" x14ac:dyDescent="0.25">
      <c r="A4145" s="81" t="s">
        <v>6345</v>
      </c>
      <c r="B4145" s="80" t="s">
        <v>9515</v>
      </c>
    </row>
    <row r="4146" spans="1:2" x14ac:dyDescent="0.25">
      <c r="A4146" s="81" t="s">
        <v>6346</v>
      </c>
      <c r="B4146" s="80" t="s">
        <v>9515</v>
      </c>
    </row>
    <row r="4147" spans="1:2" x14ac:dyDescent="0.25">
      <c r="A4147" s="81" t="s">
        <v>6347</v>
      </c>
      <c r="B4147" s="80" t="s">
        <v>9515</v>
      </c>
    </row>
    <row r="4148" spans="1:2" x14ac:dyDescent="0.25">
      <c r="A4148" s="81" t="s">
        <v>6348</v>
      </c>
      <c r="B4148" s="80" t="s">
        <v>9515</v>
      </c>
    </row>
    <row r="4149" spans="1:2" x14ac:dyDescent="0.25">
      <c r="A4149" s="81" t="s">
        <v>6349</v>
      </c>
      <c r="B4149" s="80" t="s">
        <v>9515</v>
      </c>
    </row>
    <row r="4150" spans="1:2" x14ac:dyDescent="0.25">
      <c r="A4150" s="81" t="s">
        <v>6350</v>
      </c>
      <c r="B4150" s="80" t="s">
        <v>9515</v>
      </c>
    </row>
    <row r="4151" spans="1:2" x14ac:dyDescent="0.25">
      <c r="A4151" s="81" t="s">
        <v>6351</v>
      </c>
      <c r="B4151" s="80" t="s">
        <v>9515</v>
      </c>
    </row>
    <row r="4152" spans="1:2" x14ac:dyDescent="0.25">
      <c r="A4152" s="81" t="s">
        <v>6352</v>
      </c>
      <c r="B4152" s="80" t="s">
        <v>9515</v>
      </c>
    </row>
    <row r="4153" spans="1:2" x14ac:dyDescent="0.25">
      <c r="A4153" s="81" t="s">
        <v>6353</v>
      </c>
      <c r="B4153" s="80" t="s">
        <v>9515</v>
      </c>
    </row>
    <row r="4154" spans="1:2" x14ac:dyDescent="0.25">
      <c r="A4154" s="81" t="s">
        <v>6354</v>
      </c>
      <c r="B4154" s="80" t="s">
        <v>9515</v>
      </c>
    </row>
    <row r="4155" spans="1:2" x14ac:dyDescent="0.25">
      <c r="A4155" s="81" t="s">
        <v>6355</v>
      </c>
      <c r="B4155" s="80" t="s">
        <v>9515</v>
      </c>
    </row>
    <row r="4156" spans="1:2" x14ac:dyDescent="0.25">
      <c r="A4156" s="81" t="s">
        <v>6356</v>
      </c>
      <c r="B4156" s="80" t="s">
        <v>9515</v>
      </c>
    </row>
    <row r="4157" spans="1:2" x14ac:dyDescent="0.25">
      <c r="A4157" s="81" t="s">
        <v>6357</v>
      </c>
      <c r="B4157" s="80" t="s">
        <v>9515</v>
      </c>
    </row>
    <row r="4158" spans="1:2" x14ac:dyDescent="0.25">
      <c r="A4158" s="81" t="s">
        <v>6358</v>
      </c>
      <c r="B4158" s="80" t="s">
        <v>9515</v>
      </c>
    </row>
    <row r="4159" spans="1:2" x14ac:dyDescent="0.25">
      <c r="A4159" s="81" t="s">
        <v>6359</v>
      </c>
      <c r="B4159" s="80" t="s">
        <v>9515</v>
      </c>
    </row>
    <row r="4160" spans="1:2" x14ac:dyDescent="0.25">
      <c r="A4160" s="81" t="s">
        <v>6360</v>
      </c>
      <c r="B4160" s="80" t="s">
        <v>9515</v>
      </c>
    </row>
    <row r="4161" spans="1:2" x14ac:dyDescent="0.25">
      <c r="A4161" s="81" t="s">
        <v>6361</v>
      </c>
      <c r="B4161" s="80" t="s">
        <v>9515</v>
      </c>
    </row>
    <row r="4162" spans="1:2" x14ac:dyDescent="0.25">
      <c r="A4162" s="81" t="s">
        <v>6362</v>
      </c>
      <c r="B4162" s="80" t="s">
        <v>9515</v>
      </c>
    </row>
    <row r="4163" spans="1:2" x14ac:dyDescent="0.25">
      <c r="A4163" s="81" t="s">
        <v>6363</v>
      </c>
      <c r="B4163" s="80" t="s">
        <v>9515</v>
      </c>
    </row>
    <row r="4164" spans="1:2" x14ac:dyDescent="0.25">
      <c r="A4164" s="81" t="s">
        <v>6364</v>
      </c>
      <c r="B4164" s="80" t="s">
        <v>9515</v>
      </c>
    </row>
    <row r="4165" spans="1:2" x14ac:dyDescent="0.25">
      <c r="A4165" s="81" t="s">
        <v>6365</v>
      </c>
      <c r="B4165" s="80" t="s">
        <v>9515</v>
      </c>
    </row>
    <row r="4166" spans="1:2" x14ac:dyDescent="0.25">
      <c r="A4166" s="81" t="s">
        <v>6366</v>
      </c>
      <c r="B4166" s="80" t="s">
        <v>9515</v>
      </c>
    </row>
    <row r="4167" spans="1:2" x14ac:dyDescent="0.25">
      <c r="A4167" s="81" t="s">
        <v>6367</v>
      </c>
      <c r="B4167" s="80" t="s">
        <v>9515</v>
      </c>
    </row>
    <row r="4168" spans="1:2" x14ac:dyDescent="0.25">
      <c r="A4168" s="81" t="s">
        <v>6368</v>
      </c>
      <c r="B4168" s="80" t="s">
        <v>9515</v>
      </c>
    </row>
    <row r="4169" spans="1:2" x14ac:dyDescent="0.25">
      <c r="A4169" s="81" t="s">
        <v>6369</v>
      </c>
      <c r="B4169" s="80" t="s">
        <v>9515</v>
      </c>
    </row>
    <row r="4170" spans="1:2" x14ac:dyDescent="0.25">
      <c r="A4170" s="81" t="s">
        <v>6370</v>
      </c>
      <c r="B4170" s="80" t="s">
        <v>9515</v>
      </c>
    </row>
    <row r="4171" spans="1:2" x14ac:dyDescent="0.25">
      <c r="A4171" s="81" t="s">
        <v>6371</v>
      </c>
      <c r="B4171" s="80" t="s">
        <v>9515</v>
      </c>
    </row>
    <row r="4172" spans="1:2" x14ac:dyDescent="0.25">
      <c r="A4172" s="81" t="s">
        <v>6372</v>
      </c>
      <c r="B4172" s="80" t="s">
        <v>9515</v>
      </c>
    </row>
    <row r="4173" spans="1:2" x14ac:dyDescent="0.25">
      <c r="A4173" s="81" t="s">
        <v>6373</v>
      </c>
      <c r="B4173" s="80" t="s">
        <v>9515</v>
      </c>
    </row>
    <row r="4174" spans="1:2" x14ac:dyDescent="0.25">
      <c r="A4174" s="81" t="s">
        <v>6374</v>
      </c>
      <c r="B4174" s="80" t="s">
        <v>9515</v>
      </c>
    </row>
    <row r="4175" spans="1:2" x14ac:dyDescent="0.25">
      <c r="A4175" s="81" t="s">
        <v>6375</v>
      </c>
      <c r="B4175" s="80" t="s">
        <v>9515</v>
      </c>
    </row>
    <row r="4176" spans="1:2" x14ac:dyDescent="0.25">
      <c r="A4176" s="81" t="s">
        <v>6376</v>
      </c>
      <c r="B4176" s="80" t="s">
        <v>9515</v>
      </c>
    </row>
    <row r="4177" spans="1:2" x14ac:dyDescent="0.25">
      <c r="A4177" s="81" t="s">
        <v>6377</v>
      </c>
      <c r="B4177" s="80" t="s">
        <v>9515</v>
      </c>
    </row>
    <row r="4178" spans="1:2" x14ac:dyDescent="0.25">
      <c r="A4178" s="81" t="s">
        <v>6378</v>
      </c>
      <c r="B4178" s="80" t="s">
        <v>9515</v>
      </c>
    </row>
    <row r="4179" spans="1:2" x14ac:dyDescent="0.25">
      <c r="A4179" s="81" t="s">
        <v>6379</v>
      </c>
      <c r="B4179" s="80" t="s">
        <v>9515</v>
      </c>
    </row>
    <row r="4180" spans="1:2" x14ac:dyDescent="0.25">
      <c r="A4180" s="81" t="s">
        <v>6380</v>
      </c>
      <c r="B4180" s="80" t="s">
        <v>9515</v>
      </c>
    </row>
    <row r="4181" spans="1:2" x14ac:dyDescent="0.25">
      <c r="A4181" s="81" t="s">
        <v>6381</v>
      </c>
      <c r="B4181" s="80" t="s">
        <v>9515</v>
      </c>
    </row>
    <row r="4182" spans="1:2" x14ac:dyDescent="0.25">
      <c r="A4182" s="81" t="s">
        <v>6382</v>
      </c>
      <c r="B4182" s="80" t="s">
        <v>9515</v>
      </c>
    </row>
    <row r="4183" spans="1:2" x14ac:dyDescent="0.25">
      <c r="A4183" s="81" t="s">
        <v>6383</v>
      </c>
      <c r="B4183" s="80" t="s">
        <v>9515</v>
      </c>
    </row>
    <row r="4184" spans="1:2" x14ac:dyDescent="0.25">
      <c r="A4184" s="81" t="s">
        <v>6384</v>
      </c>
      <c r="B4184" s="80" t="s">
        <v>9515</v>
      </c>
    </row>
    <row r="4185" spans="1:2" x14ac:dyDescent="0.25">
      <c r="A4185" s="81" t="s">
        <v>6385</v>
      </c>
      <c r="B4185" s="80" t="s">
        <v>9515</v>
      </c>
    </row>
    <row r="4186" spans="1:2" x14ac:dyDescent="0.25">
      <c r="A4186" s="81" t="s">
        <v>6386</v>
      </c>
      <c r="B4186" s="80" t="s">
        <v>9515</v>
      </c>
    </row>
    <row r="4187" spans="1:2" x14ac:dyDescent="0.25">
      <c r="A4187" s="81" t="s">
        <v>6387</v>
      </c>
      <c r="B4187" s="80" t="s">
        <v>9515</v>
      </c>
    </row>
    <row r="4188" spans="1:2" x14ac:dyDescent="0.25">
      <c r="A4188" s="81" t="s">
        <v>6388</v>
      </c>
      <c r="B4188" s="80" t="s">
        <v>9515</v>
      </c>
    </row>
    <row r="4189" spans="1:2" x14ac:dyDescent="0.25">
      <c r="A4189" s="81" t="s">
        <v>6389</v>
      </c>
      <c r="B4189" s="80" t="s">
        <v>9515</v>
      </c>
    </row>
    <row r="4190" spans="1:2" x14ac:dyDescent="0.25">
      <c r="A4190" s="81" t="s">
        <v>6390</v>
      </c>
      <c r="B4190" s="80" t="s">
        <v>9515</v>
      </c>
    </row>
    <row r="4191" spans="1:2" x14ac:dyDescent="0.25">
      <c r="A4191" s="81" t="s">
        <v>6391</v>
      </c>
      <c r="B4191" s="80" t="s">
        <v>9515</v>
      </c>
    </row>
    <row r="4192" spans="1:2" x14ac:dyDescent="0.25">
      <c r="A4192" s="81" t="s">
        <v>6392</v>
      </c>
      <c r="B4192" s="80" t="s">
        <v>9515</v>
      </c>
    </row>
    <row r="4193" spans="1:2" x14ac:dyDescent="0.25">
      <c r="A4193" s="81" t="s">
        <v>6393</v>
      </c>
      <c r="B4193" s="80" t="s">
        <v>9515</v>
      </c>
    </row>
    <row r="4194" spans="1:2" x14ac:dyDescent="0.25">
      <c r="A4194" s="81" t="s">
        <v>6394</v>
      </c>
      <c r="B4194" s="80" t="s">
        <v>9515</v>
      </c>
    </row>
    <row r="4195" spans="1:2" x14ac:dyDescent="0.25">
      <c r="A4195" s="81" t="s">
        <v>6395</v>
      </c>
      <c r="B4195" s="80" t="s">
        <v>9515</v>
      </c>
    </row>
    <row r="4196" spans="1:2" x14ac:dyDescent="0.25">
      <c r="A4196" s="81" t="s">
        <v>6396</v>
      </c>
      <c r="B4196" s="80" t="s">
        <v>9515</v>
      </c>
    </row>
    <row r="4197" spans="1:2" x14ac:dyDescent="0.25">
      <c r="A4197" s="81" t="s">
        <v>6397</v>
      </c>
      <c r="B4197" s="80" t="s">
        <v>9515</v>
      </c>
    </row>
    <row r="4198" spans="1:2" x14ac:dyDescent="0.25">
      <c r="A4198" s="81" t="s">
        <v>6398</v>
      </c>
      <c r="B4198" s="80" t="s">
        <v>9515</v>
      </c>
    </row>
    <row r="4199" spans="1:2" x14ac:dyDescent="0.25">
      <c r="A4199" s="81" t="s">
        <v>6399</v>
      </c>
      <c r="B4199" s="80" t="s">
        <v>9515</v>
      </c>
    </row>
    <row r="4200" spans="1:2" x14ac:dyDescent="0.25">
      <c r="A4200" s="81" t="s">
        <v>6400</v>
      </c>
      <c r="B4200" s="80" t="s">
        <v>9515</v>
      </c>
    </row>
    <row r="4201" spans="1:2" x14ac:dyDescent="0.25">
      <c r="A4201" s="81" t="s">
        <v>6401</v>
      </c>
      <c r="B4201" s="80" t="s">
        <v>9515</v>
      </c>
    </row>
    <row r="4202" spans="1:2" x14ac:dyDescent="0.25">
      <c r="A4202" s="81" t="s">
        <v>6402</v>
      </c>
      <c r="B4202" s="80" t="s">
        <v>9515</v>
      </c>
    </row>
    <row r="4203" spans="1:2" x14ac:dyDescent="0.25">
      <c r="A4203" s="81" t="s">
        <v>6403</v>
      </c>
      <c r="B4203" s="80" t="s">
        <v>9515</v>
      </c>
    </row>
    <row r="4204" spans="1:2" x14ac:dyDescent="0.25">
      <c r="A4204" s="81" t="s">
        <v>6404</v>
      </c>
      <c r="B4204" s="80" t="s">
        <v>9515</v>
      </c>
    </row>
    <row r="4205" spans="1:2" x14ac:dyDescent="0.25">
      <c r="A4205" s="81" t="s">
        <v>6405</v>
      </c>
      <c r="B4205" s="80" t="s">
        <v>9515</v>
      </c>
    </row>
    <row r="4206" spans="1:2" x14ac:dyDescent="0.25">
      <c r="A4206" s="81" t="s">
        <v>6406</v>
      </c>
      <c r="B4206" s="80" t="s">
        <v>9515</v>
      </c>
    </row>
    <row r="4207" spans="1:2" x14ac:dyDescent="0.25">
      <c r="A4207" s="81" t="s">
        <v>6407</v>
      </c>
      <c r="B4207" s="80" t="s">
        <v>9515</v>
      </c>
    </row>
    <row r="4208" spans="1:2" x14ac:dyDescent="0.25">
      <c r="A4208" s="81" t="s">
        <v>6408</v>
      </c>
      <c r="B4208" s="80" t="s">
        <v>9515</v>
      </c>
    </row>
    <row r="4209" spans="1:2" x14ac:dyDescent="0.25">
      <c r="A4209" s="81" t="s">
        <v>6409</v>
      </c>
      <c r="B4209" s="80" t="s">
        <v>9515</v>
      </c>
    </row>
    <row r="4210" spans="1:2" x14ac:dyDescent="0.25">
      <c r="A4210" s="81" t="s">
        <v>6410</v>
      </c>
      <c r="B4210" s="80" t="s">
        <v>9515</v>
      </c>
    </row>
    <row r="4211" spans="1:2" x14ac:dyDescent="0.25">
      <c r="A4211" s="81" t="s">
        <v>6411</v>
      </c>
      <c r="B4211" s="80" t="s">
        <v>9515</v>
      </c>
    </row>
    <row r="4212" spans="1:2" x14ac:dyDescent="0.25">
      <c r="A4212" s="81" t="s">
        <v>6412</v>
      </c>
      <c r="B4212" s="80" t="s">
        <v>9515</v>
      </c>
    </row>
    <row r="4213" spans="1:2" x14ac:dyDescent="0.25">
      <c r="A4213" s="81" t="s">
        <v>6413</v>
      </c>
      <c r="B4213" s="80" t="s">
        <v>9515</v>
      </c>
    </row>
    <row r="4214" spans="1:2" x14ac:dyDescent="0.25">
      <c r="A4214" s="81" t="s">
        <v>6414</v>
      </c>
      <c r="B4214" s="80" t="s">
        <v>9515</v>
      </c>
    </row>
    <row r="4215" spans="1:2" x14ac:dyDescent="0.25">
      <c r="A4215" s="81" t="s">
        <v>6415</v>
      </c>
      <c r="B4215" s="80" t="s">
        <v>9515</v>
      </c>
    </row>
    <row r="4216" spans="1:2" x14ac:dyDescent="0.25">
      <c r="A4216" s="81" t="s">
        <v>6416</v>
      </c>
      <c r="B4216" s="80" t="s">
        <v>9515</v>
      </c>
    </row>
    <row r="4217" spans="1:2" x14ac:dyDescent="0.25">
      <c r="A4217" s="81" t="s">
        <v>6417</v>
      </c>
      <c r="B4217" s="80" t="s">
        <v>9515</v>
      </c>
    </row>
    <row r="4218" spans="1:2" x14ac:dyDescent="0.25">
      <c r="A4218" s="81" t="s">
        <v>6418</v>
      </c>
      <c r="B4218" s="80" t="s">
        <v>9515</v>
      </c>
    </row>
    <row r="4219" spans="1:2" x14ac:dyDescent="0.25">
      <c r="A4219" s="81" t="s">
        <v>6419</v>
      </c>
      <c r="B4219" s="80" t="s">
        <v>9515</v>
      </c>
    </row>
    <row r="4220" spans="1:2" x14ac:dyDescent="0.25">
      <c r="A4220" s="81" t="s">
        <v>6420</v>
      </c>
      <c r="B4220" s="80" t="s">
        <v>9515</v>
      </c>
    </row>
    <row r="4221" spans="1:2" x14ac:dyDescent="0.25">
      <c r="A4221" s="81" t="s">
        <v>6421</v>
      </c>
      <c r="B4221" s="80" t="s">
        <v>9515</v>
      </c>
    </row>
    <row r="4222" spans="1:2" x14ac:dyDescent="0.25">
      <c r="A4222" s="81" t="s">
        <v>6422</v>
      </c>
      <c r="B4222" s="80" t="s">
        <v>9515</v>
      </c>
    </row>
    <row r="4223" spans="1:2" x14ac:dyDescent="0.25">
      <c r="A4223" s="81" t="s">
        <v>6423</v>
      </c>
      <c r="B4223" s="80" t="s">
        <v>9515</v>
      </c>
    </row>
    <row r="4224" spans="1:2" x14ac:dyDescent="0.25">
      <c r="A4224" s="81" t="s">
        <v>6424</v>
      </c>
      <c r="B4224" s="80" t="s">
        <v>9515</v>
      </c>
    </row>
    <row r="4225" spans="1:2" x14ac:dyDescent="0.25">
      <c r="A4225" s="81" t="s">
        <v>6425</v>
      </c>
      <c r="B4225" s="80" t="s">
        <v>9515</v>
      </c>
    </row>
    <row r="4226" spans="1:2" x14ac:dyDescent="0.25">
      <c r="A4226" s="81" t="s">
        <v>6426</v>
      </c>
      <c r="B4226" s="80" t="s">
        <v>9515</v>
      </c>
    </row>
    <row r="4227" spans="1:2" x14ac:dyDescent="0.25">
      <c r="A4227" s="81" t="s">
        <v>6427</v>
      </c>
      <c r="B4227" s="80" t="s">
        <v>9515</v>
      </c>
    </row>
    <row r="4228" spans="1:2" x14ac:dyDescent="0.25">
      <c r="A4228" s="81" t="s">
        <v>6428</v>
      </c>
      <c r="B4228" s="80" t="s">
        <v>9515</v>
      </c>
    </row>
    <row r="4229" spans="1:2" x14ac:dyDescent="0.25">
      <c r="A4229" s="81" t="s">
        <v>6429</v>
      </c>
      <c r="B4229" s="80" t="s">
        <v>9515</v>
      </c>
    </row>
    <row r="4230" spans="1:2" x14ac:dyDescent="0.25">
      <c r="A4230" s="81" t="s">
        <v>6430</v>
      </c>
      <c r="B4230" s="80" t="s">
        <v>9515</v>
      </c>
    </row>
    <row r="4231" spans="1:2" x14ac:dyDescent="0.25">
      <c r="A4231" s="81" t="s">
        <v>6431</v>
      </c>
      <c r="B4231" s="80" t="s">
        <v>9515</v>
      </c>
    </row>
    <row r="4232" spans="1:2" x14ac:dyDescent="0.25">
      <c r="A4232" s="81" t="s">
        <v>6432</v>
      </c>
      <c r="B4232" s="80" t="s">
        <v>9515</v>
      </c>
    </row>
    <row r="4233" spans="1:2" x14ac:dyDescent="0.25">
      <c r="A4233" s="81" t="s">
        <v>6433</v>
      </c>
      <c r="B4233" s="80" t="s">
        <v>9515</v>
      </c>
    </row>
    <row r="4234" spans="1:2" x14ac:dyDescent="0.25">
      <c r="A4234" s="81" t="s">
        <v>6434</v>
      </c>
      <c r="B4234" s="80" t="s">
        <v>9515</v>
      </c>
    </row>
    <row r="4235" spans="1:2" x14ac:dyDescent="0.25">
      <c r="A4235" s="81" t="s">
        <v>6435</v>
      </c>
      <c r="B4235" s="80" t="s">
        <v>9515</v>
      </c>
    </row>
    <row r="4236" spans="1:2" x14ac:dyDescent="0.25">
      <c r="A4236" s="81" t="s">
        <v>6436</v>
      </c>
      <c r="B4236" s="80" t="s">
        <v>9515</v>
      </c>
    </row>
    <row r="4237" spans="1:2" x14ac:dyDescent="0.25">
      <c r="A4237" s="81" t="s">
        <v>6437</v>
      </c>
      <c r="B4237" s="80" t="s">
        <v>9515</v>
      </c>
    </row>
    <row r="4238" spans="1:2" x14ac:dyDescent="0.25">
      <c r="A4238" s="81" t="s">
        <v>6438</v>
      </c>
      <c r="B4238" s="80" t="s">
        <v>9515</v>
      </c>
    </row>
    <row r="4239" spans="1:2" x14ac:dyDescent="0.25">
      <c r="A4239" s="81" t="s">
        <v>6439</v>
      </c>
      <c r="B4239" s="80" t="s">
        <v>9515</v>
      </c>
    </row>
    <row r="4240" spans="1:2" x14ac:dyDescent="0.25">
      <c r="A4240" s="81" t="s">
        <v>6440</v>
      </c>
      <c r="B4240" s="80" t="s">
        <v>9515</v>
      </c>
    </row>
    <row r="4241" spans="1:2" x14ac:dyDescent="0.25">
      <c r="A4241" s="81" t="s">
        <v>6441</v>
      </c>
      <c r="B4241" s="80" t="s">
        <v>9515</v>
      </c>
    </row>
    <row r="4242" spans="1:2" x14ac:dyDescent="0.25">
      <c r="A4242" s="81" t="s">
        <v>6442</v>
      </c>
      <c r="B4242" s="80" t="s">
        <v>9515</v>
      </c>
    </row>
    <row r="4243" spans="1:2" x14ac:dyDescent="0.25">
      <c r="A4243" s="81" t="s">
        <v>6443</v>
      </c>
      <c r="B4243" s="80" t="s">
        <v>9515</v>
      </c>
    </row>
    <row r="4244" spans="1:2" x14ac:dyDescent="0.25">
      <c r="A4244" s="81" t="s">
        <v>6444</v>
      </c>
      <c r="B4244" s="80" t="s">
        <v>9515</v>
      </c>
    </row>
    <row r="4245" spans="1:2" x14ac:dyDescent="0.25">
      <c r="A4245" s="81" t="s">
        <v>6445</v>
      </c>
      <c r="B4245" s="80" t="s">
        <v>9515</v>
      </c>
    </row>
    <row r="4246" spans="1:2" x14ac:dyDescent="0.25">
      <c r="A4246" s="81" t="s">
        <v>6446</v>
      </c>
      <c r="B4246" s="80" t="s">
        <v>9515</v>
      </c>
    </row>
    <row r="4247" spans="1:2" x14ac:dyDescent="0.25">
      <c r="A4247" s="81" t="s">
        <v>6447</v>
      </c>
      <c r="B4247" s="80" t="s">
        <v>9515</v>
      </c>
    </row>
    <row r="4248" spans="1:2" x14ac:dyDescent="0.25">
      <c r="A4248" s="81" t="s">
        <v>6448</v>
      </c>
      <c r="B4248" s="80" t="s">
        <v>9515</v>
      </c>
    </row>
    <row r="4249" spans="1:2" x14ac:dyDescent="0.25">
      <c r="A4249" s="81" t="s">
        <v>6449</v>
      </c>
      <c r="B4249" s="80" t="s">
        <v>9515</v>
      </c>
    </row>
    <row r="4250" spans="1:2" x14ac:dyDescent="0.25">
      <c r="A4250" s="81" t="s">
        <v>6450</v>
      </c>
      <c r="B4250" s="80" t="s">
        <v>9515</v>
      </c>
    </row>
    <row r="4251" spans="1:2" x14ac:dyDescent="0.25">
      <c r="A4251" s="81" t="s">
        <v>6451</v>
      </c>
      <c r="B4251" s="80" t="s">
        <v>9515</v>
      </c>
    </row>
    <row r="4252" spans="1:2" x14ac:dyDescent="0.25">
      <c r="A4252" s="81" t="s">
        <v>6452</v>
      </c>
      <c r="B4252" s="80" t="s">
        <v>9515</v>
      </c>
    </row>
    <row r="4253" spans="1:2" x14ac:dyDescent="0.25">
      <c r="A4253" s="81" t="s">
        <v>6453</v>
      </c>
      <c r="B4253" s="80" t="s">
        <v>9515</v>
      </c>
    </row>
    <row r="4254" spans="1:2" x14ac:dyDescent="0.25">
      <c r="A4254" s="81" t="s">
        <v>6454</v>
      </c>
      <c r="B4254" s="80" t="s">
        <v>9515</v>
      </c>
    </row>
    <row r="4255" spans="1:2" x14ac:dyDescent="0.25">
      <c r="A4255" s="81" t="s">
        <v>6455</v>
      </c>
      <c r="B4255" s="80" t="s">
        <v>9515</v>
      </c>
    </row>
    <row r="4256" spans="1:2" x14ac:dyDescent="0.25">
      <c r="A4256" s="81" t="s">
        <v>6456</v>
      </c>
      <c r="B4256" s="80" t="s">
        <v>9515</v>
      </c>
    </row>
    <row r="4257" spans="1:2" x14ac:dyDescent="0.25">
      <c r="A4257" s="81" t="s">
        <v>6457</v>
      </c>
      <c r="B4257" s="80" t="s">
        <v>9515</v>
      </c>
    </row>
    <row r="4258" spans="1:2" x14ac:dyDescent="0.25">
      <c r="A4258" s="81" t="s">
        <v>6458</v>
      </c>
      <c r="B4258" s="80" t="s">
        <v>9515</v>
      </c>
    </row>
    <row r="4259" spans="1:2" x14ac:dyDescent="0.25">
      <c r="A4259" s="81" t="s">
        <v>6459</v>
      </c>
      <c r="B4259" s="80" t="s">
        <v>9515</v>
      </c>
    </row>
    <row r="4260" spans="1:2" x14ac:dyDescent="0.25">
      <c r="A4260" s="81" t="s">
        <v>6460</v>
      </c>
      <c r="B4260" s="80" t="s">
        <v>9515</v>
      </c>
    </row>
    <row r="4261" spans="1:2" x14ac:dyDescent="0.25">
      <c r="A4261" s="81" t="s">
        <v>6461</v>
      </c>
      <c r="B4261" s="80" t="s">
        <v>9515</v>
      </c>
    </row>
    <row r="4262" spans="1:2" x14ac:dyDescent="0.25">
      <c r="A4262" s="81" t="s">
        <v>6462</v>
      </c>
      <c r="B4262" s="80" t="s">
        <v>9515</v>
      </c>
    </row>
    <row r="4263" spans="1:2" x14ac:dyDescent="0.25">
      <c r="A4263" s="81" t="s">
        <v>6463</v>
      </c>
      <c r="B4263" s="80" t="s">
        <v>9515</v>
      </c>
    </row>
    <row r="4264" spans="1:2" x14ac:dyDescent="0.25">
      <c r="A4264" s="81" t="s">
        <v>6464</v>
      </c>
      <c r="B4264" s="80" t="s">
        <v>9515</v>
      </c>
    </row>
    <row r="4265" spans="1:2" x14ac:dyDescent="0.25">
      <c r="A4265" s="81" t="s">
        <v>6465</v>
      </c>
      <c r="B4265" s="80" t="s">
        <v>9515</v>
      </c>
    </row>
    <row r="4266" spans="1:2" x14ac:dyDescent="0.25">
      <c r="A4266" s="81" t="s">
        <v>6466</v>
      </c>
      <c r="B4266" s="80" t="s">
        <v>9515</v>
      </c>
    </row>
    <row r="4267" spans="1:2" x14ac:dyDescent="0.25">
      <c r="A4267" s="81" t="s">
        <v>6467</v>
      </c>
      <c r="B4267" s="80" t="s">
        <v>9515</v>
      </c>
    </row>
    <row r="4268" spans="1:2" x14ac:dyDescent="0.25">
      <c r="A4268" s="81" t="s">
        <v>6468</v>
      </c>
      <c r="B4268" s="80" t="s">
        <v>9515</v>
      </c>
    </row>
    <row r="4269" spans="1:2" x14ac:dyDescent="0.25">
      <c r="A4269" s="81" t="s">
        <v>6469</v>
      </c>
      <c r="B4269" s="80" t="s">
        <v>9515</v>
      </c>
    </row>
    <row r="4270" spans="1:2" x14ac:dyDescent="0.25">
      <c r="A4270" s="81" t="s">
        <v>6470</v>
      </c>
      <c r="B4270" s="80" t="s">
        <v>9515</v>
      </c>
    </row>
    <row r="4271" spans="1:2" x14ac:dyDescent="0.25">
      <c r="A4271" s="81" t="s">
        <v>6471</v>
      </c>
      <c r="B4271" s="80" t="s">
        <v>9515</v>
      </c>
    </row>
    <row r="4272" spans="1:2" x14ac:dyDescent="0.25">
      <c r="A4272" s="81" t="s">
        <v>6472</v>
      </c>
      <c r="B4272" s="80" t="s">
        <v>9515</v>
      </c>
    </row>
    <row r="4273" spans="1:2" x14ac:dyDescent="0.25">
      <c r="A4273" s="81" t="s">
        <v>6473</v>
      </c>
      <c r="B4273" s="80" t="s">
        <v>9515</v>
      </c>
    </row>
    <row r="4274" spans="1:2" x14ac:dyDescent="0.25">
      <c r="A4274" s="81" t="s">
        <v>6474</v>
      </c>
      <c r="B4274" s="80" t="s">
        <v>9515</v>
      </c>
    </row>
    <row r="4275" spans="1:2" x14ac:dyDescent="0.25">
      <c r="A4275" s="81" t="s">
        <v>6475</v>
      </c>
      <c r="B4275" s="80" t="s">
        <v>9515</v>
      </c>
    </row>
    <row r="4276" spans="1:2" x14ac:dyDescent="0.25">
      <c r="A4276" s="81" t="s">
        <v>6476</v>
      </c>
      <c r="B4276" s="80" t="s">
        <v>9515</v>
      </c>
    </row>
    <row r="4277" spans="1:2" x14ac:dyDescent="0.25">
      <c r="A4277" s="81" t="s">
        <v>6477</v>
      </c>
      <c r="B4277" s="80" t="s">
        <v>9515</v>
      </c>
    </row>
    <row r="4278" spans="1:2" x14ac:dyDescent="0.25">
      <c r="A4278" s="81" t="s">
        <v>6478</v>
      </c>
      <c r="B4278" s="80" t="s">
        <v>9515</v>
      </c>
    </row>
    <row r="4279" spans="1:2" x14ac:dyDescent="0.25">
      <c r="A4279" s="81" t="s">
        <v>6479</v>
      </c>
      <c r="B4279" s="80" t="s">
        <v>9515</v>
      </c>
    </row>
    <row r="4280" spans="1:2" x14ac:dyDescent="0.25">
      <c r="A4280" s="81" t="s">
        <v>6480</v>
      </c>
      <c r="B4280" s="80" t="s">
        <v>9515</v>
      </c>
    </row>
    <row r="4281" spans="1:2" x14ac:dyDescent="0.25">
      <c r="A4281" s="81" t="s">
        <v>6481</v>
      </c>
      <c r="B4281" s="80" t="s">
        <v>9515</v>
      </c>
    </row>
    <row r="4282" spans="1:2" x14ac:dyDescent="0.25">
      <c r="A4282" s="81" t="s">
        <v>6482</v>
      </c>
      <c r="B4282" s="80" t="s">
        <v>9515</v>
      </c>
    </row>
    <row r="4283" spans="1:2" x14ac:dyDescent="0.25">
      <c r="A4283" s="81" t="s">
        <v>6483</v>
      </c>
      <c r="B4283" s="80" t="s">
        <v>9515</v>
      </c>
    </row>
    <row r="4284" spans="1:2" x14ac:dyDescent="0.25">
      <c r="A4284" s="81" t="s">
        <v>6484</v>
      </c>
      <c r="B4284" s="80" t="s">
        <v>9515</v>
      </c>
    </row>
    <row r="4285" spans="1:2" x14ac:dyDescent="0.25">
      <c r="A4285" s="81" t="s">
        <v>6485</v>
      </c>
      <c r="B4285" s="80" t="s">
        <v>9515</v>
      </c>
    </row>
    <row r="4286" spans="1:2" x14ac:dyDescent="0.25">
      <c r="A4286" s="81" t="s">
        <v>6486</v>
      </c>
      <c r="B4286" s="80" t="s">
        <v>9515</v>
      </c>
    </row>
    <row r="4287" spans="1:2" x14ac:dyDescent="0.25">
      <c r="A4287" s="81" t="s">
        <v>6487</v>
      </c>
      <c r="B4287" s="80" t="s">
        <v>9515</v>
      </c>
    </row>
    <row r="4288" spans="1:2" x14ac:dyDescent="0.25">
      <c r="A4288" s="81" t="s">
        <v>6488</v>
      </c>
      <c r="B4288" s="80" t="s">
        <v>9515</v>
      </c>
    </row>
    <row r="4289" spans="1:2" x14ac:dyDescent="0.25">
      <c r="A4289" s="81" t="s">
        <v>6489</v>
      </c>
      <c r="B4289" s="80" t="s">
        <v>9515</v>
      </c>
    </row>
    <row r="4290" spans="1:2" x14ac:dyDescent="0.25">
      <c r="A4290" s="81" t="s">
        <v>6490</v>
      </c>
      <c r="B4290" s="80" t="s">
        <v>9515</v>
      </c>
    </row>
    <row r="4291" spans="1:2" x14ac:dyDescent="0.25">
      <c r="A4291" s="81" t="s">
        <v>6491</v>
      </c>
      <c r="B4291" s="80" t="s">
        <v>9515</v>
      </c>
    </row>
    <row r="4292" spans="1:2" x14ac:dyDescent="0.25">
      <c r="A4292" s="81" t="s">
        <v>6492</v>
      </c>
      <c r="B4292" s="80" t="s">
        <v>9515</v>
      </c>
    </row>
    <row r="4293" spans="1:2" x14ac:dyDescent="0.25">
      <c r="A4293" s="81" t="s">
        <v>6493</v>
      </c>
      <c r="B4293" s="80" t="s">
        <v>9515</v>
      </c>
    </row>
    <row r="4294" spans="1:2" x14ac:dyDescent="0.25">
      <c r="A4294" s="81" t="s">
        <v>6494</v>
      </c>
      <c r="B4294" s="80" t="s">
        <v>9515</v>
      </c>
    </row>
    <row r="4295" spans="1:2" x14ac:dyDescent="0.25">
      <c r="A4295" s="81" t="s">
        <v>6495</v>
      </c>
      <c r="B4295" s="80" t="s">
        <v>9515</v>
      </c>
    </row>
    <row r="4296" spans="1:2" x14ac:dyDescent="0.25">
      <c r="A4296" s="81" t="s">
        <v>6496</v>
      </c>
      <c r="B4296" s="80" t="s">
        <v>9515</v>
      </c>
    </row>
    <row r="4297" spans="1:2" x14ac:dyDescent="0.25">
      <c r="A4297" s="81" t="s">
        <v>6497</v>
      </c>
      <c r="B4297" s="80" t="s">
        <v>9515</v>
      </c>
    </row>
    <row r="4298" spans="1:2" x14ac:dyDescent="0.25">
      <c r="A4298" s="81" t="s">
        <v>6498</v>
      </c>
      <c r="B4298" s="80" t="s">
        <v>9515</v>
      </c>
    </row>
    <row r="4299" spans="1:2" x14ac:dyDescent="0.25">
      <c r="A4299" s="81" t="s">
        <v>6499</v>
      </c>
      <c r="B4299" s="80" t="s">
        <v>9515</v>
      </c>
    </row>
    <row r="4300" spans="1:2" x14ac:dyDescent="0.25">
      <c r="A4300" s="81" t="s">
        <v>6500</v>
      </c>
      <c r="B4300" s="80" t="s">
        <v>9515</v>
      </c>
    </row>
    <row r="4301" spans="1:2" x14ac:dyDescent="0.25">
      <c r="A4301" s="81" t="s">
        <v>6501</v>
      </c>
      <c r="B4301" s="80" t="s">
        <v>9515</v>
      </c>
    </row>
    <row r="4302" spans="1:2" x14ac:dyDescent="0.25">
      <c r="A4302" s="81" t="s">
        <v>6502</v>
      </c>
      <c r="B4302" s="80" t="s">
        <v>9515</v>
      </c>
    </row>
    <row r="4303" spans="1:2" x14ac:dyDescent="0.25">
      <c r="A4303" s="81" t="s">
        <v>6503</v>
      </c>
      <c r="B4303" s="80" t="s">
        <v>9515</v>
      </c>
    </row>
    <row r="4304" spans="1:2" x14ac:dyDescent="0.25">
      <c r="A4304" s="81" t="s">
        <v>6504</v>
      </c>
      <c r="B4304" s="80" t="s">
        <v>9515</v>
      </c>
    </row>
    <row r="4305" spans="1:2" x14ac:dyDescent="0.25">
      <c r="A4305" s="81" t="s">
        <v>6505</v>
      </c>
      <c r="B4305" s="80" t="s">
        <v>9515</v>
      </c>
    </row>
    <row r="4306" spans="1:2" x14ac:dyDescent="0.25">
      <c r="A4306" s="81" t="s">
        <v>6506</v>
      </c>
      <c r="B4306" s="80" t="s">
        <v>9515</v>
      </c>
    </row>
    <row r="4307" spans="1:2" x14ac:dyDescent="0.25">
      <c r="A4307" s="81" t="s">
        <v>6507</v>
      </c>
      <c r="B4307" s="80" t="s">
        <v>9515</v>
      </c>
    </row>
    <row r="4308" spans="1:2" x14ac:dyDescent="0.25">
      <c r="A4308" s="81" t="s">
        <v>6508</v>
      </c>
      <c r="B4308" s="80" t="s">
        <v>9515</v>
      </c>
    </row>
    <row r="4309" spans="1:2" x14ac:dyDescent="0.25">
      <c r="A4309" s="81" t="s">
        <v>6509</v>
      </c>
      <c r="B4309" s="80" t="s">
        <v>9515</v>
      </c>
    </row>
    <row r="4310" spans="1:2" x14ac:dyDescent="0.25">
      <c r="A4310" s="81" t="s">
        <v>6510</v>
      </c>
      <c r="B4310" s="80" t="s">
        <v>9515</v>
      </c>
    </row>
    <row r="4311" spans="1:2" x14ac:dyDescent="0.25">
      <c r="A4311" s="81" t="s">
        <v>6511</v>
      </c>
      <c r="B4311" s="80" t="s">
        <v>9515</v>
      </c>
    </row>
    <row r="4312" spans="1:2" x14ac:dyDescent="0.25">
      <c r="A4312" s="81" t="s">
        <v>6512</v>
      </c>
      <c r="B4312" s="80" t="s">
        <v>9515</v>
      </c>
    </row>
    <row r="4313" spans="1:2" x14ac:dyDescent="0.25">
      <c r="A4313" s="81" t="s">
        <v>6513</v>
      </c>
      <c r="B4313" s="80" t="s">
        <v>9515</v>
      </c>
    </row>
    <row r="4314" spans="1:2" x14ac:dyDescent="0.25">
      <c r="A4314" s="81" t="s">
        <v>6514</v>
      </c>
      <c r="B4314" s="80" t="s">
        <v>9515</v>
      </c>
    </row>
    <row r="4315" spans="1:2" x14ac:dyDescent="0.25">
      <c r="A4315" s="81" t="s">
        <v>6515</v>
      </c>
      <c r="B4315" s="80" t="s">
        <v>9515</v>
      </c>
    </row>
    <row r="4316" spans="1:2" x14ac:dyDescent="0.25">
      <c r="A4316" s="81" t="s">
        <v>6516</v>
      </c>
      <c r="B4316" s="80" t="s">
        <v>9515</v>
      </c>
    </row>
    <row r="4317" spans="1:2" x14ac:dyDescent="0.25">
      <c r="A4317" s="81" t="s">
        <v>6517</v>
      </c>
      <c r="B4317" s="80" t="s">
        <v>9515</v>
      </c>
    </row>
    <row r="4318" spans="1:2" x14ac:dyDescent="0.25">
      <c r="A4318" s="81" t="s">
        <v>6518</v>
      </c>
      <c r="B4318" s="80" t="s">
        <v>9515</v>
      </c>
    </row>
    <row r="4319" spans="1:2" x14ac:dyDescent="0.25">
      <c r="A4319" s="81" t="s">
        <v>6519</v>
      </c>
      <c r="B4319" s="80" t="s">
        <v>9515</v>
      </c>
    </row>
    <row r="4320" spans="1:2" x14ac:dyDescent="0.25">
      <c r="A4320" s="81" t="s">
        <v>6520</v>
      </c>
      <c r="B4320" s="80" t="s">
        <v>9515</v>
      </c>
    </row>
    <row r="4321" spans="1:2" x14ac:dyDescent="0.25">
      <c r="A4321" s="81" t="s">
        <v>6521</v>
      </c>
      <c r="B4321" s="80" t="s">
        <v>9515</v>
      </c>
    </row>
    <row r="4322" spans="1:2" x14ac:dyDescent="0.25">
      <c r="A4322" s="81" t="s">
        <v>6522</v>
      </c>
      <c r="B4322" s="80" t="s">
        <v>9515</v>
      </c>
    </row>
    <row r="4323" spans="1:2" x14ac:dyDescent="0.25">
      <c r="A4323" s="81" t="s">
        <v>6523</v>
      </c>
      <c r="B4323" s="80" t="s">
        <v>9515</v>
      </c>
    </row>
    <row r="4324" spans="1:2" x14ac:dyDescent="0.25">
      <c r="A4324" s="81" t="s">
        <v>6524</v>
      </c>
      <c r="B4324" s="80" t="s">
        <v>9515</v>
      </c>
    </row>
    <row r="4325" spans="1:2" x14ac:dyDescent="0.25">
      <c r="A4325" s="81" t="s">
        <v>6525</v>
      </c>
      <c r="B4325" s="80" t="s">
        <v>9515</v>
      </c>
    </row>
    <row r="4326" spans="1:2" x14ac:dyDescent="0.25">
      <c r="A4326" s="81" t="s">
        <v>6526</v>
      </c>
      <c r="B4326" s="80" t="s">
        <v>9515</v>
      </c>
    </row>
    <row r="4327" spans="1:2" x14ac:dyDescent="0.25">
      <c r="A4327" s="81" t="s">
        <v>6527</v>
      </c>
      <c r="B4327" s="80" t="s">
        <v>9515</v>
      </c>
    </row>
    <row r="4328" spans="1:2" x14ac:dyDescent="0.25">
      <c r="A4328" s="81" t="s">
        <v>6528</v>
      </c>
      <c r="B4328" s="80" t="s">
        <v>9515</v>
      </c>
    </row>
    <row r="4329" spans="1:2" x14ac:dyDescent="0.25">
      <c r="A4329" s="81" t="s">
        <v>6529</v>
      </c>
      <c r="B4329" s="80" t="s">
        <v>9515</v>
      </c>
    </row>
    <row r="4330" spans="1:2" x14ac:dyDescent="0.25">
      <c r="A4330" s="81" t="s">
        <v>6530</v>
      </c>
      <c r="B4330" s="80" t="s">
        <v>9515</v>
      </c>
    </row>
    <row r="4331" spans="1:2" x14ac:dyDescent="0.25">
      <c r="A4331" s="81" t="s">
        <v>6531</v>
      </c>
      <c r="B4331" s="80" t="s">
        <v>9515</v>
      </c>
    </row>
    <row r="4332" spans="1:2" x14ac:dyDescent="0.25">
      <c r="A4332" s="81" t="s">
        <v>6532</v>
      </c>
      <c r="B4332" s="80" t="s">
        <v>9515</v>
      </c>
    </row>
    <row r="4333" spans="1:2" x14ac:dyDescent="0.25">
      <c r="A4333" s="81" t="s">
        <v>6533</v>
      </c>
      <c r="B4333" s="80" t="s">
        <v>9515</v>
      </c>
    </row>
    <row r="4334" spans="1:2" x14ac:dyDescent="0.25">
      <c r="A4334" s="81" t="s">
        <v>6534</v>
      </c>
      <c r="B4334" s="80" t="s">
        <v>9515</v>
      </c>
    </row>
    <row r="4335" spans="1:2" x14ac:dyDescent="0.25">
      <c r="A4335" s="81" t="s">
        <v>6535</v>
      </c>
      <c r="B4335" s="80" t="s">
        <v>9515</v>
      </c>
    </row>
    <row r="4336" spans="1:2" x14ac:dyDescent="0.25">
      <c r="A4336" s="81" t="s">
        <v>6536</v>
      </c>
      <c r="B4336" s="80" t="s">
        <v>9515</v>
      </c>
    </row>
    <row r="4337" spans="1:2" x14ac:dyDescent="0.25">
      <c r="A4337" s="81" t="s">
        <v>6537</v>
      </c>
      <c r="B4337" s="80" t="s">
        <v>9515</v>
      </c>
    </row>
    <row r="4338" spans="1:2" x14ac:dyDescent="0.25">
      <c r="A4338" s="81" t="s">
        <v>6538</v>
      </c>
      <c r="B4338" s="80" t="s">
        <v>9515</v>
      </c>
    </row>
    <row r="4339" spans="1:2" x14ac:dyDescent="0.25">
      <c r="A4339" s="81" t="s">
        <v>6539</v>
      </c>
      <c r="B4339" s="80" t="s">
        <v>9515</v>
      </c>
    </row>
    <row r="4340" spans="1:2" x14ac:dyDescent="0.25">
      <c r="A4340" s="81" t="s">
        <v>6540</v>
      </c>
      <c r="B4340" s="80" t="s">
        <v>9515</v>
      </c>
    </row>
    <row r="4341" spans="1:2" x14ac:dyDescent="0.25">
      <c r="A4341" s="81" t="s">
        <v>6541</v>
      </c>
      <c r="B4341" s="80" t="s">
        <v>9515</v>
      </c>
    </row>
    <row r="4342" spans="1:2" x14ac:dyDescent="0.25">
      <c r="A4342" s="81" t="s">
        <v>6542</v>
      </c>
      <c r="B4342" s="80" t="s">
        <v>9515</v>
      </c>
    </row>
    <row r="4343" spans="1:2" x14ac:dyDescent="0.25">
      <c r="A4343" s="81" t="s">
        <v>6543</v>
      </c>
      <c r="B4343" s="80" t="s">
        <v>9515</v>
      </c>
    </row>
    <row r="4344" spans="1:2" x14ac:dyDescent="0.25">
      <c r="A4344" s="81" t="s">
        <v>6544</v>
      </c>
      <c r="B4344" s="80" t="s">
        <v>9515</v>
      </c>
    </row>
    <row r="4345" spans="1:2" x14ac:dyDescent="0.25">
      <c r="A4345" s="81" t="s">
        <v>6545</v>
      </c>
      <c r="B4345" s="80" t="s">
        <v>9515</v>
      </c>
    </row>
    <row r="4346" spans="1:2" x14ac:dyDescent="0.25">
      <c r="A4346" s="81" t="s">
        <v>6546</v>
      </c>
      <c r="B4346" s="80" t="s">
        <v>9515</v>
      </c>
    </row>
    <row r="4347" spans="1:2" x14ac:dyDescent="0.25">
      <c r="A4347" s="81" t="s">
        <v>6547</v>
      </c>
      <c r="B4347" s="80" t="s">
        <v>9515</v>
      </c>
    </row>
    <row r="4348" spans="1:2" x14ac:dyDescent="0.25">
      <c r="A4348" s="81" t="s">
        <v>6548</v>
      </c>
      <c r="B4348" s="80" t="s">
        <v>9515</v>
      </c>
    </row>
    <row r="4349" spans="1:2" x14ac:dyDescent="0.25">
      <c r="A4349" s="81" t="s">
        <v>6549</v>
      </c>
      <c r="B4349" s="80" t="s">
        <v>9515</v>
      </c>
    </row>
    <row r="4350" spans="1:2" x14ac:dyDescent="0.25">
      <c r="A4350" s="81" t="s">
        <v>6550</v>
      </c>
      <c r="B4350" s="80" t="s">
        <v>9515</v>
      </c>
    </row>
    <row r="4351" spans="1:2" x14ac:dyDescent="0.25">
      <c r="A4351" s="81" t="s">
        <v>6551</v>
      </c>
      <c r="B4351" s="80" t="s">
        <v>9515</v>
      </c>
    </row>
    <row r="4352" spans="1:2" x14ac:dyDescent="0.25">
      <c r="A4352" s="81" t="s">
        <v>6552</v>
      </c>
      <c r="B4352" s="80" t="s">
        <v>9515</v>
      </c>
    </row>
    <row r="4353" spans="1:2" x14ac:dyDescent="0.25">
      <c r="A4353" s="81" t="s">
        <v>6553</v>
      </c>
      <c r="B4353" s="80" t="s">
        <v>9515</v>
      </c>
    </row>
    <row r="4354" spans="1:2" x14ac:dyDescent="0.25">
      <c r="A4354" s="81" t="s">
        <v>6554</v>
      </c>
      <c r="B4354" s="80" t="s">
        <v>9515</v>
      </c>
    </row>
    <row r="4355" spans="1:2" x14ac:dyDescent="0.25">
      <c r="A4355" s="81" t="s">
        <v>6555</v>
      </c>
      <c r="B4355" s="80" t="s">
        <v>9515</v>
      </c>
    </row>
    <row r="4356" spans="1:2" x14ac:dyDescent="0.25">
      <c r="A4356" s="81" t="s">
        <v>6556</v>
      </c>
      <c r="B4356" s="80" t="s">
        <v>9515</v>
      </c>
    </row>
    <row r="4357" spans="1:2" x14ac:dyDescent="0.25">
      <c r="A4357" s="81" t="s">
        <v>6557</v>
      </c>
      <c r="B4357" s="80" t="s">
        <v>9515</v>
      </c>
    </row>
    <row r="4358" spans="1:2" x14ac:dyDescent="0.25">
      <c r="A4358" s="81" t="s">
        <v>6558</v>
      </c>
      <c r="B4358" s="80" t="s">
        <v>9515</v>
      </c>
    </row>
    <row r="4359" spans="1:2" x14ac:dyDescent="0.25">
      <c r="A4359" s="81" t="s">
        <v>6559</v>
      </c>
      <c r="B4359" s="80" t="s">
        <v>9515</v>
      </c>
    </row>
    <row r="4360" spans="1:2" x14ac:dyDescent="0.25">
      <c r="A4360" s="81" t="s">
        <v>6560</v>
      </c>
      <c r="B4360" s="80" t="s">
        <v>9515</v>
      </c>
    </row>
    <row r="4361" spans="1:2" x14ac:dyDescent="0.25">
      <c r="A4361" s="81" t="s">
        <v>6561</v>
      </c>
      <c r="B4361" s="80" t="s">
        <v>9515</v>
      </c>
    </row>
    <row r="4362" spans="1:2" x14ac:dyDescent="0.25">
      <c r="A4362" s="81" t="s">
        <v>6562</v>
      </c>
      <c r="B4362" s="80" t="s">
        <v>9515</v>
      </c>
    </row>
    <row r="4363" spans="1:2" x14ac:dyDescent="0.25">
      <c r="A4363" s="81" t="s">
        <v>6563</v>
      </c>
      <c r="B4363" s="80" t="s">
        <v>9515</v>
      </c>
    </row>
    <row r="4364" spans="1:2" x14ac:dyDescent="0.25">
      <c r="A4364" s="81" t="s">
        <v>6564</v>
      </c>
      <c r="B4364" s="80" t="s">
        <v>9515</v>
      </c>
    </row>
    <row r="4365" spans="1:2" x14ac:dyDescent="0.25">
      <c r="A4365" s="81" t="s">
        <v>6565</v>
      </c>
      <c r="B4365" s="80" t="s">
        <v>9515</v>
      </c>
    </row>
    <row r="4366" spans="1:2" x14ac:dyDescent="0.25">
      <c r="A4366" s="81" t="s">
        <v>6566</v>
      </c>
      <c r="B4366" s="80" t="s">
        <v>9515</v>
      </c>
    </row>
    <row r="4367" spans="1:2" x14ac:dyDescent="0.25">
      <c r="A4367" s="81" t="s">
        <v>6567</v>
      </c>
      <c r="B4367" s="80" t="s">
        <v>9515</v>
      </c>
    </row>
    <row r="4368" spans="1:2" x14ac:dyDescent="0.25">
      <c r="A4368" s="81" t="s">
        <v>6568</v>
      </c>
      <c r="B4368" s="80" t="s">
        <v>9515</v>
      </c>
    </row>
    <row r="4369" spans="1:2" x14ac:dyDescent="0.25">
      <c r="A4369" s="81" t="s">
        <v>6569</v>
      </c>
      <c r="B4369" s="80" t="s">
        <v>9515</v>
      </c>
    </row>
    <row r="4370" spans="1:2" x14ac:dyDescent="0.25">
      <c r="A4370" s="81" t="s">
        <v>6570</v>
      </c>
      <c r="B4370" s="80" t="s">
        <v>9515</v>
      </c>
    </row>
    <row r="4371" spans="1:2" x14ac:dyDescent="0.25">
      <c r="A4371" s="81" t="s">
        <v>6571</v>
      </c>
      <c r="B4371" s="80" t="s">
        <v>9515</v>
      </c>
    </row>
    <row r="4372" spans="1:2" x14ac:dyDescent="0.25">
      <c r="A4372" s="81" t="s">
        <v>6572</v>
      </c>
      <c r="B4372" s="80" t="s">
        <v>9515</v>
      </c>
    </row>
    <row r="4373" spans="1:2" x14ac:dyDescent="0.25">
      <c r="A4373" s="81" t="s">
        <v>6573</v>
      </c>
      <c r="B4373" s="80" t="s">
        <v>9515</v>
      </c>
    </row>
    <row r="4374" spans="1:2" x14ac:dyDescent="0.25">
      <c r="A4374" s="81" t="s">
        <v>6574</v>
      </c>
      <c r="B4374" s="80" t="s">
        <v>9515</v>
      </c>
    </row>
    <row r="4375" spans="1:2" x14ac:dyDescent="0.25">
      <c r="A4375" s="81" t="s">
        <v>6575</v>
      </c>
      <c r="B4375" s="80" t="s">
        <v>9515</v>
      </c>
    </row>
    <row r="4376" spans="1:2" x14ac:dyDescent="0.25">
      <c r="A4376" s="81" t="s">
        <v>6576</v>
      </c>
      <c r="B4376" s="80" t="s">
        <v>9515</v>
      </c>
    </row>
    <row r="4377" spans="1:2" x14ac:dyDescent="0.25">
      <c r="A4377" s="81" t="s">
        <v>6577</v>
      </c>
      <c r="B4377" s="80" t="s">
        <v>9515</v>
      </c>
    </row>
    <row r="4378" spans="1:2" x14ac:dyDescent="0.25">
      <c r="A4378" s="81" t="s">
        <v>6578</v>
      </c>
      <c r="B4378" s="80" t="s">
        <v>9515</v>
      </c>
    </row>
    <row r="4379" spans="1:2" x14ac:dyDescent="0.25">
      <c r="A4379" s="81" t="s">
        <v>6579</v>
      </c>
      <c r="B4379" s="80" t="s">
        <v>9515</v>
      </c>
    </row>
    <row r="4380" spans="1:2" x14ac:dyDescent="0.25">
      <c r="A4380" s="81" t="s">
        <v>6580</v>
      </c>
      <c r="B4380" s="80" t="s">
        <v>9515</v>
      </c>
    </row>
    <row r="4381" spans="1:2" x14ac:dyDescent="0.25">
      <c r="A4381" s="81" t="s">
        <v>6581</v>
      </c>
      <c r="B4381" s="80" t="s">
        <v>9515</v>
      </c>
    </row>
    <row r="4382" spans="1:2" x14ac:dyDescent="0.25">
      <c r="A4382" s="81" t="s">
        <v>6582</v>
      </c>
      <c r="B4382" s="80" t="s">
        <v>9515</v>
      </c>
    </row>
    <row r="4383" spans="1:2" x14ac:dyDescent="0.25">
      <c r="A4383" s="81" t="s">
        <v>6583</v>
      </c>
      <c r="B4383" s="80" t="s">
        <v>9515</v>
      </c>
    </row>
    <row r="4384" spans="1:2" x14ac:dyDescent="0.25">
      <c r="A4384" s="81" t="s">
        <v>6584</v>
      </c>
      <c r="B4384" s="80" t="s">
        <v>9515</v>
      </c>
    </row>
    <row r="4385" spans="1:2" x14ac:dyDescent="0.25">
      <c r="A4385" s="81" t="s">
        <v>6585</v>
      </c>
      <c r="B4385" s="80" t="s">
        <v>9515</v>
      </c>
    </row>
    <row r="4386" spans="1:2" x14ac:dyDescent="0.25">
      <c r="A4386" s="81" t="s">
        <v>6586</v>
      </c>
      <c r="B4386" s="80" t="s">
        <v>9515</v>
      </c>
    </row>
    <row r="4387" spans="1:2" x14ac:dyDescent="0.25">
      <c r="A4387" s="81" t="s">
        <v>6587</v>
      </c>
      <c r="B4387" s="80" t="s">
        <v>9515</v>
      </c>
    </row>
    <row r="4388" spans="1:2" x14ac:dyDescent="0.25">
      <c r="A4388" s="81" t="s">
        <v>6588</v>
      </c>
      <c r="B4388" s="80" t="s">
        <v>9515</v>
      </c>
    </row>
    <row r="4389" spans="1:2" x14ac:dyDescent="0.25">
      <c r="A4389" s="81" t="s">
        <v>6589</v>
      </c>
      <c r="B4389" s="80" t="s">
        <v>9515</v>
      </c>
    </row>
    <row r="4390" spans="1:2" x14ac:dyDescent="0.25">
      <c r="A4390" s="81" t="s">
        <v>6590</v>
      </c>
      <c r="B4390" s="80" t="s">
        <v>9515</v>
      </c>
    </row>
    <row r="4391" spans="1:2" x14ac:dyDescent="0.25">
      <c r="A4391" s="81" t="s">
        <v>6591</v>
      </c>
      <c r="B4391" s="80" t="s">
        <v>9515</v>
      </c>
    </row>
    <row r="4392" spans="1:2" x14ac:dyDescent="0.25">
      <c r="A4392" s="81" t="s">
        <v>6592</v>
      </c>
      <c r="B4392" s="80" t="s">
        <v>9515</v>
      </c>
    </row>
    <row r="4393" spans="1:2" x14ac:dyDescent="0.25">
      <c r="A4393" s="81" t="s">
        <v>6593</v>
      </c>
      <c r="B4393" s="80" t="s">
        <v>9515</v>
      </c>
    </row>
    <row r="4394" spans="1:2" x14ac:dyDescent="0.25">
      <c r="A4394" s="81" t="s">
        <v>6594</v>
      </c>
      <c r="B4394" s="80" t="s">
        <v>9515</v>
      </c>
    </row>
    <row r="4395" spans="1:2" x14ac:dyDescent="0.25">
      <c r="A4395" s="81" t="s">
        <v>6595</v>
      </c>
      <c r="B4395" s="80" t="s">
        <v>9515</v>
      </c>
    </row>
    <row r="4396" spans="1:2" x14ac:dyDescent="0.25">
      <c r="A4396" s="81" t="s">
        <v>6596</v>
      </c>
      <c r="B4396" s="80" t="s">
        <v>9515</v>
      </c>
    </row>
    <row r="4397" spans="1:2" x14ac:dyDescent="0.25">
      <c r="A4397" s="81" t="s">
        <v>6597</v>
      </c>
      <c r="B4397" s="80" t="s">
        <v>9515</v>
      </c>
    </row>
    <row r="4398" spans="1:2" x14ac:dyDescent="0.25">
      <c r="A4398" s="81" t="s">
        <v>6598</v>
      </c>
      <c r="B4398" s="80" t="s">
        <v>9515</v>
      </c>
    </row>
    <row r="4399" spans="1:2" x14ac:dyDescent="0.25">
      <c r="A4399" s="81" t="s">
        <v>6599</v>
      </c>
      <c r="B4399" s="80" t="s">
        <v>9515</v>
      </c>
    </row>
    <row r="4400" spans="1:2" x14ac:dyDescent="0.25">
      <c r="A4400" s="81" t="s">
        <v>6600</v>
      </c>
      <c r="B4400" s="80" t="s">
        <v>9515</v>
      </c>
    </row>
    <row r="4401" spans="1:2" x14ac:dyDescent="0.25">
      <c r="A4401" s="81" t="s">
        <v>6601</v>
      </c>
      <c r="B4401" s="80" t="s">
        <v>9515</v>
      </c>
    </row>
    <row r="4402" spans="1:2" x14ac:dyDescent="0.25">
      <c r="A4402" s="81" t="s">
        <v>6602</v>
      </c>
      <c r="B4402" s="80" t="s">
        <v>9515</v>
      </c>
    </row>
    <row r="4403" spans="1:2" x14ac:dyDescent="0.25">
      <c r="A4403" s="81" t="s">
        <v>6603</v>
      </c>
      <c r="B4403" s="80" t="s">
        <v>9515</v>
      </c>
    </row>
    <row r="4404" spans="1:2" x14ac:dyDescent="0.25">
      <c r="A4404" s="81" t="s">
        <v>6604</v>
      </c>
      <c r="B4404" s="80" t="s">
        <v>9515</v>
      </c>
    </row>
    <row r="4405" spans="1:2" x14ac:dyDescent="0.25">
      <c r="A4405" s="81" t="s">
        <v>6605</v>
      </c>
      <c r="B4405" s="80" t="s">
        <v>9515</v>
      </c>
    </row>
    <row r="4406" spans="1:2" x14ac:dyDescent="0.25">
      <c r="A4406" s="81" t="s">
        <v>6606</v>
      </c>
      <c r="B4406" s="80" t="s">
        <v>9515</v>
      </c>
    </row>
    <row r="4407" spans="1:2" x14ac:dyDescent="0.25">
      <c r="A4407" s="81" t="s">
        <v>6607</v>
      </c>
      <c r="B4407" s="80" t="s">
        <v>9515</v>
      </c>
    </row>
    <row r="4408" spans="1:2" x14ac:dyDescent="0.25">
      <c r="A4408" s="81" t="s">
        <v>6608</v>
      </c>
      <c r="B4408" s="80" t="s">
        <v>9515</v>
      </c>
    </row>
    <row r="4409" spans="1:2" x14ac:dyDescent="0.25">
      <c r="A4409" s="81" t="s">
        <v>6609</v>
      </c>
      <c r="B4409" s="80" t="s">
        <v>9515</v>
      </c>
    </row>
    <row r="4410" spans="1:2" x14ac:dyDescent="0.25">
      <c r="A4410" s="81" t="s">
        <v>6610</v>
      </c>
      <c r="B4410" s="80" t="s">
        <v>9515</v>
      </c>
    </row>
    <row r="4411" spans="1:2" x14ac:dyDescent="0.25">
      <c r="A4411" s="81" t="s">
        <v>6611</v>
      </c>
      <c r="B4411" s="80" t="s">
        <v>9515</v>
      </c>
    </row>
    <row r="4412" spans="1:2" x14ac:dyDescent="0.25">
      <c r="A4412" s="81" t="s">
        <v>6612</v>
      </c>
      <c r="B4412" s="80" t="s">
        <v>9515</v>
      </c>
    </row>
    <row r="4413" spans="1:2" x14ac:dyDescent="0.25">
      <c r="A4413" s="81" t="s">
        <v>6613</v>
      </c>
      <c r="B4413" s="80" t="s">
        <v>9515</v>
      </c>
    </row>
    <row r="4414" spans="1:2" x14ac:dyDescent="0.25">
      <c r="A4414" s="81" t="s">
        <v>6614</v>
      </c>
      <c r="B4414" s="80" t="s">
        <v>9515</v>
      </c>
    </row>
    <row r="4415" spans="1:2" x14ac:dyDescent="0.25">
      <c r="A4415" s="81" t="s">
        <v>6615</v>
      </c>
      <c r="B4415" s="80" t="s">
        <v>9515</v>
      </c>
    </row>
    <row r="4416" spans="1:2" x14ac:dyDescent="0.25">
      <c r="A4416" s="81" t="s">
        <v>6616</v>
      </c>
      <c r="B4416" s="80" t="s">
        <v>9515</v>
      </c>
    </row>
    <row r="4417" spans="1:2" x14ac:dyDescent="0.25">
      <c r="A4417" s="81" t="s">
        <v>6617</v>
      </c>
      <c r="B4417" s="80" t="s">
        <v>9515</v>
      </c>
    </row>
    <row r="4418" spans="1:2" x14ac:dyDescent="0.25">
      <c r="A4418" s="81" t="s">
        <v>6618</v>
      </c>
      <c r="B4418" s="80" t="s">
        <v>9515</v>
      </c>
    </row>
    <row r="4419" spans="1:2" x14ac:dyDescent="0.25">
      <c r="A4419" s="81" t="s">
        <v>6619</v>
      </c>
      <c r="B4419" s="80" t="s">
        <v>9515</v>
      </c>
    </row>
    <row r="4420" spans="1:2" x14ac:dyDescent="0.25">
      <c r="A4420" s="81" t="s">
        <v>6620</v>
      </c>
      <c r="B4420" s="80" t="s">
        <v>9515</v>
      </c>
    </row>
    <row r="4421" spans="1:2" x14ac:dyDescent="0.25">
      <c r="A4421" s="81" t="s">
        <v>6621</v>
      </c>
      <c r="B4421" s="80" t="s">
        <v>9515</v>
      </c>
    </row>
    <row r="4422" spans="1:2" x14ac:dyDescent="0.25">
      <c r="A4422" s="81" t="s">
        <v>6622</v>
      </c>
      <c r="B4422" s="80" t="s">
        <v>9515</v>
      </c>
    </row>
    <row r="4423" spans="1:2" x14ac:dyDescent="0.25">
      <c r="A4423" s="81" t="s">
        <v>6623</v>
      </c>
      <c r="B4423" s="80" t="s">
        <v>9515</v>
      </c>
    </row>
    <row r="4424" spans="1:2" x14ac:dyDescent="0.25">
      <c r="A4424" s="81" t="s">
        <v>6624</v>
      </c>
      <c r="B4424" s="80" t="s">
        <v>9515</v>
      </c>
    </row>
    <row r="4425" spans="1:2" x14ac:dyDescent="0.25">
      <c r="A4425" s="81" t="s">
        <v>6625</v>
      </c>
      <c r="B4425" s="80" t="s">
        <v>9515</v>
      </c>
    </row>
    <row r="4426" spans="1:2" x14ac:dyDescent="0.25">
      <c r="A4426" s="81" t="s">
        <v>6626</v>
      </c>
      <c r="B4426" s="80" t="s">
        <v>9515</v>
      </c>
    </row>
    <row r="4427" spans="1:2" x14ac:dyDescent="0.25">
      <c r="A4427" s="81" t="s">
        <v>6627</v>
      </c>
      <c r="B4427" s="80" t="s">
        <v>9515</v>
      </c>
    </row>
    <row r="4428" spans="1:2" x14ac:dyDescent="0.25">
      <c r="A4428" s="81" t="s">
        <v>6628</v>
      </c>
      <c r="B4428" s="80" t="s">
        <v>9515</v>
      </c>
    </row>
    <row r="4429" spans="1:2" x14ac:dyDescent="0.25">
      <c r="A4429" s="81" t="s">
        <v>6629</v>
      </c>
      <c r="B4429" s="80" t="s">
        <v>9515</v>
      </c>
    </row>
    <row r="4430" spans="1:2" x14ac:dyDescent="0.25">
      <c r="A4430" s="81" t="s">
        <v>6630</v>
      </c>
      <c r="B4430" s="80" t="s">
        <v>9515</v>
      </c>
    </row>
    <row r="4431" spans="1:2" x14ac:dyDescent="0.25">
      <c r="A4431" s="81" t="s">
        <v>6631</v>
      </c>
      <c r="B4431" s="80" t="s">
        <v>9515</v>
      </c>
    </row>
    <row r="4432" spans="1:2" x14ac:dyDescent="0.25">
      <c r="A4432" s="81" t="s">
        <v>6632</v>
      </c>
      <c r="B4432" s="80" t="s">
        <v>9515</v>
      </c>
    </row>
    <row r="4433" spans="1:2" x14ac:dyDescent="0.25">
      <c r="A4433" s="81" t="s">
        <v>6633</v>
      </c>
      <c r="B4433" s="80" t="s">
        <v>9515</v>
      </c>
    </row>
    <row r="4434" spans="1:2" x14ac:dyDescent="0.25">
      <c r="A4434" s="81" t="s">
        <v>6634</v>
      </c>
      <c r="B4434" s="80" t="s">
        <v>9515</v>
      </c>
    </row>
    <row r="4435" spans="1:2" x14ac:dyDescent="0.25">
      <c r="A4435" s="81" t="s">
        <v>6635</v>
      </c>
      <c r="B4435" s="80" t="s">
        <v>9515</v>
      </c>
    </row>
    <row r="4436" spans="1:2" x14ac:dyDescent="0.25">
      <c r="A4436" s="81" t="s">
        <v>6636</v>
      </c>
      <c r="B4436" s="80" t="s">
        <v>9515</v>
      </c>
    </row>
    <row r="4437" spans="1:2" x14ac:dyDescent="0.25">
      <c r="A4437" s="81" t="s">
        <v>6637</v>
      </c>
      <c r="B4437" s="80" t="s">
        <v>9515</v>
      </c>
    </row>
    <row r="4438" spans="1:2" x14ac:dyDescent="0.25">
      <c r="A4438" s="81" t="s">
        <v>6638</v>
      </c>
      <c r="B4438" s="80" t="s">
        <v>9515</v>
      </c>
    </row>
    <row r="4439" spans="1:2" x14ac:dyDescent="0.25">
      <c r="A4439" s="81" t="s">
        <v>6639</v>
      </c>
      <c r="B4439" s="80" t="s">
        <v>9515</v>
      </c>
    </row>
    <row r="4440" spans="1:2" x14ac:dyDescent="0.25">
      <c r="A4440" s="81" t="s">
        <v>6640</v>
      </c>
      <c r="B4440" s="80" t="s">
        <v>9515</v>
      </c>
    </row>
    <row r="4441" spans="1:2" x14ac:dyDescent="0.25">
      <c r="A4441" s="81" t="s">
        <v>6641</v>
      </c>
      <c r="B4441" s="80" t="s">
        <v>9515</v>
      </c>
    </row>
    <row r="4442" spans="1:2" x14ac:dyDescent="0.25">
      <c r="A4442" s="81" t="s">
        <v>6642</v>
      </c>
      <c r="B4442" s="80" t="s">
        <v>9515</v>
      </c>
    </row>
    <row r="4443" spans="1:2" x14ac:dyDescent="0.25">
      <c r="A4443" s="81" t="s">
        <v>6643</v>
      </c>
      <c r="B4443" s="80" t="s">
        <v>9515</v>
      </c>
    </row>
    <row r="4444" spans="1:2" x14ac:dyDescent="0.25">
      <c r="A4444" s="81" t="s">
        <v>6644</v>
      </c>
      <c r="B4444" s="80" t="s">
        <v>9515</v>
      </c>
    </row>
    <row r="4445" spans="1:2" x14ac:dyDescent="0.25">
      <c r="A4445" s="81" t="s">
        <v>6645</v>
      </c>
      <c r="B4445" s="80" t="s">
        <v>9515</v>
      </c>
    </row>
    <row r="4446" spans="1:2" x14ac:dyDescent="0.25">
      <c r="A4446" s="81" t="s">
        <v>6646</v>
      </c>
      <c r="B4446" s="80" t="s">
        <v>9515</v>
      </c>
    </row>
    <row r="4447" spans="1:2" x14ac:dyDescent="0.25">
      <c r="A4447" s="81" t="s">
        <v>6647</v>
      </c>
      <c r="B4447" s="80" t="s">
        <v>9515</v>
      </c>
    </row>
    <row r="4448" spans="1:2" x14ac:dyDescent="0.25">
      <c r="A4448" s="81" t="s">
        <v>6648</v>
      </c>
      <c r="B4448" s="80" t="s">
        <v>9515</v>
      </c>
    </row>
    <row r="4449" spans="1:2" x14ac:dyDescent="0.25">
      <c r="A4449" s="81" t="s">
        <v>6649</v>
      </c>
      <c r="B4449" s="80" t="s">
        <v>9515</v>
      </c>
    </row>
    <row r="4450" spans="1:2" x14ac:dyDescent="0.25">
      <c r="A4450" s="81" t="s">
        <v>6650</v>
      </c>
      <c r="B4450" s="80" t="s">
        <v>9515</v>
      </c>
    </row>
    <row r="4451" spans="1:2" x14ac:dyDescent="0.25">
      <c r="A4451" s="81" t="s">
        <v>6651</v>
      </c>
      <c r="B4451" s="80" t="s">
        <v>9515</v>
      </c>
    </row>
    <row r="4452" spans="1:2" x14ac:dyDescent="0.25">
      <c r="A4452" s="81" t="s">
        <v>6652</v>
      </c>
      <c r="B4452" s="80" t="s">
        <v>9515</v>
      </c>
    </row>
    <row r="4453" spans="1:2" x14ac:dyDescent="0.25">
      <c r="A4453" s="81" t="s">
        <v>6653</v>
      </c>
      <c r="B4453" s="80" t="s">
        <v>9515</v>
      </c>
    </row>
    <row r="4454" spans="1:2" x14ac:dyDescent="0.25">
      <c r="A4454" s="81" t="s">
        <v>6654</v>
      </c>
      <c r="B4454" s="80" t="s">
        <v>9515</v>
      </c>
    </row>
    <row r="4455" spans="1:2" x14ac:dyDescent="0.25">
      <c r="A4455" s="81" t="s">
        <v>6655</v>
      </c>
      <c r="B4455" s="80" t="s">
        <v>9515</v>
      </c>
    </row>
    <row r="4456" spans="1:2" x14ac:dyDescent="0.25">
      <c r="A4456" s="81" t="s">
        <v>6656</v>
      </c>
      <c r="B4456" s="80" t="s">
        <v>9515</v>
      </c>
    </row>
    <row r="4457" spans="1:2" x14ac:dyDescent="0.25">
      <c r="A4457" s="81" t="s">
        <v>6657</v>
      </c>
      <c r="B4457" s="80" t="s">
        <v>9515</v>
      </c>
    </row>
    <row r="4458" spans="1:2" x14ac:dyDescent="0.25">
      <c r="A4458" s="81" t="s">
        <v>6658</v>
      </c>
      <c r="B4458" s="80" t="s">
        <v>9515</v>
      </c>
    </row>
    <row r="4459" spans="1:2" x14ac:dyDescent="0.25">
      <c r="A4459" s="81" t="s">
        <v>6659</v>
      </c>
      <c r="B4459" s="80" t="s">
        <v>9515</v>
      </c>
    </row>
    <row r="4460" spans="1:2" x14ac:dyDescent="0.25">
      <c r="A4460" s="81" t="s">
        <v>6660</v>
      </c>
      <c r="B4460" s="80" t="s">
        <v>9515</v>
      </c>
    </row>
    <row r="4461" spans="1:2" x14ac:dyDescent="0.25">
      <c r="A4461" s="81" t="s">
        <v>6661</v>
      </c>
      <c r="B4461" s="80" t="s">
        <v>9515</v>
      </c>
    </row>
    <row r="4462" spans="1:2" x14ac:dyDescent="0.25">
      <c r="A4462" s="81" t="s">
        <v>6662</v>
      </c>
      <c r="B4462" s="80" t="s">
        <v>9515</v>
      </c>
    </row>
    <row r="4463" spans="1:2" x14ac:dyDescent="0.25">
      <c r="A4463" s="81" t="s">
        <v>6663</v>
      </c>
      <c r="B4463" s="80" t="s">
        <v>9515</v>
      </c>
    </row>
    <row r="4464" spans="1:2" x14ac:dyDescent="0.25">
      <c r="A4464" s="81" t="s">
        <v>6664</v>
      </c>
      <c r="B4464" s="80" t="s">
        <v>9515</v>
      </c>
    </row>
    <row r="4465" spans="1:2" x14ac:dyDescent="0.25">
      <c r="A4465" s="81" t="s">
        <v>6665</v>
      </c>
      <c r="B4465" s="80" t="s">
        <v>9515</v>
      </c>
    </row>
    <row r="4466" spans="1:2" x14ac:dyDescent="0.25">
      <c r="A4466" s="81" t="s">
        <v>6666</v>
      </c>
      <c r="B4466" s="80" t="s">
        <v>9515</v>
      </c>
    </row>
    <row r="4467" spans="1:2" x14ac:dyDescent="0.25">
      <c r="A4467" s="81" t="s">
        <v>6667</v>
      </c>
      <c r="B4467" s="80" t="s">
        <v>9515</v>
      </c>
    </row>
    <row r="4468" spans="1:2" x14ac:dyDescent="0.25">
      <c r="A4468" s="81" t="s">
        <v>6668</v>
      </c>
      <c r="B4468" s="80" t="s">
        <v>9515</v>
      </c>
    </row>
    <row r="4469" spans="1:2" x14ac:dyDescent="0.25">
      <c r="A4469" s="81" t="s">
        <v>6669</v>
      </c>
      <c r="B4469" s="80" t="s">
        <v>9515</v>
      </c>
    </row>
    <row r="4470" spans="1:2" x14ac:dyDescent="0.25">
      <c r="A4470" s="81" t="s">
        <v>6670</v>
      </c>
      <c r="B4470" s="80" t="s">
        <v>9515</v>
      </c>
    </row>
    <row r="4471" spans="1:2" x14ac:dyDescent="0.25">
      <c r="A4471" s="81" t="s">
        <v>6671</v>
      </c>
      <c r="B4471" s="80" t="s">
        <v>9515</v>
      </c>
    </row>
    <row r="4472" spans="1:2" x14ac:dyDescent="0.25">
      <c r="A4472" s="81" t="s">
        <v>6672</v>
      </c>
      <c r="B4472" s="80" t="s">
        <v>9515</v>
      </c>
    </row>
    <row r="4473" spans="1:2" x14ac:dyDescent="0.25">
      <c r="A4473" s="81" t="s">
        <v>6673</v>
      </c>
      <c r="B4473" s="80" t="s">
        <v>9515</v>
      </c>
    </row>
    <row r="4474" spans="1:2" x14ac:dyDescent="0.25">
      <c r="A4474" s="81" t="s">
        <v>6674</v>
      </c>
      <c r="B4474" s="80" t="s">
        <v>9515</v>
      </c>
    </row>
    <row r="4475" spans="1:2" x14ac:dyDescent="0.25">
      <c r="A4475" s="81" t="s">
        <v>6675</v>
      </c>
      <c r="B4475" s="80" t="s">
        <v>9515</v>
      </c>
    </row>
    <row r="4476" spans="1:2" x14ac:dyDescent="0.25">
      <c r="A4476" s="81" t="s">
        <v>6676</v>
      </c>
      <c r="B4476" s="80" t="s">
        <v>9515</v>
      </c>
    </row>
    <row r="4477" spans="1:2" x14ac:dyDescent="0.25">
      <c r="A4477" s="81" t="s">
        <v>6677</v>
      </c>
      <c r="B4477" s="80" t="s">
        <v>9515</v>
      </c>
    </row>
    <row r="4478" spans="1:2" x14ac:dyDescent="0.25">
      <c r="A4478" s="81" t="s">
        <v>6678</v>
      </c>
      <c r="B4478" s="80" t="s">
        <v>9515</v>
      </c>
    </row>
    <row r="4479" spans="1:2" x14ac:dyDescent="0.25">
      <c r="A4479" s="81" t="s">
        <v>6679</v>
      </c>
      <c r="B4479" s="80" t="s">
        <v>9515</v>
      </c>
    </row>
    <row r="4480" spans="1:2" x14ac:dyDescent="0.25">
      <c r="A4480" s="81" t="s">
        <v>6680</v>
      </c>
      <c r="B4480" s="80" t="s">
        <v>9515</v>
      </c>
    </row>
    <row r="4481" spans="1:2" x14ac:dyDescent="0.25">
      <c r="A4481" s="81" t="s">
        <v>6681</v>
      </c>
      <c r="B4481" s="80" t="s">
        <v>9515</v>
      </c>
    </row>
    <row r="4482" spans="1:2" x14ac:dyDescent="0.25">
      <c r="A4482" s="81" t="s">
        <v>6682</v>
      </c>
      <c r="B4482" s="80" t="s">
        <v>9515</v>
      </c>
    </row>
    <row r="4483" spans="1:2" x14ac:dyDescent="0.25">
      <c r="A4483" s="81" t="s">
        <v>6683</v>
      </c>
      <c r="B4483" s="80" t="s">
        <v>9515</v>
      </c>
    </row>
    <row r="4484" spans="1:2" x14ac:dyDescent="0.25">
      <c r="A4484" s="81" t="s">
        <v>6684</v>
      </c>
      <c r="B4484" s="80" t="s">
        <v>9515</v>
      </c>
    </row>
    <row r="4485" spans="1:2" x14ac:dyDescent="0.25">
      <c r="A4485" s="81" t="s">
        <v>6685</v>
      </c>
      <c r="B4485" s="80" t="s">
        <v>9515</v>
      </c>
    </row>
    <row r="4486" spans="1:2" x14ac:dyDescent="0.25">
      <c r="A4486" s="81" t="s">
        <v>6686</v>
      </c>
      <c r="B4486" s="80" t="s">
        <v>9515</v>
      </c>
    </row>
    <row r="4487" spans="1:2" x14ac:dyDescent="0.25">
      <c r="A4487" s="81" t="s">
        <v>6687</v>
      </c>
      <c r="B4487" s="80" t="s">
        <v>9515</v>
      </c>
    </row>
    <row r="4488" spans="1:2" x14ac:dyDescent="0.25">
      <c r="A4488" s="81" t="s">
        <v>6688</v>
      </c>
      <c r="B4488" s="80" t="s">
        <v>9515</v>
      </c>
    </row>
    <row r="4489" spans="1:2" x14ac:dyDescent="0.25">
      <c r="A4489" s="81" t="s">
        <v>6689</v>
      </c>
      <c r="B4489" s="80" t="s">
        <v>9515</v>
      </c>
    </row>
    <row r="4490" spans="1:2" x14ac:dyDescent="0.25">
      <c r="A4490" s="81" t="s">
        <v>6690</v>
      </c>
      <c r="B4490" s="80" t="s">
        <v>9515</v>
      </c>
    </row>
    <row r="4491" spans="1:2" x14ac:dyDescent="0.25">
      <c r="A4491" s="81" t="s">
        <v>6691</v>
      </c>
      <c r="B4491" s="80" t="s">
        <v>9515</v>
      </c>
    </row>
    <row r="4492" spans="1:2" x14ac:dyDescent="0.25">
      <c r="A4492" s="81" t="s">
        <v>6692</v>
      </c>
      <c r="B4492" s="80" t="s">
        <v>9515</v>
      </c>
    </row>
    <row r="4493" spans="1:2" x14ac:dyDescent="0.25">
      <c r="A4493" s="81" t="s">
        <v>6693</v>
      </c>
      <c r="B4493" s="80" t="s">
        <v>9515</v>
      </c>
    </row>
    <row r="4494" spans="1:2" x14ac:dyDescent="0.25">
      <c r="A4494" s="81" t="s">
        <v>6694</v>
      </c>
      <c r="B4494" s="80" t="s">
        <v>9515</v>
      </c>
    </row>
    <row r="4495" spans="1:2" x14ac:dyDescent="0.25">
      <c r="A4495" s="81" t="s">
        <v>6695</v>
      </c>
      <c r="B4495" s="80" t="s">
        <v>9515</v>
      </c>
    </row>
    <row r="4496" spans="1:2" x14ac:dyDescent="0.25">
      <c r="A4496" s="81" t="s">
        <v>6696</v>
      </c>
      <c r="B4496" s="80" t="s">
        <v>9515</v>
      </c>
    </row>
    <row r="4497" spans="1:2" x14ac:dyDescent="0.25">
      <c r="A4497" s="81" t="s">
        <v>6697</v>
      </c>
      <c r="B4497" s="80" t="s">
        <v>9515</v>
      </c>
    </row>
    <row r="4498" spans="1:2" x14ac:dyDescent="0.25">
      <c r="A4498" s="81" t="s">
        <v>6698</v>
      </c>
      <c r="B4498" s="80" t="s">
        <v>9515</v>
      </c>
    </row>
    <row r="4499" spans="1:2" x14ac:dyDescent="0.25">
      <c r="A4499" s="81" t="s">
        <v>6699</v>
      </c>
      <c r="B4499" s="80" t="s">
        <v>9515</v>
      </c>
    </row>
    <row r="4500" spans="1:2" x14ac:dyDescent="0.25">
      <c r="A4500" s="81" t="s">
        <v>6700</v>
      </c>
      <c r="B4500" s="80" t="s">
        <v>9515</v>
      </c>
    </row>
    <row r="4501" spans="1:2" x14ac:dyDescent="0.25">
      <c r="A4501" s="81" t="s">
        <v>6701</v>
      </c>
      <c r="B4501" s="80" t="s">
        <v>9515</v>
      </c>
    </row>
    <row r="4502" spans="1:2" x14ac:dyDescent="0.25">
      <c r="A4502" s="81" t="s">
        <v>6702</v>
      </c>
      <c r="B4502" s="80" t="s">
        <v>9515</v>
      </c>
    </row>
    <row r="4503" spans="1:2" x14ac:dyDescent="0.25">
      <c r="A4503" s="81" t="s">
        <v>6703</v>
      </c>
      <c r="B4503" s="80" t="s">
        <v>9515</v>
      </c>
    </row>
    <row r="4504" spans="1:2" x14ac:dyDescent="0.25">
      <c r="A4504" s="81" t="s">
        <v>6704</v>
      </c>
      <c r="B4504" s="80" t="s">
        <v>9515</v>
      </c>
    </row>
    <row r="4505" spans="1:2" x14ac:dyDescent="0.25">
      <c r="A4505" s="81" t="s">
        <v>6705</v>
      </c>
      <c r="B4505" s="80" t="s">
        <v>9515</v>
      </c>
    </row>
    <row r="4506" spans="1:2" x14ac:dyDescent="0.25">
      <c r="A4506" s="81" t="s">
        <v>6706</v>
      </c>
      <c r="B4506" s="80" t="s">
        <v>9515</v>
      </c>
    </row>
    <row r="4507" spans="1:2" x14ac:dyDescent="0.25">
      <c r="A4507" s="81" t="s">
        <v>6707</v>
      </c>
      <c r="B4507" s="80" t="s">
        <v>9515</v>
      </c>
    </row>
    <row r="4508" spans="1:2" x14ac:dyDescent="0.25">
      <c r="A4508" s="81" t="s">
        <v>6708</v>
      </c>
      <c r="B4508" s="80" t="s">
        <v>9515</v>
      </c>
    </row>
    <row r="4509" spans="1:2" x14ac:dyDescent="0.25">
      <c r="A4509" s="81" t="s">
        <v>6709</v>
      </c>
      <c r="B4509" s="80" t="s">
        <v>9515</v>
      </c>
    </row>
    <row r="4510" spans="1:2" x14ac:dyDescent="0.25">
      <c r="A4510" s="81" t="s">
        <v>6710</v>
      </c>
      <c r="B4510" s="80" t="s">
        <v>9515</v>
      </c>
    </row>
    <row r="4511" spans="1:2" x14ac:dyDescent="0.25">
      <c r="A4511" s="81" t="s">
        <v>6711</v>
      </c>
      <c r="B4511" s="80" t="s">
        <v>9515</v>
      </c>
    </row>
    <row r="4512" spans="1:2" x14ac:dyDescent="0.25">
      <c r="A4512" s="81" t="s">
        <v>6712</v>
      </c>
      <c r="B4512" s="80" t="s">
        <v>9515</v>
      </c>
    </row>
    <row r="4513" spans="1:2" x14ac:dyDescent="0.25">
      <c r="A4513" s="81" t="s">
        <v>6713</v>
      </c>
      <c r="B4513" s="80" t="s">
        <v>9515</v>
      </c>
    </row>
    <row r="4514" spans="1:2" x14ac:dyDescent="0.25">
      <c r="A4514" s="81" t="s">
        <v>6714</v>
      </c>
      <c r="B4514" s="80" t="s">
        <v>9515</v>
      </c>
    </row>
    <row r="4515" spans="1:2" x14ac:dyDescent="0.25">
      <c r="A4515" s="81" t="s">
        <v>6715</v>
      </c>
      <c r="B4515" s="80" t="s">
        <v>9515</v>
      </c>
    </row>
    <row r="4516" spans="1:2" x14ac:dyDescent="0.25">
      <c r="A4516" s="81" t="s">
        <v>6716</v>
      </c>
      <c r="B4516" s="80" t="s">
        <v>9515</v>
      </c>
    </row>
    <row r="4517" spans="1:2" x14ac:dyDescent="0.25">
      <c r="A4517" s="81" t="s">
        <v>6717</v>
      </c>
      <c r="B4517" s="80" t="s">
        <v>9515</v>
      </c>
    </row>
    <row r="4518" spans="1:2" x14ac:dyDescent="0.25">
      <c r="A4518" s="81" t="s">
        <v>6718</v>
      </c>
      <c r="B4518" s="80" t="s">
        <v>9515</v>
      </c>
    </row>
    <row r="4519" spans="1:2" x14ac:dyDescent="0.25">
      <c r="A4519" s="81" t="s">
        <v>6719</v>
      </c>
      <c r="B4519" s="80" t="s">
        <v>9515</v>
      </c>
    </row>
    <row r="4520" spans="1:2" x14ac:dyDescent="0.25">
      <c r="A4520" s="81" t="s">
        <v>6720</v>
      </c>
      <c r="B4520" s="80" t="s">
        <v>9515</v>
      </c>
    </row>
    <row r="4521" spans="1:2" x14ac:dyDescent="0.25">
      <c r="A4521" s="81" t="s">
        <v>6721</v>
      </c>
      <c r="B4521" s="80" t="s">
        <v>9515</v>
      </c>
    </row>
    <row r="4522" spans="1:2" x14ac:dyDescent="0.25">
      <c r="A4522" s="81" t="s">
        <v>6722</v>
      </c>
      <c r="B4522" s="80" t="s">
        <v>9515</v>
      </c>
    </row>
    <row r="4523" spans="1:2" x14ac:dyDescent="0.25">
      <c r="A4523" s="81" t="s">
        <v>6723</v>
      </c>
      <c r="B4523" s="80" t="s">
        <v>9515</v>
      </c>
    </row>
    <row r="4524" spans="1:2" x14ac:dyDescent="0.25">
      <c r="A4524" s="81" t="s">
        <v>6724</v>
      </c>
      <c r="B4524" s="80" t="s">
        <v>9515</v>
      </c>
    </row>
    <row r="4525" spans="1:2" x14ac:dyDescent="0.25">
      <c r="A4525" s="81" t="s">
        <v>6725</v>
      </c>
      <c r="B4525" s="80" t="s">
        <v>9515</v>
      </c>
    </row>
    <row r="4526" spans="1:2" x14ac:dyDescent="0.25">
      <c r="A4526" s="81" t="s">
        <v>6726</v>
      </c>
      <c r="B4526" s="80" t="s">
        <v>9515</v>
      </c>
    </row>
    <row r="4527" spans="1:2" x14ac:dyDescent="0.25">
      <c r="A4527" s="81" t="s">
        <v>6727</v>
      </c>
      <c r="B4527" s="80" t="s">
        <v>9515</v>
      </c>
    </row>
    <row r="4528" spans="1:2" x14ac:dyDescent="0.25">
      <c r="A4528" s="81" t="s">
        <v>6728</v>
      </c>
      <c r="B4528" s="80" t="s">
        <v>9515</v>
      </c>
    </row>
    <row r="4529" spans="1:2" x14ac:dyDescent="0.25">
      <c r="A4529" s="81" t="s">
        <v>6729</v>
      </c>
      <c r="B4529" s="80" t="s">
        <v>9515</v>
      </c>
    </row>
    <row r="4530" spans="1:2" x14ac:dyDescent="0.25">
      <c r="A4530" s="81" t="s">
        <v>6730</v>
      </c>
      <c r="B4530" s="80" t="s">
        <v>9515</v>
      </c>
    </row>
    <row r="4531" spans="1:2" x14ac:dyDescent="0.25">
      <c r="A4531" s="81" t="s">
        <v>6731</v>
      </c>
      <c r="B4531" s="80" t="s">
        <v>9515</v>
      </c>
    </row>
    <row r="4532" spans="1:2" x14ac:dyDescent="0.25">
      <c r="A4532" s="81" t="s">
        <v>6732</v>
      </c>
      <c r="B4532" s="80" t="s">
        <v>9515</v>
      </c>
    </row>
    <row r="4533" spans="1:2" x14ac:dyDescent="0.25">
      <c r="A4533" s="81" t="s">
        <v>6733</v>
      </c>
      <c r="B4533" s="80" t="s">
        <v>9515</v>
      </c>
    </row>
    <row r="4534" spans="1:2" x14ac:dyDescent="0.25">
      <c r="A4534" s="81" t="s">
        <v>6734</v>
      </c>
      <c r="B4534" s="80" t="s">
        <v>9515</v>
      </c>
    </row>
    <row r="4535" spans="1:2" x14ac:dyDescent="0.25">
      <c r="A4535" s="81" t="s">
        <v>6735</v>
      </c>
      <c r="B4535" s="80" t="s">
        <v>9515</v>
      </c>
    </row>
    <row r="4536" spans="1:2" x14ac:dyDescent="0.25">
      <c r="A4536" s="81" t="s">
        <v>6736</v>
      </c>
      <c r="B4536" s="80" t="s">
        <v>9515</v>
      </c>
    </row>
    <row r="4537" spans="1:2" x14ac:dyDescent="0.25">
      <c r="A4537" s="81" t="s">
        <v>6737</v>
      </c>
      <c r="B4537" s="80" t="s">
        <v>9515</v>
      </c>
    </row>
    <row r="4538" spans="1:2" x14ac:dyDescent="0.25">
      <c r="A4538" s="81" t="s">
        <v>6738</v>
      </c>
      <c r="B4538" s="80" t="s">
        <v>9515</v>
      </c>
    </row>
    <row r="4539" spans="1:2" x14ac:dyDescent="0.25">
      <c r="A4539" s="81" t="s">
        <v>6739</v>
      </c>
      <c r="B4539" s="80" t="s">
        <v>9515</v>
      </c>
    </row>
    <row r="4540" spans="1:2" x14ac:dyDescent="0.25">
      <c r="A4540" s="81" t="s">
        <v>6740</v>
      </c>
      <c r="B4540" s="80" t="s">
        <v>9515</v>
      </c>
    </row>
    <row r="4541" spans="1:2" x14ac:dyDescent="0.25">
      <c r="A4541" s="81" t="s">
        <v>6741</v>
      </c>
      <c r="B4541" s="80" t="s">
        <v>9515</v>
      </c>
    </row>
    <row r="4542" spans="1:2" x14ac:dyDescent="0.25">
      <c r="A4542" s="81" t="s">
        <v>6742</v>
      </c>
      <c r="B4542" s="80" t="s">
        <v>9515</v>
      </c>
    </row>
    <row r="4543" spans="1:2" x14ac:dyDescent="0.25">
      <c r="A4543" s="81" t="s">
        <v>6743</v>
      </c>
      <c r="B4543" s="80" t="s">
        <v>9515</v>
      </c>
    </row>
    <row r="4544" spans="1:2" x14ac:dyDescent="0.25">
      <c r="A4544" s="81" t="s">
        <v>6744</v>
      </c>
      <c r="B4544" s="80" t="s">
        <v>9515</v>
      </c>
    </row>
    <row r="4545" spans="1:2" x14ac:dyDescent="0.25">
      <c r="A4545" s="81" t="s">
        <v>6745</v>
      </c>
      <c r="B4545" s="80" t="s">
        <v>9515</v>
      </c>
    </row>
    <row r="4546" spans="1:2" x14ac:dyDescent="0.25">
      <c r="A4546" s="81" t="s">
        <v>6746</v>
      </c>
      <c r="B4546" s="80" t="s">
        <v>9515</v>
      </c>
    </row>
    <row r="4547" spans="1:2" x14ac:dyDescent="0.25">
      <c r="A4547" s="81" t="s">
        <v>6747</v>
      </c>
      <c r="B4547" s="80" t="s">
        <v>9515</v>
      </c>
    </row>
    <row r="4548" spans="1:2" x14ac:dyDescent="0.25">
      <c r="A4548" s="81" t="s">
        <v>6748</v>
      </c>
      <c r="B4548" s="80" t="s">
        <v>9515</v>
      </c>
    </row>
    <row r="4549" spans="1:2" x14ac:dyDescent="0.25">
      <c r="A4549" s="81" t="s">
        <v>6749</v>
      </c>
      <c r="B4549" s="80" t="s">
        <v>9515</v>
      </c>
    </row>
    <row r="4550" spans="1:2" x14ac:dyDescent="0.25">
      <c r="A4550" s="81" t="s">
        <v>6750</v>
      </c>
      <c r="B4550" s="80" t="s">
        <v>9515</v>
      </c>
    </row>
    <row r="4551" spans="1:2" x14ac:dyDescent="0.25">
      <c r="A4551" s="81" t="s">
        <v>6751</v>
      </c>
      <c r="B4551" s="80" t="s">
        <v>9515</v>
      </c>
    </row>
    <row r="4552" spans="1:2" x14ac:dyDescent="0.25">
      <c r="A4552" s="81" t="s">
        <v>6752</v>
      </c>
      <c r="B4552" s="80" t="s">
        <v>9515</v>
      </c>
    </row>
    <row r="4553" spans="1:2" x14ac:dyDescent="0.25">
      <c r="A4553" s="81" t="s">
        <v>6753</v>
      </c>
      <c r="B4553" s="80" t="s">
        <v>9515</v>
      </c>
    </row>
    <row r="4554" spans="1:2" x14ac:dyDescent="0.25">
      <c r="A4554" s="81" t="s">
        <v>6754</v>
      </c>
      <c r="B4554" s="80" t="s">
        <v>9515</v>
      </c>
    </row>
    <row r="4555" spans="1:2" x14ac:dyDescent="0.25">
      <c r="A4555" s="81" t="s">
        <v>6755</v>
      </c>
      <c r="B4555" s="80" t="s">
        <v>9515</v>
      </c>
    </row>
    <row r="4556" spans="1:2" x14ac:dyDescent="0.25">
      <c r="A4556" s="81" t="s">
        <v>6756</v>
      </c>
      <c r="B4556" s="80" t="s">
        <v>9515</v>
      </c>
    </row>
    <row r="4557" spans="1:2" x14ac:dyDescent="0.25">
      <c r="A4557" s="81" t="s">
        <v>6757</v>
      </c>
      <c r="B4557" s="80" t="s">
        <v>9515</v>
      </c>
    </row>
    <row r="4558" spans="1:2" x14ac:dyDescent="0.25">
      <c r="A4558" s="81" t="s">
        <v>6758</v>
      </c>
      <c r="B4558" s="80" t="s">
        <v>9515</v>
      </c>
    </row>
    <row r="4559" spans="1:2" x14ac:dyDescent="0.25">
      <c r="A4559" s="81" t="s">
        <v>6759</v>
      </c>
      <c r="B4559" s="80" t="s">
        <v>9515</v>
      </c>
    </row>
    <row r="4560" spans="1:2" x14ac:dyDescent="0.25">
      <c r="A4560" s="81" t="s">
        <v>6760</v>
      </c>
      <c r="B4560" s="80" t="s">
        <v>9515</v>
      </c>
    </row>
    <row r="4561" spans="1:2" x14ac:dyDescent="0.25">
      <c r="A4561" s="81" t="s">
        <v>6761</v>
      </c>
      <c r="B4561" s="80" t="s">
        <v>9515</v>
      </c>
    </row>
    <row r="4562" spans="1:2" x14ac:dyDescent="0.25">
      <c r="A4562" s="81" t="s">
        <v>6762</v>
      </c>
      <c r="B4562" s="80" t="s">
        <v>9515</v>
      </c>
    </row>
    <row r="4563" spans="1:2" x14ac:dyDescent="0.25">
      <c r="A4563" s="81" t="s">
        <v>6763</v>
      </c>
      <c r="B4563" s="80" t="s">
        <v>9515</v>
      </c>
    </row>
    <row r="4564" spans="1:2" x14ac:dyDescent="0.25">
      <c r="A4564" s="81" t="s">
        <v>6764</v>
      </c>
      <c r="B4564" s="80" t="s">
        <v>9515</v>
      </c>
    </row>
    <row r="4565" spans="1:2" x14ac:dyDescent="0.25">
      <c r="A4565" s="81" t="s">
        <v>6765</v>
      </c>
      <c r="B4565" s="80" t="s">
        <v>9515</v>
      </c>
    </row>
    <row r="4566" spans="1:2" x14ac:dyDescent="0.25">
      <c r="A4566" s="81" t="s">
        <v>6766</v>
      </c>
      <c r="B4566" s="80" t="s">
        <v>9515</v>
      </c>
    </row>
    <row r="4567" spans="1:2" x14ac:dyDescent="0.25">
      <c r="A4567" s="81" t="s">
        <v>6767</v>
      </c>
      <c r="B4567" s="80" t="s">
        <v>9515</v>
      </c>
    </row>
    <row r="4568" spans="1:2" x14ac:dyDescent="0.25">
      <c r="A4568" s="81" t="s">
        <v>6768</v>
      </c>
      <c r="B4568" s="80" t="s">
        <v>9515</v>
      </c>
    </row>
    <row r="4569" spans="1:2" x14ac:dyDescent="0.25">
      <c r="A4569" s="81" t="s">
        <v>6769</v>
      </c>
      <c r="B4569" s="80" t="s">
        <v>9515</v>
      </c>
    </row>
    <row r="4570" spans="1:2" x14ac:dyDescent="0.25">
      <c r="A4570" s="81" t="s">
        <v>6770</v>
      </c>
      <c r="B4570" s="80" t="s">
        <v>9515</v>
      </c>
    </row>
    <row r="4571" spans="1:2" x14ac:dyDescent="0.25">
      <c r="A4571" s="81" t="s">
        <v>6771</v>
      </c>
      <c r="B4571" s="80" t="s">
        <v>9515</v>
      </c>
    </row>
    <row r="4572" spans="1:2" x14ac:dyDescent="0.25">
      <c r="A4572" s="81" t="s">
        <v>6772</v>
      </c>
      <c r="B4572" s="80" t="s">
        <v>9515</v>
      </c>
    </row>
    <row r="4573" spans="1:2" x14ac:dyDescent="0.25">
      <c r="A4573" s="81" t="s">
        <v>6773</v>
      </c>
      <c r="B4573" s="80" t="s">
        <v>9515</v>
      </c>
    </row>
    <row r="4574" spans="1:2" x14ac:dyDescent="0.25">
      <c r="A4574" s="81" t="s">
        <v>6774</v>
      </c>
      <c r="B4574" s="80" t="s">
        <v>9515</v>
      </c>
    </row>
    <row r="4575" spans="1:2" x14ac:dyDescent="0.25">
      <c r="A4575" s="81" t="s">
        <v>6775</v>
      </c>
      <c r="B4575" s="80" t="s">
        <v>9515</v>
      </c>
    </row>
    <row r="4576" spans="1:2" x14ac:dyDescent="0.25">
      <c r="A4576" s="81" t="s">
        <v>6776</v>
      </c>
      <c r="B4576" s="80" t="s">
        <v>9515</v>
      </c>
    </row>
    <row r="4577" spans="1:2" x14ac:dyDescent="0.25">
      <c r="A4577" s="81" t="s">
        <v>6777</v>
      </c>
      <c r="B4577" s="80" t="s">
        <v>9515</v>
      </c>
    </row>
    <row r="4578" spans="1:2" x14ac:dyDescent="0.25">
      <c r="A4578" s="81" t="s">
        <v>6778</v>
      </c>
      <c r="B4578" s="80" t="s">
        <v>9515</v>
      </c>
    </row>
    <row r="4579" spans="1:2" x14ac:dyDescent="0.25">
      <c r="A4579" s="81" t="s">
        <v>6779</v>
      </c>
      <c r="B4579" s="80" t="s">
        <v>9515</v>
      </c>
    </row>
    <row r="4580" spans="1:2" x14ac:dyDescent="0.25">
      <c r="A4580" s="81" t="s">
        <v>6780</v>
      </c>
      <c r="B4580" s="80" t="s">
        <v>9515</v>
      </c>
    </row>
    <row r="4581" spans="1:2" x14ac:dyDescent="0.25">
      <c r="A4581" s="81" t="s">
        <v>6781</v>
      </c>
      <c r="B4581" s="80" t="s">
        <v>9515</v>
      </c>
    </row>
    <row r="4582" spans="1:2" x14ac:dyDescent="0.25">
      <c r="A4582" s="81" t="s">
        <v>6782</v>
      </c>
      <c r="B4582" s="80" t="s">
        <v>9515</v>
      </c>
    </row>
    <row r="4583" spans="1:2" x14ac:dyDescent="0.25">
      <c r="A4583" s="81" t="s">
        <v>6783</v>
      </c>
      <c r="B4583" s="80" t="s">
        <v>9515</v>
      </c>
    </row>
    <row r="4584" spans="1:2" x14ac:dyDescent="0.25">
      <c r="A4584" s="81" t="s">
        <v>6784</v>
      </c>
      <c r="B4584" s="80" t="s">
        <v>9515</v>
      </c>
    </row>
    <row r="4585" spans="1:2" x14ac:dyDescent="0.25">
      <c r="A4585" s="81" t="s">
        <v>6785</v>
      </c>
      <c r="B4585" s="80" t="s">
        <v>9515</v>
      </c>
    </row>
    <row r="4586" spans="1:2" x14ac:dyDescent="0.25">
      <c r="A4586" s="81" t="s">
        <v>6786</v>
      </c>
      <c r="B4586" s="80" t="s">
        <v>9515</v>
      </c>
    </row>
    <row r="4587" spans="1:2" x14ac:dyDescent="0.25">
      <c r="A4587" s="81" t="s">
        <v>6787</v>
      </c>
      <c r="B4587" s="80" t="s">
        <v>9515</v>
      </c>
    </row>
    <row r="4588" spans="1:2" x14ac:dyDescent="0.25">
      <c r="A4588" s="81" t="s">
        <v>6788</v>
      </c>
      <c r="B4588" s="80" t="s">
        <v>9515</v>
      </c>
    </row>
    <row r="4589" spans="1:2" x14ac:dyDescent="0.25">
      <c r="A4589" s="81" t="s">
        <v>6789</v>
      </c>
      <c r="B4589" s="80" t="s">
        <v>9515</v>
      </c>
    </row>
    <row r="4590" spans="1:2" x14ac:dyDescent="0.25">
      <c r="A4590" s="81" t="s">
        <v>6790</v>
      </c>
      <c r="B4590" s="80" t="s">
        <v>9515</v>
      </c>
    </row>
    <row r="4591" spans="1:2" x14ac:dyDescent="0.25">
      <c r="A4591" s="81" t="s">
        <v>6791</v>
      </c>
      <c r="B4591" s="80" t="s">
        <v>9515</v>
      </c>
    </row>
    <row r="4592" spans="1:2" x14ac:dyDescent="0.25">
      <c r="A4592" s="81" t="s">
        <v>6792</v>
      </c>
      <c r="B4592" s="80" t="s">
        <v>9515</v>
      </c>
    </row>
    <row r="4593" spans="1:2" x14ac:dyDescent="0.25">
      <c r="A4593" s="81" t="s">
        <v>6793</v>
      </c>
      <c r="B4593" s="80" t="s">
        <v>9515</v>
      </c>
    </row>
    <row r="4594" spans="1:2" x14ac:dyDescent="0.25">
      <c r="A4594" s="81" t="s">
        <v>6794</v>
      </c>
      <c r="B4594" s="80" t="s">
        <v>9515</v>
      </c>
    </row>
    <row r="4595" spans="1:2" x14ac:dyDescent="0.25">
      <c r="A4595" s="81" t="s">
        <v>6795</v>
      </c>
      <c r="B4595" s="80" t="s">
        <v>9515</v>
      </c>
    </row>
    <row r="4596" spans="1:2" x14ac:dyDescent="0.25">
      <c r="A4596" s="81" t="s">
        <v>6796</v>
      </c>
      <c r="B4596" s="80" t="s">
        <v>9515</v>
      </c>
    </row>
    <row r="4597" spans="1:2" x14ac:dyDescent="0.25">
      <c r="A4597" s="81" t="s">
        <v>6797</v>
      </c>
      <c r="B4597" s="80" t="s">
        <v>9515</v>
      </c>
    </row>
    <row r="4598" spans="1:2" x14ac:dyDescent="0.25">
      <c r="A4598" s="81" t="s">
        <v>6798</v>
      </c>
      <c r="B4598" s="80" t="s">
        <v>9515</v>
      </c>
    </row>
    <row r="4599" spans="1:2" x14ac:dyDescent="0.25">
      <c r="A4599" s="81" t="s">
        <v>6799</v>
      </c>
      <c r="B4599" s="80" t="s">
        <v>9515</v>
      </c>
    </row>
    <row r="4600" spans="1:2" x14ac:dyDescent="0.25">
      <c r="A4600" s="81" t="s">
        <v>6800</v>
      </c>
      <c r="B4600" s="80" t="s">
        <v>9515</v>
      </c>
    </row>
    <row r="4601" spans="1:2" x14ac:dyDescent="0.25">
      <c r="A4601" s="81" t="s">
        <v>6801</v>
      </c>
      <c r="B4601" s="80" t="s">
        <v>9515</v>
      </c>
    </row>
    <row r="4602" spans="1:2" x14ac:dyDescent="0.25">
      <c r="A4602" s="81" t="s">
        <v>6802</v>
      </c>
      <c r="B4602" s="80" t="s">
        <v>9515</v>
      </c>
    </row>
    <row r="4603" spans="1:2" x14ac:dyDescent="0.25">
      <c r="A4603" s="81" t="s">
        <v>6803</v>
      </c>
      <c r="B4603" s="80" t="s">
        <v>9515</v>
      </c>
    </row>
    <row r="4604" spans="1:2" x14ac:dyDescent="0.25">
      <c r="A4604" s="81" t="s">
        <v>6804</v>
      </c>
      <c r="B4604" s="80" t="s">
        <v>9515</v>
      </c>
    </row>
    <row r="4605" spans="1:2" x14ac:dyDescent="0.25">
      <c r="A4605" s="81" t="s">
        <v>6805</v>
      </c>
      <c r="B4605" s="80" t="s">
        <v>9515</v>
      </c>
    </row>
    <row r="4606" spans="1:2" x14ac:dyDescent="0.25">
      <c r="A4606" s="81" t="s">
        <v>6806</v>
      </c>
      <c r="B4606" s="80" t="s">
        <v>9515</v>
      </c>
    </row>
    <row r="4607" spans="1:2" x14ac:dyDescent="0.25">
      <c r="A4607" s="81" t="s">
        <v>6807</v>
      </c>
      <c r="B4607" s="80" t="s">
        <v>9515</v>
      </c>
    </row>
    <row r="4608" spans="1:2" x14ac:dyDescent="0.25">
      <c r="A4608" s="81" t="s">
        <v>6808</v>
      </c>
      <c r="B4608" s="80" t="s">
        <v>9515</v>
      </c>
    </row>
    <row r="4609" spans="1:2" x14ac:dyDescent="0.25">
      <c r="A4609" s="81" t="s">
        <v>6809</v>
      </c>
      <c r="B4609" s="80" t="s">
        <v>9515</v>
      </c>
    </row>
    <row r="4610" spans="1:2" x14ac:dyDescent="0.25">
      <c r="A4610" s="81" t="s">
        <v>6810</v>
      </c>
      <c r="B4610" s="80" t="s">
        <v>9515</v>
      </c>
    </row>
    <row r="4611" spans="1:2" x14ac:dyDescent="0.25">
      <c r="A4611" s="81" t="s">
        <v>6811</v>
      </c>
      <c r="B4611" s="80" t="s">
        <v>9515</v>
      </c>
    </row>
    <row r="4612" spans="1:2" x14ac:dyDescent="0.25">
      <c r="A4612" s="81" t="s">
        <v>6812</v>
      </c>
      <c r="B4612" s="80" t="s">
        <v>9515</v>
      </c>
    </row>
    <row r="4613" spans="1:2" x14ac:dyDescent="0.25">
      <c r="A4613" s="81" t="s">
        <v>6813</v>
      </c>
      <c r="B4613" s="80" t="s">
        <v>9515</v>
      </c>
    </row>
    <row r="4614" spans="1:2" x14ac:dyDescent="0.25">
      <c r="A4614" s="81" t="s">
        <v>6814</v>
      </c>
      <c r="B4614" s="80" t="s">
        <v>9515</v>
      </c>
    </row>
    <row r="4615" spans="1:2" x14ac:dyDescent="0.25">
      <c r="A4615" s="81" t="s">
        <v>6815</v>
      </c>
      <c r="B4615" s="80" t="s">
        <v>9515</v>
      </c>
    </row>
    <row r="4616" spans="1:2" x14ac:dyDescent="0.25">
      <c r="A4616" s="81" t="s">
        <v>6816</v>
      </c>
      <c r="B4616" s="80" t="s">
        <v>9515</v>
      </c>
    </row>
    <row r="4617" spans="1:2" x14ac:dyDescent="0.25">
      <c r="A4617" s="81" t="s">
        <v>6817</v>
      </c>
      <c r="B4617" s="80" t="s">
        <v>9515</v>
      </c>
    </row>
    <row r="4618" spans="1:2" x14ac:dyDescent="0.25">
      <c r="A4618" s="81" t="s">
        <v>6818</v>
      </c>
      <c r="B4618" s="80" t="s">
        <v>9515</v>
      </c>
    </row>
    <row r="4619" spans="1:2" x14ac:dyDescent="0.25">
      <c r="A4619" s="81" t="s">
        <v>6819</v>
      </c>
      <c r="B4619" s="80" t="s">
        <v>9515</v>
      </c>
    </row>
    <row r="4620" spans="1:2" x14ac:dyDescent="0.25">
      <c r="A4620" s="81" t="s">
        <v>6820</v>
      </c>
      <c r="B4620" s="80" t="s">
        <v>9515</v>
      </c>
    </row>
    <row r="4621" spans="1:2" x14ac:dyDescent="0.25">
      <c r="A4621" s="81" t="s">
        <v>6821</v>
      </c>
      <c r="B4621" s="80" t="s">
        <v>9515</v>
      </c>
    </row>
    <row r="4622" spans="1:2" x14ac:dyDescent="0.25">
      <c r="A4622" s="81" t="s">
        <v>6822</v>
      </c>
      <c r="B4622" s="80" t="s">
        <v>9515</v>
      </c>
    </row>
    <row r="4623" spans="1:2" x14ac:dyDescent="0.25">
      <c r="A4623" s="81" t="s">
        <v>6823</v>
      </c>
      <c r="B4623" s="80" t="s">
        <v>9515</v>
      </c>
    </row>
    <row r="4624" spans="1:2" x14ac:dyDescent="0.25">
      <c r="A4624" s="81" t="s">
        <v>6824</v>
      </c>
      <c r="B4624" s="80" t="s">
        <v>9515</v>
      </c>
    </row>
    <row r="4625" spans="1:2" x14ac:dyDescent="0.25">
      <c r="A4625" s="81" t="s">
        <v>6825</v>
      </c>
      <c r="B4625" s="80" t="s">
        <v>9515</v>
      </c>
    </row>
    <row r="4626" spans="1:2" x14ac:dyDescent="0.25">
      <c r="A4626" s="81" t="s">
        <v>6826</v>
      </c>
      <c r="B4626" s="80" t="s">
        <v>9515</v>
      </c>
    </row>
    <row r="4627" spans="1:2" x14ac:dyDescent="0.25">
      <c r="A4627" s="81" t="s">
        <v>6827</v>
      </c>
      <c r="B4627" s="80" t="s">
        <v>9515</v>
      </c>
    </row>
    <row r="4628" spans="1:2" x14ac:dyDescent="0.25">
      <c r="A4628" s="81" t="s">
        <v>6828</v>
      </c>
      <c r="B4628" s="80" t="s">
        <v>9515</v>
      </c>
    </row>
    <row r="4629" spans="1:2" x14ac:dyDescent="0.25">
      <c r="A4629" s="81" t="s">
        <v>6829</v>
      </c>
      <c r="B4629" s="80" t="s">
        <v>9515</v>
      </c>
    </row>
    <row r="4630" spans="1:2" x14ac:dyDescent="0.25">
      <c r="A4630" s="81" t="s">
        <v>6830</v>
      </c>
      <c r="B4630" s="80" t="s">
        <v>9515</v>
      </c>
    </row>
    <row r="4631" spans="1:2" x14ac:dyDescent="0.25">
      <c r="A4631" s="81" t="s">
        <v>6831</v>
      </c>
      <c r="B4631" s="80" t="s">
        <v>9515</v>
      </c>
    </row>
    <row r="4632" spans="1:2" x14ac:dyDescent="0.25">
      <c r="A4632" s="81" t="s">
        <v>6832</v>
      </c>
      <c r="B4632" s="80" t="s">
        <v>9515</v>
      </c>
    </row>
    <row r="4633" spans="1:2" x14ac:dyDescent="0.25">
      <c r="A4633" s="81" t="s">
        <v>6833</v>
      </c>
      <c r="B4633" s="80" t="s">
        <v>9515</v>
      </c>
    </row>
    <row r="4634" spans="1:2" x14ac:dyDescent="0.25">
      <c r="A4634" s="81" t="s">
        <v>6834</v>
      </c>
      <c r="B4634" s="80" t="s">
        <v>9515</v>
      </c>
    </row>
    <row r="4635" spans="1:2" x14ac:dyDescent="0.25">
      <c r="A4635" s="81" t="s">
        <v>6835</v>
      </c>
      <c r="B4635" s="80" t="s">
        <v>9515</v>
      </c>
    </row>
    <row r="4636" spans="1:2" x14ac:dyDescent="0.25">
      <c r="A4636" s="81" t="s">
        <v>6836</v>
      </c>
      <c r="B4636" s="80" t="s">
        <v>9515</v>
      </c>
    </row>
    <row r="4637" spans="1:2" x14ac:dyDescent="0.25">
      <c r="A4637" s="81" t="s">
        <v>6837</v>
      </c>
      <c r="B4637" s="80" t="s">
        <v>9515</v>
      </c>
    </row>
    <row r="4638" spans="1:2" x14ac:dyDescent="0.25">
      <c r="A4638" s="81" t="s">
        <v>6838</v>
      </c>
      <c r="B4638" s="80" t="s">
        <v>9515</v>
      </c>
    </row>
    <row r="4639" spans="1:2" x14ac:dyDescent="0.25">
      <c r="A4639" s="81" t="s">
        <v>6839</v>
      </c>
      <c r="B4639" s="80" t="s">
        <v>9515</v>
      </c>
    </row>
    <row r="4640" spans="1:2" x14ac:dyDescent="0.25">
      <c r="A4640" s="81" t="s">
        <v>6840</v>
      </c>
      <c r="B4640" s="80" t="s">
        <v>9515</v>
      </c>
    </row>
    <row r="4641" spans="1:2" x14ac:dyDescent="0.25">
      <c r="A4641" s="81" t="s">
        <v>6841</v>
      </c>
      <c r="B4641" s="80" t="s">
        <v>9515</v>
      </c>
    </row>
    <row r="4642" spans="1:2" x14ac:dyDescent="0.25">
      <c r="A4642" s="81" t="s">
        <v>6842</v>
      </c>
      <c r="B4642" s="80" t="s">
        <v>9515</v>
      </c>
    </row>
    <row r="4643" spans="1:2" x14ac:dyDescent="0.25">
      <c r="A4643" s="81" t="s">
        <v>6843</v>
      </c>
      <c r="B4643" s="80" t="s">
        <v>9515</v>
      </c>
    </row>
    <row r="4644" spans="1:2" x14ac:dyDescent="0.25">
      <c r="A4644" s="81" t="s">
        <v>6844</v>
      </c>
      <c r="B4644" s="80" t="s">
        <v>9515</v>
      </c>
    </row>
    <row r="4645" spans="1:2" x14ac:dyDescent="0.25">
      <c r="A4645" s="81" t="s">
        <v>6845</v>
      </c>
      <c r="B4645" s="80" t="s">
        <v>9515</v>
      </c>
    </row>
    <row r="4646" spans="1:2" x14ac:dyDescent="0.25">
      <c r="A4646" s="81" t="s">
        <v>6846</v>
      </c>
      <c r="B4646" s="80" t="s">
        <v>9515</v>
      </c>
    </row>
    <row r="4647" spans="1:2" x14ac:dyDescent="0.25">
      <c r="A4647" s="81" t="s">
        <v>6847</v>
      </c>
      <c r="B4647" s="80" t="s">
        <v>9515</v>
      </c>
    </row>
    <row r="4648" spans="1:2" x14ac:dyDescent="0.25">
      <c r="A4648" s="81" t="s">
        <v>6848</v>
      </c>
      <c r="B4648" s="80" t="s">
        <v>9515</v>
      </c>
    </row>
    <row r="4649" spans="1:2" x14ac:dyDescent="0.25">
      <c r="A4649" s="81" t="s">
        <v>6849</v>
      </c>
      <c r="B4649" s="80" t="s">
        <v>9515</v>
      </c>
    </row>
    <row r="4650" spans="1:2" x14ac:dyDescent="0.25">
      <c r="A4650" s="81" t="s">
        <v>6850</v>
      </c>
      <c r="B4650" s="80" t="s">
        <v>9515</v>
      </c>
    </row>
    <row r="4651" spans="1:2" x14ac:dyDescent="0.25">
      <c r="A4651" s="81" t="s">
        <v>6851</v>
      </c>
      <c r="B4651" s="80" t="s">
        <v>9515</v>
      </c>
    </row>
    <row r="4652" spans="1:2" x14ac:dyDescent="0.25">
      <c r="A4652" s="81" t="s">
        <v>6852</v>
      </c>
      <c r="B4652" s="80" t="s">
        <v>9515</v>
      </c>
    </row>
    <row r="4653" spans="1:2" x14ac:dyDescent="0.25">
      <c r="A4653" s="81" t="s">
        <v>6853</v>
      </c>
      <c r="B4653" s="80" t="s">
        <v>9515</v>
      </c>
    </row>
    <row r="4654" spans="1:2" x14ac:dyDescent="0.25">
      <c r="A4654" s="81" t="s">
        <v>6854</v>
      </c>
      <c r="B4654" s="80" t="s">
        <v>9515</v>
      </c>
    </row>
    <row r="4655" spans="1:2" x14ac:dyDescent="0.25">
      <c r="A4655" s="81" t="s">
        <v>6855</v>
      </c>
      <c r="B4655" s="80" t="s">
        <v>9515</v>
      </c>
    </row>
    <row r="4656" spans="1:2" x14ac:dyDescent="0.25">
      <c r="A4656" s="81" t="s">
        <v>6856</v>
      </c>
      <c r="B4656" s="80" t="s">
        <v>9515</v>
      </c>
    </row>
    <row r="4657" spans="1:2" x14ac:dyDescent="0.25">
      <c r="A4657" s="81" t="s">
        <v>6857</v>
      </c>
      <c r="B4657" s="80" t="s">
        <v>9515</v>
      </c>
    </row>
    <row r="4658" spans="1:2" x14ac:dyDescent="0.25">
      <c r="A4658" s="81" t="s">
        <v>6858</v>
      </c>
      <c r="B4658" s="80" t="s">
        <v>9515</v>
      </c>
    </row>
    <row r="4659" spans="1:2" x14ac:dyDescent="0.25">
      <c r="A4659" s="81" t="s">
        <v>6859</v>
      </c>
      <c r="B4659" s="80" t="s">
        <v>9515</v>
      </c>
    </row>
    <row r="4660" spans="1:2" x14ac:dyDescent="0.25">
      <c r="A4660" s="81" t="s">
        <v>6860</v>
      </c>
      <c r="B4660" s="80" t="s">
        <v>9515</v>
      </c>
    </row>
    <row r="4661" spans="1:2" x14ac:dyDescent="0.25">
      <c r="A4661" s="81" t="s">
        <v>6861</v>
      </c>
      <c r="B4661" s="80" t="s">
        <v>9515</v>
      </c>
    </row>
    <row r="4662" spans="1:2" x14ac:dyDescent="0.25">
      <c r="A4662" s="81" t="s">
        <v>6862</v>
      </c>
      <c r="B4662" s="80" t="s">
        <v>9515</v>
      </c>
    </row>
    <row r="4663" spans="1:2" x14ac:dyDescent="0.25">
      <c r="A4663" s="81" t="s">
        <v>6863</v>
      </c>
      <c r="B4663" s="80" t="s">
        <v>9515</v>
      </c>
    </row>
    <row r="4664" spans="1:2" x14ac:dyDescent="0.25">
      <c r="A4664" s="81" t="s">
        <v>6864</v>
      </c>
      <c r="B4664" s="80" t="s">
        <v>9515</v>
      </c>
    </row>
    <row r="4665" spans="1:2" x14ac:dyDescent="0.25">
      <c r="A4665" s="81" t="s">
        <v>6865</v>
      </c>
      <c r="B4665" s="80" t="s">
        <v>9515</v>
      </c>
    </row>
    <row r="4666" spans="1:2" x14ac:dyDescent="0.25">
      <c r="A4666" s="81" t="s">
        <v>6866</v>
      </c>
      <c r="B4666" s="80" t="s">
        <v>9515</v>
      </c>
    </row>
    <row r="4667" spans="1:2" x14ac:dyDescent="0.25">
      <c r="A4667" s="81" t="s">
        <v>6867</v>
      </c>
      <c r="B4667" s="80" t="s">
        <v>9515</v>
      </c>
    </row>
    <row r="4668" spans="1:2" x14ac:dyDescent="0.25">
      <c r="A4668" s="81" t="s">
        <v>6868</v>
      </c>
      <c r="B4668" s="80" t="s">
        <v>9515</v>
      </c>
    </row>
    <row r="4669" spans="1:2" x14ac:dyDescent="0.25">
      <c r="A4669" s="81" t="s">
        <v>6869</v>
      </c>
      <c r="B4669" s="80" t="s">
        <v>9515</v>
      </c>
    </row>
    <row r="4670" spans="1:2" x14ac:dyDescent="0.25">
      <c r="A4670" s="81" t="s">
        <v>6870</v>
      </c>
      <c r="B4670" s="80" t="s">
        <v>9515</v>
      </c>
    </row>
    <row r="4671" spans="1:2" x14ac:dyDescent="0.25">
      <c r="A4671" s="81" t="s">
        <v>6871</v>
      </c>
      <c r="B4671" s="80" t="s">
        <v>9515</v>
      </c>
    </row>
    <row r="4672" spans="1:2" x14ac:dyDescent="0.25">
      <c r="A4672" s="81" t="s">
        <v>6872</v>
      </c>
      <c r="B4672" s="80" t="s">
        <v>9515</v>
      </c>
    </row>
    <row r="4673" spans="1:2" x14ac:dyDescent="0.25">
      <c r="A4673" s="81" t="s">
        <v>6873</v>
      </c>
      <c r="B4673" s="80" t="s">
        <v>9515</v>
      </c>
    </row>
    <row r="4674" spans="1:2" x14ac:dyDescent="0.25">
      <c r="A4674" s="81" t="s">
        <v>6874</v>
      </c>
      <c r="B4674" s="80" t="s">
        <v>9515</v>
      </c>
    </row>
    <row r="4675" spans="1:2" x14ac:dyDescent="0.25">
      <c r="A4675" s="81" t="s">
        <v>6875</v>
      </c>
      <c r="B4675" s="80" t="s">
        <v>9515</v>
      </c>
    </row>
    <row r="4676" spans="1:2" x14ac:dyDescent="0.25">
      <c r="A4676" s="81" t="s">
        <v>6876</v>
      </c>
      <c r="B4676" s="80" t="s">
        <v>9515</v>
      </c>
    </row>
    <row r="4677" spans="1:2" x14ac:dyDescent="0.25">
      <c r="A4677" s="81" t="s">
        <v>6877</v>
      </c>
      <c r="B4677" s="80" t="s">
        <v>9515</v>
      </c>
    </row>
    <row r="4678" spans="1:2" x14ac:dyDescent="0.25">
      <c r="A4678" s="81" t="s">
        <v>6878</v>
      </c>
      <c r="B4678" s="80" t="s">
        <v>9515</v>
      </c>
    </row>
    <row r="4679" spans="1:2" x14ac:dyDescent="0.25">
      <c r="A4679" s="81" t="s">
        <v>6879</v>
      </c>
      <c r="B4679" s="80" t="s">
        <v>9515</v>
      </c>
    </row>
    <row r="4680" spans="1:2" x14ac:dyDescent="0.25">
      <c r="A4680" s="81" t="s">
        <v>6880</v>
      </c>
      <c r="B4680" s="80" t="s">
        <v>9515</v>
      </c>
    </row>
    <row r="4681" spans="1:2" x14ac:dyDescent="0.25">
      <c r="A4681" s="81" t="s">
        <v>6881</v>
      </c>
      <c r="B4681" s="80" t="s">
        <v>9515</v>
      </c>
    </row>
    <row r="4682" spans="1:2" x14ac:dyDescent="0.25">
      <c r="A4682" s="81" t="s">
        <v>6882</v>
      </c>
      <c r="B4682" s="80" t="s">
        <v>9515</v>
      </c>
    </row>
    <row r="4683" spans="1:2" x14ac:dyDescent="0.25">
      <c r="A4683" s="81" t="s">
        <v>6883</v>
      </c>
      <c r="B4683" s="80" t="s">
        <v>9515</v>
      </c>
    </row>
    <row r="4684" spans="1:2" x14ac:dyDescent="0.25">
      <c r="A4684" s="81" t="s">
        <v>6884</v>
      </c>
      <c r="B4684" s="80" t="s">
        <v>9515</v>
      </c>
    </row>
    <row r="4685" spans="1:2" x14ac:dyDescent="0.25">
      <c r="A4685" s="81" t="s">
        <v>6885</v>
      </c>
      <c r="B4685" s="80" t="s">
        <v>9515</v>
      </c>
    </row>
    <row r="4686" spans="1:2" x14ac:dyDescent="0.25">
      <c r="A4686" s="81" t="s">
        <v>6886</v>
      </c>
      <c r="B4686" s="80" t="s">
        <v>9515</v>
      </c>
    </row>
    <row r="4687" spans="1:2" x14ac:dyDescent="0.25">
      <c r="A4687" s="81" t="s">
        <v>6887</v>
      </c>
      <c r="B4687" s="80" t="s">
        <v>9515</v>
      </c>
    </row>
    <row r="4688" spans="1:2" x14ac:dyDescent="0.25">
      <c r="A4688" s="81" t="s">
        <v>6888</v>
      </c>
      <c r="B4688" s="80" t="s">
        <v>9515</v>
      </c>
    </row>
    <row r="4689" spans="1:2" x14ac:dyDescent="0.25">
      <c r="A4689" s="81" t="s">
        <v>6889</v>
      </c>
      <c r="B4689" s="80" t="s">
        <v>9515</v>
      </c>
    </row>
    <row r="4690" spans="1:2" x14ac:dyDescent="0.25">
      <c r="A4690" s="81" t="s">
        <v>6890</v>
      </c>
      <c r="B4690" s="80" t="s">
        <v>9515</v>
      </c>
    </row>
    <row r="4691" spans="1:2" x14ac:dyDescent="0.25">
      <c r="A4691" s="81" t="s">
        <v>6891</v>
      </c>
      <c r="B4691" s="80" t="s">
        <v>9515</v>
      </c>
    </row>
    <row r="4692" spans="1:2" x14ac:dyDescent="0.25">
      <c r="A4692" s="81" t="s">
        <v>6892</v>
      </c>
      <c r="B4692" s="80" t="s">
        <v>9515</v>
      </c>
    </row>
    <row r="4693" spans="1:2" x14ac:dyDescent="0.25">
      <c r="A4693" s="81" t="s">
        <v>6893</v>
      </c>
      <c r="B4693" s="80" t="s">
        <v>9515</v>
      </c>
    </row>
    <row r="4694" spans="1:2" x14ac:dyDescent="0.25">
      <c r="A4694" s="81" t="s">
        <v>6894</v>
      </c>
      <c r="B4694" s="80" t="s">
        <v>9515</v>
      </c>
    </row>
    <row r="4695" spans="1:2" x14ac:dyDescent="0.25">
      <c r="A4695" s="81" t="s">
        <v>6895</v>
      </c>
      <c r="B4695" s="80" t="s">
        <v>9515</v>
      </c>
    </row>
    <row r="4696" spans="1:2" x14ac:dyDescent="0.25">
      <c r="A4696" s="81" t="s">
        <v>6896</v>
      </c>
      <c r="B4696" s="80" t="s">
        <v>9515</v>
      </c>
    </row>
    <row r="4697" spans="1:2" x14ac:dyDescent="0.25">
      <c r="A4697" s="81" t="s">
        <v>6897</v>
      </c>
      <c r="B4697" s="80" t="s">
        <v>9515</v>
      </c>
    </row>
    <row r="4698" spans="1:2" x14ac:dyDescent="0.25">
      <c r="A4698" s="81" t="s">
        <v>6898</v>
      </c>
      <c r="B4698" s="80" t="s">
        <v>9515</v>
      </c>
    </row>
    <row r="4699" spans="1:2" x14ac:dyDescent="0.25">
      <c r="A4699" s="81" t="s">
        <v>6899</v>
      </c>
      <c r="B4699" s="80" t="s">
        <v>9515</v>
      </c>
    </row>
    <row r="4700" spans="1:2" x14ac:dyDescent="0.25">
      <c r="A4700" s="81" t="s">
        <v>6900</v>
      </c>
      <c r="B4700" s="80" t="s">
        <v>9515</v>
      </c>
    </row>
    <row r="4701" spans="1:2" x14ac:dyDescent="0.25">
      <c r="A4701" s="81" t="s">
        <v>6901</v>
      </c>
      <c r="B4701" s="80" t="s">
        <v>9515</v>
      </c>
    </row>
    <row r="4702" spans="1:2" x14ac:dyDescent="0.25">
      <c r="A4702" s="81" t="s">
        <v>6902</v>
      </c>
      <c r="B4702" s="80" t="s">
        <v>9515</v>
      </c>
    </row>
    <row r="4703" spans="1:2" x14ac:dyDescent="0.25">
      <c r="A4703" s="81" t="s">
        <v>6903</v>
      </c>
      <c r="B4703" s="80" t="s">
        <v>9515</v>
      </c>
    </row>
    <row r="4704" spans="1:2" x14ac:dyDescent="0.25">
      <c r="A4704" s="81" t="s">
        <v>6904</v>
      </c>
      <c r="B4704" s="80" t="s">
        <v>9515</v>
      </c>
    </row>
    <row r="4705" spans="1:2" x14ac:dyDescent="0.25">
      <c r="A4705" s="81" t="s">
        <v>6905</v>
      </c>
      <c r="B4705" s="80" t="s">
        <v>9515</v>
      </c>
    </row>
    <row r="4706" spans="1:2" x14ac:dyDescent="0.25">
      <c r="A4706" s="81" t="s">
        <v>6906</v>
      </c>
      <c r="B4706" s="80" t="s">
        <v>9515</v>
      </c>
    </row>
    <row r="4707" spans="1:2" x14ac:dyDescent="0.25">
      <c r="A4707" s="81" t="s">
        <v>6907</v>
      </c>
      <c r="B4707" s="80" t="s">
        <v>9515</v>
      </c>
    </row>
    <row r="4708" spans="1:2" x14ac:dyDescent="0.25">
      <c r="A4708" s="81" t="s">
        <v>6908</v>
      </c>
      <c r="B4708" s="80" t="s">
        <v>9515</v>
      </c>
    </row>
    <row r="4709" spans="1:2" x14ac:dyDescent="0.25">
      <c r="A4709" s="81" t="s">
        <v>6909</v>
      </c>
      <c r="B4709" s="80" t="s">
        <v>9515</v>
      </c>
    </row>
    <row r="4710" spans="1:2" x14ac:dyDescent="0.25">
      <c r="A4710" s="81" t="s">
        <v>6910</v>
      </c>
      <c r="B4710" s="80" t="s">
        <v>9515</v>
      </c>
    </row>
    <row r="4711" spans="1:2" x14ac:dyDescent="0.25">
      <c r="A4711" s="81" t="s">
        <v>6911</v>
      </c>
      <c r="B4711" s="80" t="s">
        <v>9515</v>
      </c>
    </row>
    <row r="4712" spans="1:2" x14ac:dyDescent="0.25">
      <c r="A4712" s="81" t="s">
        <v>6912</v>
      </c>
      <c r="B4712" s="80" t="s">
        <v>9515</v>
      </c>
    </row>
    <row r="4713" spans="1:2" x14ac:dyDescent="0.25">
      <c r="A4713" s="81" t="s">
        <v>6913</v>
      </c>
      <c r="B4713" s="80" t="s">
        <v>9515</v>
      </c>
    </row>
    <row r="4714" spans="1:2" x14ac:dyDescent="0.25">
      <c r="A4714" s="81" t="s">
        <v>6914</v>
      </c>
      <c r="B4714" s="80" t="s">
        <v>9515</v>
      </c>
    </row>
    <row r="4715" spans="1:2" x14ac:dyDescent="0.25">
      <c r="A4715" s="81" t="s">
        <v>6915</v>
      </c>
      <c r="B4715" s="80" t="s">
        <v>9515</v>
      </c>
    </row>
    <row r="4716" spans="1:2" x14ac:dyDescent="0.25">
      <c r="A4716" s="81" t="s">
        <v>6916</v>
      </c>
      <c r="B4716" s="80" t="s">
        <v>9515</v>
      </c>
    </row>
    <row r="4717" spans="1:2" x14ac:dyDescent="0.25">
      <c r="A4717" s="81" t="s">
        <v>6917</v>
      </c>
      <c r="B4717" s="80" t="s">
        <v>9515</v>
      </c>
    </row>
    <row r="4718" spans="1:2" x14ac:dyDescent="0.25">
      <c r="A4718" s="81" t="s">
        <v>6918</v>
      </c>
      <c r="B4718" s="80" t="s">
        <v>9515</v>
      </c>
    </row>
    <row r="4719" spans="1:2" x14ac:dyDescent="0.25">
      <c r="A4719" s="81" t="s">
        <v>6919</v>
      </c>
      <c r="B4719" s="80" t="s">
        <v>9515</v>
      </c>
    </row>
    <row r="4720" spans="1:2" x14ac:dyDescent="0.25">
      <c r="A4720" s="81" t="s">
        <v>6920</v>
      </c>
      <c r="B4720" s="80" t="s">
        <v>9515</v>
      </c>
    </row>
    <row r="4721" spans="1:2" x14ac:dyDescent="0.25">
      <c r="A4721" s="81" t="s">
        <v>6921</v>
      </c>
      <c r="B4721" s="80" t="s">
        <v>9515</v>
      </c>
    </row>
    <row r="4722" spans="1:2" x14ac:dyDescent="0.25">
      <c r="A4722" s="81" t="s">
        <v>6922</v>
      </c>
      <c r="B4722" s="80" t="s">
        <v>9515</v>
      </c>
    </row>
    <row r="4723" spans="1:2" x14ac:dyDescent="0.25">
      <c r="A4723" s="81" t="s">
        <v>6923</v>
      </c>
      <c r="B4723" s="80" t="s">
        <v>9515</v>
      </c>
    </row>
    <row r="4724" spans="1:2" x14ac:dyDescent="0.25">
      <c r="A4724" s="81" t="s">
        <v>6924</v>
      </c>
      <c r="B4724" s="80" t="s">
        <v>9515</v>
      </c>
    </row>
    <row r="4725" spans="1:2" x14ac:dyDescent="0.25">
      <c r="A4725" s="81" t="s">
        <v>6925</v>
      </c>
      <c r="B4725" s="80" t="s">
        <v>9515</v>
      </c>
    </row>
    <row r="4726" spans="1:2" x14ac:dyDescent="0.25">
      <c r="A4726" s="81" t="s">
        <v>6926</v>
      </c>
      <c r="B4726" s="80" t="s">
        <v>9515</v>
      </c>
    </row>
    <row r="4727" spans="1:2" x14ac:dyDescent="0.25">
      <c r="A4727" s="81" t="s">
        <v>6927</v>
      </c>
      <c r="B4727" s="80" t="s">
        <v>9515</v>
      </c>
    </row>
    <row r="4728" spans="1:2" x14ac:dyDescent="0.25">
      <c r="A4728" s="81" t="s">
        <v>6928</v>
      </c>
      <c r="B4728" s="80" t="s">
        <v>9515</v>
      </c>
    </row>
    <row r="4729" spans="1:2" x14ac:dyDescent="0.25">
      <c r="A4729" s="81" t="s">
        <v>6929</v>
      </c>
      <c r="B4729" s="80" t="s">
        <v>9515</v>
      </c>
    </row>
    <row r="4730" spans="1:2" x14ac:dyDescent="0.25">
      <c r="A4730" s="81" t="s">
        <v>6930</v>
      </c>
      <c r="B4730" s="80" t="s">
        <v>9515</v>
      </c>
    </row>
    <row r="4731" spans="1:2" x14ac:dyDescent="0.25">
      <c r="A4731" s="81" t="s">
        <v>6931</v>
      </c>
      <c r="B4731" s="80" t="s">
        <v>9515</v>
      </c>
    </row>
    <row r="4732" spans="1:2" x14ac:dyDescent="0.25">
      <c r="A4732" s="81" t="s">
        <v>6932</v>
      </c>
      <c r="B4732" s="80" t="s">
        <v>9515</v>
      </c>
    </row>
    <row r="4733" spans="1:2" x14ac:dyDescent="0.25">
      <c r="A4733" s="81" t="s">
        <v>6933</v>
      </c>
      <c r="B4733" s="80" t="s">
        <v>9515</v>
      </c>
    </row>
    <row r="4734" spans="1:2" x14ac:dyDescent="0.25">
      <c r="A4734" s="81" t="s">
        <v>6934</v>
      </c>
      <c r="B4734" s="80" t="s">
        <v>9515</v>
      </c>
    </row>
    <row r="4735" spans="1:2" x14ac:dyDescent="0.25">
      <c r="A4735" s="81" t="s">
        <v>6935</v>
      </c>
      <c r="B4735" s="80" t="s">
        <v>9515</v>
      </c>
    </row>
    <row r="4736" spans="1:2" x14ac:dyDescent="0.25">
      <c r="A4736" s="81" t="s">
        <v>6936</v>
      </c>
      <c r="B4736" s="80" t="s">
        <v>9515</v>
      </c>
    </row>
    <row r="4737" spans="1:2" x14ac:dyDescent="0.25">
      <c r="A4737" s="81" t="s">
        <v>6937</v>
      </c>
      <c r="B4737" s="80" t="s">
        <v>9515</v>
      </c>
    </row>
    <row r="4738" spans="1:2" x14ac:dyDescent="0.25">
      <c r="A4738" s="81" t="s">
        <v>6938</v>
      </c>
      <c r="B4738" s="80" t="s">
        <v>9515</v>
      </c>
    </row>
    <row r="4739" spans="1:2" x14ac:dyDescent="0.25">
      <c r="A4739" s="81" t="s">
        <v>6939</v>
      </c>
      <c r="B4739" s="80" t="s">
        <v>9515</v>
      </c>
    </row>
    <row r="4740" spans="1:2" x14ac:dyDescent="0.25">
      <c r="A4740" s="81" t="s">
        <v>6940</v>
      </c>
      <c r="B4740" s="80" t="s">
        <v>9515</v>
      </c>
    </row>
    <row r="4741" spans="1:2" x14ac:dyDescent="0.25">
      <c r="A4741" s="81" t="s">
        <v>6941</v>
      </c>
      <c r="B4741" s="80" t="s">
        <v>9515</v>
      </c>
    </row>
    <row r="4742" spans="1:2" x14ac:dyDescent="0.25">
      <c r="A4742" s="81" t="s">
        <v>6942</v>
      </c>
      <c r="B4742" s="80" t="s">
        <v>9515</v>
      </c>
    </row>
    <row r="4743" spans="1:2" x14ac:dyDescent="0.25">
      <c r="A4743" s="81" t="s">
        <v>6943</v>
      </c>
      <c r="B4743" s="80" t="s">
        <v>9515</v>
      </c>
    </row>
    <row r="4744" spans="1:2" x14ac:dyDescent="0.25">
      <c r="A4744" s="81" t="s">
        <v>6944</v>
      </c>
      <c r="B4744" s="80" t="s">
        <v>9515</v>
      </c>
    </row>
    <row r="4745" spans="1:2" x14ac:dyDescent="0.25">
      <c r="A4745" s="81" t="s">
        <v>6945</v>
      </c>
      <c r="B4745" s="80" t="s">
        <v>9515</v>
      </c>
    </row>
    <row r="4746" spans="1:2" x14ac:dyDescent="0.25">
      <c r="A4746" s="81" t="s">
        <v>6946</v>
      </c>
      <c r="B4746" s="80" t="s">
        <v>9515</v>
      </c>
    </row>
    <row r="4747" spans="1:2" x14ac:dyDescent="0.25">
      <c r="A4747" s="81" t="s">
        <v>6947</v>
      </c>
      <c r="B4747" s="80" t="s">
        <v>9515</v>
      </c>
    </row>
    <row r="4748" spans="1:2" x14ac:dyDescent="0.25">
      <c r="A4748" s="81" t="s">
        <v>6948</v>
      </c>
      <c r="B4748" s="80" t="s">
        <v>9515</v>
      </c>
    </row>
    <row r="4749" spans="1:2" x14ac:dyDescent="0.25">
      <c r="A4749" s="81" t="s">
        <v>6949</v>
      </c>
      <c r="B4749" s="80" t="s">
        <v>9515</v>
      </c>
    </row>
    <row r="4750" spans="1:2" x14ac:dyDescent="0.25">
      <c r="A4750" s="81" t="s">
        <v>6950</v>
      </c>
      <c r="B4750" s="80" t="s">
        <v>9515</v>
      </c>
    </row>
    <row r="4751" spans="1:2" x14ac:dyDescent="0.25">
      <c r="A4751" s="81" t="s">
        <v>6951</v>
      </c>
      <c r="B4751" s="80" t="s">
        <v>9515</v>
      </c>
    </row>
    <row r="4752" spans="1:2" x14ac:dyDescent="0.25">
      <c r="A4752" s="81" t="s">
        <v>6952</v>
      </c>
      <c r="B4752" s="80" t="s">
        <v>9515</v>
      </c>
    </row>
    <row r="4753" spans="1:2" x14ac:dyDescent="0.25">
      <c r="A4753" s="81" t="s">
        <v>6953</v>
      </c>
      <c r="B4753" s="80" t="s">
        <v>9515</v>
      </c>
    </row>
    <row r="4754" spans="1:2" x14ac:dyDescent="0.25">
      <c r="A4754" s="81" t="s">
        <v>6954</v>
      </c>
      <c r="B4754" s="80" t="s">
        <v>9515</v>
      </c>
    </row>
    <row r="4755" spans="1:2" x14ac:dyDescent="0.25">
      <c r="A4755" s="81" t="s">
        <v>6955</v>
      </c>
      <c r="B4755" s="80" t="s">
        <v>9515</v>
      </c>
    </row>
    <row r="4756" spans="1:2" x14ac:dyDescent="0.25">
      <c r="A4756" s="81" t="s">
        <v>6956</v>
      </c>
      <c r="B4756" s="80" t="s">
        <v>9515</v>
      </c>
    </row>
    <row r="4757" spans="1:2" x14ac:dyDescent="0.25">
      <c r="A4757" s="81" t="s">
        <v>6957</v>
      </c>
      <c r="B4757" s="80" t="s">
        <v>9515</v>
      </c>
    </row>
    <row r="4758" spans="1:2" x14ac:dyDescent="0.25">
      <c r="A4758" s="81" t="s">
        <v>6958</v>
      </c>
      <c r="B4758" s="80" t="s">
        <v>9515</v>
      </c>
    </row>
    <row r="4759" spans="1:2" x14ac:dyDescent="0.25">
      <c r="A4759" s="81" t="s">
        <v>6959</v>
      </c>
      <c r="B4759" s="80" t="s">
        <v>9515</v>
      </c>
    </row>
    <row r="4760" spans="1:2" x14ac:dyDescent="0.25">
      <c r="A4760" s="81" t="s">
        <v>6960</v>
      </c>
      <c r="B4760" s="80" t="s">
        <v>9515</v>
      </c>
    </row>
    <row r="4761" spans="1:2" x14ac:dyDescent="0.25">
      <c r="A4761" s="81" t="s">
        <v>6961</v>
      </c>
      <c r="B4761" s="80" t="s">
        <v>9515</v>
      </c>
    </row>
    <row r="4762" spans="1:2" x14ac:dyDescent="0.25">
      <c r="A4762" s="81" t="s">
        <v>6962</v>
      </c>
      <c r="B4762" s="80" t="s">
        <v>9515</v>
      </c>
    </row>
    <row r="4763" spans="1:2" x14ac:dyDescent="0.25">
      <c r="A4763" s="81" t="s">
        <v>6963</v>
      </c>
      <c r="B4763" s="80" t="s">
        <v>9515</v>
      </c>
    </row>
    <row r="4764" spans="1:2" x14ac:dyDescent="0.25">
      <c r="A4764" s="81" t="s">
        <v>6964</v>
      </c>
      <c r="B4764" s="80" t="s">
        <v>9515</v>
      </c>
    </row>
    <row r="4765" spans="1:2" x14ac:dyDescent="0.25">
      <c r="A4765" s="81" t="s">
        <v>6965</v>
      </c>
      <c r="B4765" s="80" t="s">
        <v>9515</v>
      </c>
    </row>
    <row r="4766" spans="1:2" x14ac:dyDescent="0.25">
      <c r="A4766" s="81" t="s">
        <v>6966</v>
      </c>
      <c r="B4766" s="80" t="s">
        <v>9515</v>
      </c>
    </row>
    <row r="4767" spans="1:2" x14ac:dyDescent="0.25">
      <c r="A4767" s="81" t="s">
        <v>6967</v>
      </c>
      <c r="B4767" s="80" t="s">
        <v>9515</v>
      </c>
    </row>
    <row r="4768" spans="1:2" x14ac:dyDescent="0.25">
      <c r="A4768" s="81" t="s">
        <v>6968</v>
      </c>
      <c r="B4768" s="80" t="s">
        <v>9515</v>
      </c>
    </row>
    <row r="4769" spans="1:2" x14ac:dyDescent="0.25">
      <c r="A4769" s="81" t="s">
        <v>6969</v>
      </c>
      <c r="B4769" s="80" t="s">
        <v>9515</v>
      </c>
    </row>
    <row r="4770" spans="1:2" x14ac:dyDescent="0.25">
      <c r="A4770" s="81" t="s">
        <v>6970</v>
      </c>
      <c r="B4770" s="80" t="s">
        <v>9515</v>
      </c>
    </row>
    <row r="4771" spans="1:2" x14ac:dyDescent="0.25">
      <c r="A4771" s="81" t="s">
        <v>6971</v>
      </c>
      <c r="B4771" s="80" t="s">
        <v>9515</v>
      </c>
    </row>
    <row r="4772" spans="1:2" x14ac:dyDescent="0.25">
      <c r="A4772" s="81" t="s">
        <v>6972</v>
      </c>
      <c r="B4772" s="80" t="s">
        <v>9515</v>
      </c>
    </row>
    <row r="4773" spans="1:2" x14ac:dyDescent="0.25">
      <c r="A4773" s="81" t="s">
        <v>6973</v>
      </c>
      <c r="B4773" s="80" t="s">
        <v>9515</v>
      </c>
    </row>
    <row r="4774" spans="1:2" x14ac:dyDescent="0.25">
      <c r="A4774" s="81" t="s">
        <v>6974</v>
      </c>
      <c r="B4774" s="80" t="s">
        <v>9515</v>
      </c>
    </row>
    <row r="4775" spans="1:2" x14ac:dyDescent="0.25">
      <c r="A4775" s="81" t="s">
        <v>6975</v>
      </c>
      <c r="B4775" s="80" t="s">
        <v>9515</v>
      </c>
    </row>
    <row r="4776" spans="1:2" x14ac:dyDescent="0.25">
      <c r="A4776" s="81" t="s">
        <v>6976</v>
      </c>
      <c r="B4776" s="80" t="s">
        <v>9515</v>
      </c>
    </row>
    <row r="4777" spans="1:2" x14ac:dyDescent="0.25">
      <c r="A4777" s="81" t="s">
        <v>6977</v>
      </c>
      <c r="B4777" s="80" t="s">
        <v>9515</v>
      </c>
    </row>
    <row r="4778" spans="1:2" x14ac:dyDescent="0.25">
      <c r="A4778" s="81" t="s">
        <v>6978</v>
      </c>
      <c r="B4778" s="80" t="s">
        <v>9515</v>
      </c>
    </row>
    <row r="4779" spans="1:2" x14ac:dyDescent="0.25">
      <c r="A4779" s="81" t="s">
        <v>6979</v>
      </c>
      <c r="B4779" s="80" t="s">
        <v>9515</v>
      </c>
    </row>
    <row r="4780" spans="1:2" x14ac:dyDescent="0.25">
      <c r="A4780" s="81" t="s">
        <v>6980</v>
      </c>
      <c r="B4780" s="80" t="s">
        <v>9515</v>
      </c>
    </row>
    <row r="4781" spans="1:2" x14ac:dyDescent="0.25">
      <c r="A4781" s="81" t="s">
        <v>6981</v>
      </c>
      <c r="B4781" s="80" t="s">
        <v>9515</v>
      </c>
    </row>
    <row r="4782" spans="1:2" x14ac:dyDescent="0.25">
      <c r="A4782" s="81" t="s">
        <v>6982</v>
      </c>
      <c r="B4782" s="80" t="s">
        <v>9515</v>
      </c>
    </row>
    <row r="4783" spans="1:2" x14ac:dyDescent="0.25">
      <c r="A4783" s="81" t="s">
        <v>6983</v>
      </c>
      <c r="B4783" s="80" t="s">
        <v>9515</v>
      </c>
    </row>
    <row r="4784" spans="1:2" x14ac:dyDescent="0.25">
      <c r="A4784" s="81" t="s">
        <v>6984</v>
      </c>
      <c r="B4784" s="80" t="s">
        <v>9515</v>
      </c>
    </row>
    <row r="4785" spans="1:2" x14ac:dyDescent="0.25">
      <c r="A4785" s="81" t="s">
        <v>6985</v>
      </c>
      <c r="B4785" s="80" t="s">
        <v>9515</v>
      </c>
    </row>
    <row r="4786" spans="1:2" x14ac:dyDescent="0.25">
      <c r="A4786" s="81" t="s">
        <v>6986</v>
      </c>
      <c r="B4786" s="80" t="s">
        <v>9515</v>
      </c>
    </row>
    <row r="4787" spans="1:2" x14ac:dyDescent="0.25">
      <c r="A4787" s="81" t="s">
        <v>6987</v>
      </c>
      <c r="B4787" s="80" t="s">
        <v>9515</v>
      </c>
    </row>
    <row r="4788" spans="1:2" x14ac:dyDescent="0.25">
      <c r="A4788" s="81" t="s">
        <v>6988</v>
      </c>
      <c r="B4788" s="80" t="s">
        <v>9515</v>
      </c>
    </row>
    <row r="4789" spans="1:2" x14ac:dyDescent="0.25">
      <c r="A4789" s="81" t="s">
        <v>6989</v>
      </c>
      <c r="B4789" s="80" t="s">
        <v>9515</v>
      </c>
    </row>
    <row r="4790" spans="1:2" x14ac:dyDescent="0.25">
      <c r="A4790" s="81" t="s">
        <v>6990</v>
      </c>
      <c r="B4790" s="80" t="s">
        <v>9515</v>
      </c>
    </row>
    <row r="4791" spans="1:2" x14ac:dyDescent="0.25">
      <c r="A4791" s="81" t="s">
        <v>6991</v>
      </c>
      <c r="B4791" s="80" t="s">
        <v>9515</v>
      </c>
    </row>
    <row r="4792" spans="1:2" x14ac:dyDescent="0.25">
      <c r="A4792" s="81" t="s">
        <v>6992</v>
      </c>
      <c r="B4792" s="80" t="s">
        <v>9515</v>
      </c>
    </row>
    <row r="4793" spans="1:2" x14ac:dyDescent="0.25">
      <c r="A4793" s="81" t="s">
        <v>6993</v>
      </c>
      <c r="B4793" s="80" t="s">
        <v>9515</v>
      </c>
    </row>
    <row r="4794" spans="1:2" x14ac:dyDescent="0.25">
      <c r="A4794" s="81" t="s">
        <v>6994</v>
      </c>
      <c r="B4794" s="80" t="s">
        <v>9515</v>
      </c>
    </row>
    <row r="4795" spans="1:2" x14ac:dyDescent="0.25">
      <c r="A4795" s="81" t="s">
        <v>6995</v>
      </c>
      <c r="B4795" s="80" t="s">
        <v>9515</v>
      </c>
    </row>
    <row r="4796" spans="1:2" x14ac:dyDescent="0.25">
      <c r="A4796" s="81" t="s">
        <v>6996</v>
      </c>
      <c r="B4796" s="80" t="s">
        <v>9515</v>
      </c>
    </row>
    <row r="4797" spans="1:2" x14ac:dyDescent="0.25">
      <c r="A4797" s="81" t="s">
        <v>6997</v>
      </c>
      <c r="B4797" s="80" t="s">
        <v>9515</v>
      </c>
    </row>
    <row r="4798" spans="1:2" x14ac:dyDescent="0.25">
      <c r="A4798" s="81" t="s">
        <v>6998</v>
      </c>
      <c r="B4798" s="80" t="s">
        <v>9515</v>
      </c>
    </row>
    <row r="4799" spans="1:2" x14ac:dyDescent="0.25">
      <c r="A4799" s="81" t="s">
        <v>6999</v>
      </c>
      <c r="B4799" s="80" t="s">
        <v>9515</v>
      </c>
    </row>
    <row r="4800" spans="1:2" x14ac:dyDescent="0.25">
      <c r="A4800" s="81" t="s">
        <v>7000</v>
      </c>
      <c r="B4800" s="80" t="s">
        <v>9515</v>
      </c>
    </row>
    <row r="4801" spans="1:2" x14ac:dyDescent="0.25">
      <c r="A4801" s="81" t="s">
        <v>7001</v>
      </c>
      <c r="B4801" s="80" t="s">
        <v>9515</v>
      </c>
    </row>
    <row r="4802" spans="1:2" x14ac:dyDescent="0.25">
      <c r="A4802" s="81" t="s">
        <v>7002</v>
      </c>
      <c r="B4802" s="80" t="s">
        <v>9515</v>
      </c>
    </row>
    <row r="4803" spans="1:2" x14ac:dyDescent="0.25">
      <c r="A4803" s="81" t="s">
        <v>7003</v>
      </c>
      <c r="B4803" s="80" t="s">
        <v>9515</v>
      </c>
    </row>
    <row r="4804" spans="1:2" x14ac:dyDescent="0.25">
      <c r="A4804" s="81" t="s">
        <v>7004</v>
      </c>
      <c r="B4804" s="80" t="s">
        <v>9515</v>
      </c>
    </row>
    <row r="4805" spans="1:2" x14ac:dyDescent="0.25">
      <c r="A4805" s="81" t="s">
        <v>7005</v>
      </c>
      <c r="B4805" s="80" t="s">
        <v>9515</v>
      </c>
    </row>
    <row r="4806" spans="1:2" x14ac:dyDescent="0.25">
      <c r="A4806" s="81" t="s">
        <v>7006</v>
      </c>
      <c r="B4806" s="80" t="s">
        <v>9515</v>
      </c>
    </row>
    <row r="4807" spans="1:2" x14ac:dyDescent="0.25">
      <c r="A4807" s="81" t="s">
        <v>7007</v>
      </c>
      <c r="B4807" s="80" t="s">
        <v>9515</v>
      </c>
    </row>
    <row r="4808" spans="1:2" x14ac:dyDescent="0.25">
      <c r="A4808" s="81" t="s">
        <v>7008</v>
      </c>
      <c r="B4808" s="80" t="s">
        <v>9515</v>
      </c>
    </row>
    <row r="4809" spans="1:2" x14ac:dyDescent="0.25">
      <c r="A4809" s="81" t="s">
        <v>7009</v>
      </c>
      <c r="B4809" s="80" t="s">
        <v>9515</v>
      </c>
    </row>
    <row r="4810" spans="1:2" x14ac:dyDescent="0.25">
      <c r="A4810" s="81" t="s">
        <v>7010</v>
      </c>
      <c r="B4810" s="80" t="s">
        <v>9515</v>
      </c>
    </row>
    <row r="4811" spans="1:2" x14ac:dyDescent="0.25">
      <c r="A4811" s="81" t="s">
        <v>7011</v>
      </c>
      <c r="B4811" s="80" t="s">
        <v>9515</v>
      </c>
    </row>
    <row r="4812" spans="1:2" x14ac:dyDescent="0.25">
      <c r="A4812" s="81" t="s">
        <v>7012</v>
      </c>
      <c r="B4812" s="80" t="s">
        <v>9515</v>
      </c>
    </row>
    <row r="4813" spans="1:2" x14ac:dyDescent="0.25">
      <c r="A4813" s="81" t="s">
        <v>7013</v>
      </c>
      <c r="B4813" s="80" t="s">
        <v>9515</v>
      </c>
    </row>
    <row r="4814" spans="1:2" x14ac:dyDescent="0.25">
      <c r="A4814" s="81" t="s">
        <v>7014</v>
      </c>
      <c r="B4814" s="80" t="s">
        <v>9515</v>
      </c>
    </row>
    <row r="4815" spans="1:2" x14ac:dyDescent="0.25">
      <c r="A4815" s="81" t="s">
        <v>7015</v>
      </c>
      <c r="B4815" s="80" t="s">
        <v>9515</v>
      </c>
    </row>
    <row r="4816" spans="1:2" x14ac:dyDescent="0.25">
      <c r="A4816" s="81" t="s">
        <v>7016</v>
      </c>
      <c r="B4816" s="80" t="s">
        <v>9515</v>
      </c>
    </row>
    <row r="4817" spans="1:2" x14ac:dyDescent="0.25">
      <c r="A4817" s="81" t="s">
        <v>7017</v>
      </c>
      <c r="B4817" s="80" t="s">
        <v>9515</v>
      </c>
    </row>
    <row r="4818" spans="1:2" x14ac:dyDescent="0.25">
      <c r="A4818" s="81" t="s">
        <v>7018</v>
      </c>
      <c r="B4818" s="80" t="s">
        <v>9515</v>
      </c>
    </row>
    <row r="4819" spans="1:2" x14ac:dyDescent="0.25">
      <c r="A4819" s="81" t="s">
        <v>7019</v>
      </c>
      <c r="B4819" s="80" t="s">
        <v>9515</v>
      </c>
    </row>
    <row r="4820" spans="1:2" x14ac:dyDescent="0.25">
      <c r="A4820" s="81" t="s">
        <v>7020</v>
      </c>
      <c r="B4820" s="80" t="s">
        <v>9515</v>
      </c>
    </row>
    <row r="4821" spans="1:2" x14ac:dyDescent="0.25">
      <c r="A4821" s="81" t="s">
        <v>7021</v>
      </c>
      <c r="B4821" s="80" t="s">
        <v>9515</v>
      </c>
    </row>
    <row r="4822" spans="1:2" x14ac:dyDescent="0.25">
      <c r="A4822" s="81" t="s">
        <v>7022</v>
      </c>
      <c r="B4822" s="80" t="s">
        <v>9515</v>
      </c>
    </row>
    <row r="4823" spans="1:2" x14ac:dyDescent="0.25">
      <c r="A4823" s="81" t="s">
        <v>7023</v>
      </c>
      <c r="B4823" s="80" t="s">
        <v>9515</v>
      </c>
    </row>
    <row r="4824" spans="1:2" x14ac:dyDescent="0.25">
      <c r="A4824" s="81" t="s">
        <v>7024</v>
      </c>
      <c r="B4824" s="80" t="s">
        <v>9515</v>
      </c>
    </row>
    <row r="4825" spans="1:2" x14ac:dyDescent="0.25">
      <c r="A4825" s="81" t="s">
        <v>7025</v>
      </c>
      <c r="B4825" s="80" t="s">
        <v>9515</v>
      </c>
    </row>
    <row r="4826" spans="1:2" x14ac:dyDescent="0.25">
      <c r="A4826" s="81" t="s">
        <v>7026</v>
      </c>
      <c r="B4826" s="80" t="s">
        <v>9515</v>
      </c>
    </row>
    <row r="4827" spans="1:2" x14ac:dyDescent="0.25">
      <c r="A4827" s="81" t="s">
        <v>7027</v>
      </c>
      <c r="B4827" s="80" t="s">
        <v>9515</v>
      </c>
    </row>
    <row r="4828" spans="1:2" x14ac:dyDescent="0.25">
      <c r="A4828" s="81" t="s">
        <v>7028</v>
      </c>
      <c r="B4828" s="80" t="s">
        <v>9515</v>
      </c>
    </row>
    <row r="4829" spans="1:2" x14ac:dyDescent="0.25">
      <c r="A4829" s="81" t="s">
        <v>7029</v>
      </c>
      <c r="B4829" s="80" t="s">
        <v>9515</v>
      </c>
    </row>
    <row r="4830" spans="1:2" x14ac:dyDescent="0.25">
      <c r="A4830" s="81" t="s">
        <v>7030</v>
      </c>
      <c r="B4830" s="80" t="s">
        <v>9515</v>
      </c>
    </row>
    <row r="4831" spans="1:2" x14ac:dyDescent="0.25">
      <c r="A4831" s="81" t="s">
        <v>7031</v>
      </c>
      <c r="B4831" s="80" t="s">
        <v>9515</v>
      </c>
    </row>
    <row r="4832" spans="1:2" x14ac:dyDescent="0.25">
      <c r="A4832" s="81" t="s">
        <v>7032</v>
      </c>
      <c r="B4832" s="80" t="s">
        <v>9515</v>
      </c>
    </row>
    <row r="4833" spans="1:2" x14ac:dyDescent="0.25">
      <c r="A4833" s="81" t="s">
        <v>7033</v>
      </c>
      <c r="B4833" s="80" t="s">
        <v>9515</v>
      </c>
    </row>
    <row r="4834" spans="1:2" x14ac:dyDescent="0.25">
      <c r="A4834" s="81" t="s">
        <v>7034</v>
      </c>
      <c r="B4834" s="80" t="s">
        <v>9515</v>
      </c>
    </row>
    <row r="4835" spans="1:2" x14ac:dyDescent="0.25">
      <c r="A4835" s="81" t="s">
        <v>7035</v>
      </c>
      <c r="B4835" s="80" t="s">
        <v>9515</v>
      </c>
    </row>
    <row r="4836" spans="1:2" x14ac:dyDescent="0.25">
      <c r="A4836" s="81" t="s">
        <v>7036</v>
      </c>
      <c r="B4836" s="80" t="s">
        <v>9515</v>
      </c>
    </row>
    <row r="4837" spans="1:2" x14ac:dyDescent="0.25">
      <c r="A4837" s="81" t="s">
        <v>7037</v>
      </c>
      <c r="B4837" s="80" t="s">
        <v>9515</v>
      </c>
    </row>
    <row r="4838" spans="1:2" x14ac:dyDescent="0.25">
      <c r="A4838" s="81" t="s">
        <v>7038</v>
      </c>
      <c r="B4838" s="80" t="s">
        <v>9515</v>
      </c>
    </row>
    <row r="4839" spans="1:2" x14ac:dyDescent="0.25">
      <c r="A4839" s="81" t="s">
        <v>7039</v>
      </c>
      <c r="B4839" s="80" t="s">
        <v>9515</v>
      </c>
    </row>
    <row r="4840" spans="1:2" x14ac:dyDescent="0.25">
      <c r="A4840" s="81" t="s">
        <v>7040</v>
      </c>
      <c r="B4840" s="80" t="s">
        <v>9515</v>
      </c>
    </row>
    <row r="4841" spans="1:2" x14ac:dyDescent="0.25">
      <c r="A4841" s="81" t="s">
        <v>7041</v>
      </c>
      <c r="B4841" s="80" t="s">
        <v>9515</v>
      </c>
    </row>
    <row r="4842" spans="1:2" x14ac:dyDescent="0.25">
      <c r="A4842" s="81" t="s">
        <v>7042</v>
      </c>
      <c r="B4842" s="80" t="s">
        <v>9515</v>
      </c>
    </row>
    <row r="4843" spans="1:2" x14ac:dyDescent="0.25">
      <c r="A4843" s="81" t="s">
        <v>7043</v>
      </c>
      <c r="B4843" s="80" t="s">
        <v>9515</v>
      </c>
    </row>
    <row r="4844" spans="1:2" x14ac:dyDescent="0.25">
      <c r="A4844" s="81" t="s">
        <v>7044</v>
      </c>
      <c r="B4844" s="80" t="s">
        <v>9515</v>
      </c>
    </row>
    <row r="4845" spans="1:2" x14ac:dyDescent="0.25">
      <c r="A4845" s="81" t="s">
        <v>7045</v>
      </c>
      <c r="B4845" s="80" t="s">
        <v>9515</v>
      </c>
    </row>
    <row r="4846" spans="1:2" x14ac:dyDescent="0.25">
      <c r="A4846" s="81" t="s">
        <v>7046</v>
      </c>
      <c r="B4846" s="80" t="s">
        <v>9515</v>
      </c>
    </row>
    <row r="4847" spans="1:2" x14ac:dyDescent="0.25">
      <c r="A4847" s="81" t="s">
        <v>7047</v>
      </c>
      <c r="B4847" s="80" t="s">
        <v>9515</v>
      </c>
    </row>
    <row r="4848" spans="1:2" x14ac:dyDescent="0.25">
      <c r="A4848" s="81" t="s">
        <v>7048</v>
      </c>
      <c r="B4848" s="80" t="s">
        <v>9515</v>
      </c>
    </row>
    <row r="4849" spans="1:2" x14ac:dyDescent="0.25">
      <c r="A4849" s="81" t="s">
        <v>7049</v>
      </c>
      <c r="B4849" s="80" t="s">
        <v>9515</v>
      </c>
    </row>
    <row r="4850" spans="1:2" x14ac:dyDescent="0.25">
      <c r="A4850" s="81" t="s">
        <v>7050</v>
      </c>
      <c r="B4850" s="80" t="s">
        <v>9515</v>
      </c>
    </row>
    <row r="4851" spans="1:2" x14ac:dyDescent="0.25">
      <c r="A4851" s="81" t="s">
        <v>7051</v>
      </c>
      <c r="B4851" s="80" t="s">
        <v>9515</v>
      </c>
    </row>
    <row r="4852" spans="1:2" x14ac:dyDescent="0.25">
      <c r="A4852" s="81" t="s">
        <v>7052</v>
      </c>
      <c r="B4852" s="80" t="s">
        <v>9515</v>
      </c>
    </row>
    <row r="4853" spans="1:2" x14ac:dyDescent="0.25">
      <c r="A4853" s="81" t="s">
        <v>7053</v>
      </c>
      <c r="B4853" s="80" t="s">
        <v>9515</v>
      </c>
    </row>
    <row r="4854" spans="1:2" x14ac:dyDescent="0.25">
      <c r="A4854" s="81" t="s">
        <v>7054</v>
      </c>
      <c r="B4854" s="80" t="s">
        <v>9515</v>
      </c>
    </row>
    <row r="4855" spans="1:2" x14ac:dyDescent="0.25">
      <c r="A4855" s="81" t="s">
        <v>7055</v>
      </c>
      <c r="B4855" s="80" t="s">
        <v>9515</v>
      </c>
    </row>
    <row r="4856" spans="1:2" x14ac:dyDescent="0.25">
      <c r="A4856" s="81" t="s">
        <v>7056</v>
      </c>
      <c r="B4856" s="80" t="s">
        <v>9515</v>
      </c>
    </row>
    <row r="4857" spans="1:2" x14ac:dyDescent="0.25">
      <c r="A4857" s="81" t="s">
        <v>7057</v>
      </c>
      <c r="B4857" s="80" t="s">
        <v>9515</v>
      </c>
    </row>
    <row r="4858" spans="1:2" x14ac:dyDescent="0.25">
      <c r="A4858" s="81" t="s">
        <v>7058</v>
      </c>
      <c r="B4858" s="80" t="s">
        <v>9515</v>
      </c>
    </row>
    <row r="4859" spans="1:2" x14ac:dyDescent="0.25">
      <c r="A4859" s="81" t="s">
        <v>7059</v>
      </c>
      <c r="B4859" s="80" t="s">
        <v>9515</v>
      </c>
    </row>
    <row r="4860" spans="1:2" x14ac:dyDescent="0.25">
      <c r="A4860" s="81" t="s">
        <v>7060</v>
      </c>
      <c r="B4860" s="80" t="s">
        <v>9515</v>
      </c>
    </row>
    <row r="4861" spans="1:2" x14ac:dyDescent="0.25">
      <c r="A4861" s="81" t="s">
        <v>7061</v>
      </c>
      <c r="B4861" s="80" t="s">
        <v>9515</v>
      </c>
    </row>
    <row r="4862" spans="1:2" x14ac:dyDescent="0.25">
      <c r="A4862" s="81" t="s">
        <v>7062</v>
      </c>
      <c r="B4862" s="80" t="s">
        <v>9515</v>
      </c>
    </row>
    <row r="4863" spans="1:2" x14ac:dyDescent="0.25">
      <c r="A4863" s="81" t="s">
        <v>7063</v>
      </c>
      <c r="B4863" s="80" t="s">
        <v>9515</v>
      </c>
    </row>
    <row r="4864" spans="1:2" x14ac:dyDescent="0.25">
      <c r="A4864" s="81" t="s">
        <v>7064</v>
      </c>
      <c r="B4864" s="80" t="s">
        <v>9515</v>
      </c>
    </row>
    <row r="4865" spans="1:2" x14ac:dyDescent="0.25">
      <c r="A4865" s="81" t="s">
        <v>7065</v>
      </c>
      <c r="B4865" s="80" t="s">
        <v>9515</v>
      </c>
    </row>
    <row r="4866" spans="1:2" x14ac:dyDescent="0.25">
      <c r="A4866" s="81" t="s">
        <v>7066</v>
      </c>
      <c r="B4866" s="80" t="s">
        <v>9515</v>
      </c>
    </row>
    <row r="4867" spans="1:2" x14ac:dyDescent="0.25">
      <c r="A4867" s="81" t="s">
        <v>7067</v>
      </c>
      <c r="B4867" s="80" t="s">
        <v>9515</v>
      </c>
    </row>
    <row r="4868" spans="1:2" x14ac:dyDescent="0.25">
      <c r="A4868" s="81" t="s">
        <v>7068</v>
      </c>
      <c r="B4868" s="80" t="s">
        <v>9515</v>
      </c>
    </row>
    <row r="4869" spans="1:2" x14ac:dyDescent="0.25">
      <c r="A4869" s="81" t="s">
        <v>7069</v>
      </c>
      <c r="B4869" s="80" t="s">
        <v>9515</v>
      </c>
    </row>
    <row r="4870" spans="1:2" x14ac:dyDescent="0.25">
      <c r="A4870" s="81" t="s">
        <v>7070</v>
      </c>
      <c r="B4870" s="80" t="s">
        <v>9515</v>
      </c>
    </row>
    <row r="4871" spans="1:2" x14ac:dyDescent="0.25">
      <c r="A4871" s="81" t="s">
        <v>7071</v>
      </c>
      <c r="B4871" s="80" t="s">
        <v>9515</v>
      </c>
    </row>
    <row r="4872" spans="1:2" x14ac:dyDescent="0.25">
      <c r="A4872" s="81" t="s">
        <v>7072</v>
      </c>
      <c r="B4872" s="80" t="s">
        <v>9515</v>
      </c>
    </row>
    <row r="4873" spans="1:2" x14ac:dyDescent="0.25">
      <c r="A4873" s="81" t="s">
        <v>7073</v>
      </c>
      <c r="B4873" s="80" t="s">
        <v>9515</v>
      </c>
    </row>
    <row r="4874" spans="1:2" x14ac:dyDescent="0.25">
      <c r="A4874" s="81" t="s">
        <v>7074</v>
      </c>
      <c r="B4874" s="80" t="s">
        <v>9515</v>
      </c>
    </row>
    <row r="4875" spans="1:2" x14ac:dyDescent="0.25">
      <c r="A4875" s="81" t="s">
        <v>7075</v>
      </c>
      <c r="B4875" s="80" t="s">
        <v>9515</v>
      </c>
    </row>
    <row r="4876" spans="1:2" x14ac:dyDescent="0.25">
      <c r="A4876" s="81" t="s">
        <v>7076</v>
      </c>
      <c r="B4876" s="80" t="s">
        <v>9515</v>
      </c>
    </row>
    <row r="4877" spans="1:2" x14ac:dyDescent="0.25">
      <c r="A4877" s="81" t="s">
        <v>7077</v>
      </c>
      <c r="B4877" s="80" t="s">
        <v>9515</v>
      </c>
    </row>
    <row r="4878" spans="1:2" x14ac:dyDescent="0.25">
      <c r="A4878" s="81" t="s">
        <v>7078</v>
      </c>
      <c r="B4878" s="80" t="s">
        <v>9515</v>
      </c>
    </row>
    <row r="4879" spans="1:2" x14ac:dyDescent="0.25">
      <c r="A4879" s="81" t="s">
        <v>7079</v>
      </c>
      <c r="B4879" s="80" t="s">
        <v>9515</v>
      </c>
    </row>
    <row r="4880" spans="1:2" x14ac:dyDescent="0.25">
      <c r="A4880" s="81" t="s">
        <v>7080</v>
      </c>
      <c r="B4880" s="80" t="s">
        <v>9515</v>
      </c>
    </row>
    <row r="4881" spans="1:2" x14ac:dyDescent="0.25">
      <c r="A4881" s="81" t="s">
        <v>7081</v>
      </c>
      <c r="B4881" s="80" t="s">
        <v>9515</v>
      </c>
    </row>
    <row r="4882" spans="1:2" x14ac:dyDescent="0.25">
      <c r="A4882" s="81" t="s">
        <v>7082</v>
      </c>
      <c r="B4882" s="80" t="s">
        <v>9515</v>
      </c>
    </row>
    <row r="4883" spans="1:2" x14ac:dyDescent="0.25">
      <c r="A4883" s="81" t="s">
        <v>7083</v>
      </c>
      <c r="B4883" s="80" t="s">
        <v>9515</v>
      </c>
    </row>
    <row r="4884" spans="1:2" x14ac:dyDescent="0.25">
      <c r="A4884" s="81" t="s">
        <v>7084</v>
      </c>
      <c r="B4884" s="80" t="s">
        <v>9515</v>
      </c>
    </row>
    <row r="4885" spans="1:2" x14ac:dyDescent="0.25">
      <c r="A4885" s="81" t="s">
        <v>7085</v>
      </c>
      <c r="B4885" s="80" t="s">
        <v>9515</v>
      </c>
    </row>
    <row r="4886" spans="1:2" x14ac:dyDescent="0.25">
      <c r="A4886" s="81" t="s">
        <v>7086</v>
      </c>
      <c r="B4886" s="80" t="s">
        <v>9515</v>
      </c>
    </row>
    <row r="4887" spans="1:2" x14ac:dyDescent="0.25">
      <c r="A4887" s="81" t="s">
        <v>7087</v>
      </c>
      <c r="B4887" s="80" t="s">
        <v>9515</v>
      </c>
    </row>
    <row r="4888" spans="1:2" x14ac:dyDescent="0.25">
      <c r="A4888" s="81" t="s">
        <v>7088</v>
      </c>
      <c r="B4888" s="80" t="s">
        <v>9515</v>
      </c>
    </row>
    <row r="4889" spans="1:2" x14ac:dyDescent="0.25">
      <c r="A4889" s="81" t="s">
        <v>7089</v>
      </c>
      <c r="B4889" s="80" t="s">
        <v>9515</v>
      </c>
    </row>
    <row r="4890" spans="1:2" x14ac:dyDescent="0.25">
      <c r="A4890" s="81" t="s">
        <v>7090</v>
      </c>
      <c r="B4890" s="80" t="s">
        <v>9515</v>
      </c>
    </row>
    <row r="4891" spans="1:2" x14ac:dyDescent="0.25">
      <c r="A4891" s="81" t="s">
        <v>7091</v>
      </c>
      <c r="B4891" s="80" t="s">
        <v>9515</v>
      </c>
    </row>
    <row r="4892" spans="1:2" x14ac:dyDescent="0.25">
      <c r="A4892" s="81" t="s">
        <v>7092</v>
      </c>
      <c r="B4892" s="80" t="s">
        <v>9515</v>
      </c>
    </row>
    <row r="4893" spans="1:2" x14ac:dyDescent="0.25">
      <c r="A4893" s="81" t="s">
        <v>7093</v>
      </c>
      <c r="B4893" s="80" t="s">
        <v>9515</v>
      </c>
    </row>
    <row r="4894" spans="1:2" x14ac:dyDescent="0.25">
      <c r="A4894" s="81" t="s">
        <v>7094</v>
      </c>
      <c r="B4894" s="80" t="s">
        <v>9515</v>
      </c>
    </row>
    <row r="4895" spans="1:2" x14ac:dyDescent="0.25">
      <c r="A4895" s="81" t="s">
        <v>7095</v>
      </c>
      <c r="B4895" s="80" t="s">
        <v>9515</v>
      </c>
    </row>
    <row r="4896" spans="1:2" x14ac:dyDescent="0.25">
      <c r="A4896" s="81" t="s">
        <v>7096</v>
      </c>
      <c r="B4896" s="80" t="s">
        <v>9515</v>
      </c>
    </row>
    <row r="4897" spans="1:2" x14ac:dyDescent="0.25">
      <c r="A4897" s="81" t="s">
        <v>7097</v>
      </c>
      <c r="B4897" s="80" t="s">
        <v>9515</v>
      </c>
    </row>
    <row r="4898" spans="1:2" x14ac:dyDescent="0.25">
      <c r="A4898" s="81" t="s">
        <v>7098</v>
      </c>
      <c r="B4898" s="80" t="s">
        <v>9515</v>
      </c>
    </row>
    <row r="4899" spans="1:2" x14ac:dyDescent="0.25">
      <c r="A4899" s="81" t="s">
        <v>7099</v>
      </c>
      <c r="B4899" s="80" t="s">
        <v>9515</v>
      </c>
    </row>
    <row r="4900" spans="1:2" x14ac:dyDescent="0.25">
      <c r="A4900" s="81" t="s">
        <v>7100</v>
      </c>
      <c r="B4900" s="80" t="s">
        <v>9515</v>
      </c>
    </row>
    <row r="4901" spans="1:2" x14ac:dyDescent="0.25">
      <c r="A4901" s="81" t="s">
        <v>7101</v>
      </c>
      <c r="B4901" s="80" t="s">
        <v>9515</v>
      </c>
    </row>
    <row r="4902" spans="1:2" x14ac:dyDescent="0.25">
      <c r="A4902" s="81" t="s">
        <v>7102</v>
      </c>
      <c r="B4902" s="80" t="s">
        <v>9515</v>
      </c>
    </row>
    <row r="4903" spans="1:2" x14ac:dyDescent="0.25">
      <c r="A4903" s="81" t="s">
        <v>7103</v>
      </c>
      <c r="B4903" s="80" t="s">
        <v>9515</v>
      </c>
    </row>
    <row r="4904" spans="1:2" x14ac:dyDescent="0.25">
      <c r="A4904" s="81" t="s">
        <v>7104</v>
      </c>
      <c r="B4904" s="80" t="s">
        <v>9515</v>
      </c>
    </row>
    <row r="4905" spans="1:2" x14ac:dyDescent="0.25">
      <c r="A4905" s="81" t="s">
        <v>7105</v>
      </c>
      <c r="B4905" s="80" t="s">
        <v>9515</v>
      </c>
    </row>
    <row r="4906" spans="1:2" x14ac:dyDescent="0.25">
      <c r="A4906" s="81" t="s">
        <v>7106</v>
      </c>
      <c r="B4906" s="80" t="s">
        <v>9515</v>
      </c>
    </row>
    <row r="4907" spans="1:2" x14ac:dyDescent="0.25">
      <c r="A4907" s="81" t="s">
        <v>7107</v>
      </c>
      <c r="B4907" s="80" t="s">
        <v>9515</v>
      </c>
    </row>
    <row r="4908" spans="1:2" x14ac:dyDescent="0.25">
      <c r="A4908" s="81" t="s">
        <v>7108</v>
      </c>
      <c r="B4908" s="80" t="s">
        <v>9515</v>
      </c>
    </row>
    <row r="4909" spans="1:2" x14ac:dyDescent="0.25">
      <c r="A4909" s="81" t="s">
        <v>7109</v>
      </c>
      <c r="B4909" s="80" t="s">
        <v>9515</v>
      </c>
    </row>
    <row r="4910" spans="1:2" x14ac:dyDescent="0.25">
      <c r="A4910" s="81" t="s">
        <v>7110</v>
      </c>
      <c r="B4910" s="80" t="s">
        <v>9515</v>
      </c>
    </row>
    <row r="4911" spans="1:2" x14ac:dyDescent="0.25">
      <c r="A4911" s="81" t="s">
        <v>7111</v>
      </c>
      <c r="B4911" s="80" t="s">
        <v>9515</v>
      </c>
    </row>
    <row r="4912" spans="1:2" x14ac:dyDescent="0.25">
      <c r="A4912" s="81" t="s">
        <v>7112</v>
      </c>
      <c r="B4912" s="80" t="s">
        <v>9515</v>
      </c>
    </row>
    <row r="4913" spans="1:2" x14ac:dyDescent="0.25">
      <c r="A4913" s="81" t="s">
        <v>7113</v>
      </c>
      <c r="B4913" s="80" t="s">
        <v>9515</v>
      </c>
    </row>
    <row r="4914" spans="1:2" x14ac:dyDescent="0.25">
      <c r="A4914" s="81" t="s">
        <v>7114</v>
      </c>
      <c r="B4914" s="80" t="s">
        <v>9515</v>
      </c>
    </row>
    <row r="4915" spans="1:2" x14ac:dyDescent="0.25">
      <c r="A4915" s="81" t="s">
        <v>7115</v>
      </c>
      <c r="B4915" s="80" t="s">
        <v>9515</v>
      </c>
    </row>
    <row r="4916" spans="1:2" x14ac:dyDescent="0.25">
      <c r="A4916" s="81" t="s">
        <v>7116</v>
      </c>
      <c r="B4916" s="80" t="s">
        <v>9515</v>
      </c>
    </row>
    <row r="4917" spans="1:2" x14ac:dyDescent="0.25">
      <c r="A4917" s="81" t="s">
        <v>7117</v>
      </c>
      <c r="B4917" s="80" t="s">
        <v>9515</v>
      </c>
    </row>
    <row r="4918" spans="1:2" x14ac:dyDescent="0.25">
      <c r="A4918" s="81" t="s">
        <v>7118</v>
      </c>
      <c r="B4918" s="80" t="s">
        <v>9515</v>
      </c>
    </row>
    <row r="4919" spans="1:2" x14ac:dyDescent="0.25">
      <c r="A4919" s="81" t="s">
        <v>7119</v>
      </c>
      <c r="B4919" s="80" t="s">
        <v>9515</v>
      </c>
    </row>
    <row r="4920" spans="1:2" x14ac:dyDescent="0.25">
      <c r="A4920" s="81" t="s">
        <v>7120</v>
      </c>
      <c r="B4920" s="80" t="s">
        <v>9515</v>
      </c>
    </row>
    <row r="4921" spans="1:2" x14ac:dyDescent="0.25">
      <c r="A4921" s="81" t="s">
        <v>7121</v>
      </c>
      <c r="B4921" s="80" t="s">
        <v>9515</v>
      </c>
    </row>
    <row r="4922" spans="1:2" x14ac:dyDescent="0.25">
      <c r="A4922" s="81" t="s">
        <v>7122</v>
      </c>
      <c r="B4922" s="80" t="s">
        <v>9515</v>
      </c>
    </row>
    <row r="4923" spans="1:2" x14ac:dyDescent="0.25">
      <c r="A4923" s="81" t="s">
        <v>7123</v>
      </c>
      <c r="B4923" s="80" t="s">
        <v>9515</v>
      </c>
    </row>
    <row r="4924" spans="1:2" x14ac:dyDescent="0.25">
      <c r="A4924" s="81" t="s">
        <v>7124</v>
      </c>
      <c r="B4924" s="80" t="s">
        <v>9515</v>
      </c>
    </row>
    <row r="4925" spans="1:2" x14ac:dyDescent="0.25">
      <c r="A4925" s="81" t="s">
        <v>7125</v>
      </c>
      <c r="B4925" s="80" t="s">
        <v>9515</v>
      </c>
    </row>
    <row r="4926" spans="1:2" x14ac:dyDescent="0.25">
      <c r="A4926" s="81" t="s">
        <v>7126</v>
      </c>
      <c r="B4926" s="80" t="s">
        <v>9515</v>
      </c>
    </row>
    <row r="4927" spans="1:2" x14ac:dyDescent="0.25">
      <c r="A4927" s="81" t="s">
        <v>7127</v>
      </c>
      <c r="B4927" s="80" t="s">
        <v>9515</v>
      </c>
    </row>
    <row r="4928" spans="1:2" x14ac:dyDescent="0.25">
      <c r="A4928" s="81" t="s">
        <v>7128</v>
      </c>
      <c r="B4928" s="80" t="s">
        <v>9515</v>
      </c>
    </row>
    <row r="4929" spans="1:2" x14ac:dyDescent="0.25">
      <c r="A4929" s="81" t="s">
        <v>7129</v>
      </c>
      <c r="B4929" s="80" t="s">
        <v>9515</v>
      </c>
    </row>
    <row r="4930" spans="1:2" x14ac:dyDescent="0.25">
      <c r="A4930" s="81" t="s">
        <v>7130</v>
      </c>
      <c r="B4930" s="80" t="s">
        <v>9515</v>
      </c>
    </row>
    <row r="4931" spans="1:2" x14ac:dyDescent="0.25">
      <c r="A4931" s="81" t="s">
        <v>7131</v>
      </c>
      <c r="B4931" s="80" t="s">
        <v>9515</v>
      </c>
    </row>
    <row r="4932" spans="1:2" x14ac:dyDescent="0.25">
      <c r="A4932" s="81" t="s">
        <v>7132</v>
      </c>
      <c r="B4932" s="80" t="s">
        <v>9515</v>
      </c>
    </row>
    <row r="4933" spans="1:2" x14ac:dyDescent="0.25">
      <c r="A4933" s="81" t="s">
        <v>7133</v>
      </c>
      <c r="B4933" s="80" t="s">
        <v>9515</v>
      </c>
    </row>
    <row r="4934" spans="1:2" x14ac:dyDescent="0.25">
      <c r="A4934" s="81" t="s">
        <v>7134</v>
      </c>
      <c r="B4934" s="80" t="s">
        <v>9515</v>
      </c>
    </row>
    <row r="4935" spans="1:2" x14ac:dyDescent="0.25">
      <c r="A4935" s="81" t="s">
        <v>7135</v>
      </c>
      <c r="B4935" s="80" t="s">
        <v>9515</v>
      </c>
    </row>
    <row r="4936" spans="1:2" x14ac:dyDescent="0.25">
      <c r="A4936" s="81" t="s">
        <v>7136</v>
      </c>
      <c r="B4936" s="80" t="s">
        <v>9515</v>
      </c>
    </row>
    <row r="4937" spans="1:2" x14ac:dyDescent="0.25">
      <c r="A4937" s="81" t="s">
        <v>7137</v>
      </c>
      <c r="B4937" s="80" t="s">
        <v>9515</v>
      </c>
    </row>
    <row r="4938" spans="1:2" x14ac:dyDescent="0.25">
      <c r="A4938" s="81" t="s">
        <v>7138</v>
      </c>
      <c r="B4938" s="80" t="s">
        <v>9515</v>
      </c>
    </row>
    <row r="4939" spans="1:2" x14ac:dyDescent="0.25">
      <c r="A4939" s="81" t="s">
        <v>7139</v>
      </c>
      <c r="B4939" s="80" t="s">
        <v>9515</v>
      </c>
    </row>
    <row r="4940" spans="1:2" x14ac:dyDescent="0.25">
      <c r="A4940" s="81" t="s">
        <v>7140</v>
      </c>
      <c r="B4940" s="80" t="s">
        <v>9515</v>
      </c>
    </row>
    <row r="4941" spans="1:2" x14ac:dyDescent="0.25">
      <c r="A4941" s="81" t="s">
        <v>7141</v>
      </c>
      <c r="B4941" s="80" t="s">
        <v>9515</v>
      </c>
    </row>
    <row r="4942" spans="1:2" x14ac:dyDescent="0.25">
      <c r="A4942" s="81" t="s">
        <v>7142</v>
      </c>
      <c r="B4942" s="80" t="s">
        <v>9515</v>
      </c>
    </row>
    <row r="4943" spans="1:2" x14ac:dyDescent="0.25">
      <c r="A4943" s="81" t="s">
        <v>7143</v>
      </c>
      <c r="B4943" s="80" t="s">
        <v>9515</v>
      </c>
    </row>
    <row r="4944" spans="1:2" x14ac:dyDescent="0.25">
      <c r="A4944" s="81" t="s">
        <v>7144</v>
      </c>
      <c r="B4944" s="80" t="s">
        <v>9515</v>
      </c>
    </row>
    <row r="4945" spans="1:2" x14ac:dyDescent="0.25">
      <c r="A4945" s="81" t="s">
        <v>7145</v>
      </c>
      <c r="B4945" s="80" t="s">
        <v>9515</v>
      </c>
    </row>
    <row r="4946" spans="1:2" x14ac:dyDescent="0.25">
      <c r="A4946" s="81" t="s">
        <v>7146</v>
      </c>
      <c r="B4946" s="80" t="s">
        <v>9515</v>
      </c>
    </row>
    <row r="4947" spans="1:2" x14ac:dyDescent="0.25">
      <c r="A4947" s="81" t="s">
        <v>7147</v>
      </c>
      <c r="B4947" s="80" t="s">
        <v>9515</v>
      </c>
    </row>
    <row r="4948" spans="1:2" x14ac:dyDescent="0.25">
      <c r="A4948" s="81" t="s">
        <v>7148</v>
      </c>
      <c r="B4948" s="80" t="s">
        <v>9515</v>
      </c>
    </row>
    <row r="4949" spans="1:2" x14ac:dyDescent="0.25">
      <c r="A4949" s="81" t="s">
        <v>7149</v>
      </c>
      <c r="B4949" s="80" t="s">
        <v>9515</v>
      </c>
    </row>
    <row r="4950" spans="1:2" x14ac:dyDescent="0.25">
      <c r="A4950" s="81" t="s">
        <v>7150</v>
      </c>
      <c r="B4950" s="80" t="s">
        <v>9515</v>
      </c>
    </row>
    <row r="4951" spans="1:2" x14ac:dyDescent="0.25">
      <c r="A4951" s="81" t="s">
        <v>7151</v>
      </c>
      <c r="B4951" s="80" t="s">
        <v>9515</v>
      </c>
    </row>
    <row r="4952" spans="1:2" x14ac:dyDescent="0.25">
      <c r="A4952" s="81" t="s">
        <v>7152</v>
      </c>
      <c r="B4952" s="80" t="s">
        <v>9515</v>
      </c>
    </row>
    <row r="4953" spans="1:2" x14ac:dyDescent="0.25">
      <c r="A4953" s="81" t="s">
        <v>7153</v>
      </c>
      <c r="B4953" s="80" t="s">
        <v>9515</v>
      </c>
    </row>
    <row r="4954" spans="1:2" x14ac:dyDescent="0.25">
      <c r="A4954" s="81" t="s">
        <v>7154</v>
      </c>
      <c r="B4954" s="80" t="s">
        <v>9515</v>
      </c>
    </row>
    <row r="4955" spans="1:2" x14ac:dyDescent="0.25">
      <c r="A4955" s="81" t="s">
        <v>7155</v>
      </c>
      <c r="B4955" s="80" t="s">
        <v>9515</v>
      </c>
    </row>
    <row r="4956" spans="1:2" x14ac:dyDescent="0.25">
      <c r="A4956" s="81" t="s">
        <v>7156</v>
      </c>
      <c r="B4956" s="80" t="s">
        <v>9515</v>
      </c>
    </row>
    <row r="4957" spans="1:2" x14ac:dyDescent="0.25">
      <c r="A4957" s="81" t="s">
        <v>7157</v>
      </c>
      <c r="B4957" s="80" t="s">
        <v>9515</v>
      </c>
    </row>
    <row r="4958" spans="1:2" x14ac:dyDescent="0.25">
      <c r="A4958" s="81" t="s">
        <v>7158</v>
      </c>
      <c r="B4958" s="80" t="s">
        <v>9515</v>
      </c>
    </row>
    <row r="4959" spans="1:2" x14ac:dyDescent="0.25">
      <c r="A4959" s="81" t="s">
        <v>7159</v>
      </c>
      <c r="B4959" s="80" t="s">
        <v>9515</v>
      </c>
    </row>
    <row r="4960" spans="1:2" x14ac:dyDescent="0.25">
      <c r="A4960" s="81" t="s">
        <v>7160</v>
      </c>
      <c r="B4960" s="80" t="s">
        <v>9515</v>
      </c>
    </row>
    <row r="4961" spans="1:2" x14ac:dyDescent="0.25">
      <c r="A4961" s="81" t="s">
        <v>7161</v>
      </c>
      <c r="B4961" s="80" t="s">
        <v>9515</v>
      </c>
    </row>
    <row r="4962" spans="1:2" x14ac:dyDescent="0.25">
      <c r="A4962" s="81" t="s">
        <v>7162</v>
      </c>
      <c r="B4962" s="80" t="s">
        <v>9515</v>
      </c>
    </row>
    <row r="4963" spans="1:2" x14ac:dyDescent="0.25">
      <c r="A4963" s="81" t="s">
        <v>7163</v>
      </c>
      <c r="B4963" s="80" t="s">
        <v>9515</v>
      </c>
    </row>
    <row r="4964" spans="1:2" x14ac:dyDescent="0.25">
      <c r="A4964" s="81" t="s">
        <v>7164</v>
      </c>
      <c r="B4964" s="80" t="s">
        <v>9515</v>
      </c>
    </row>
    <row r="4965" spans="1:2" x14ac:dyDescent="0.25">
      <c r="A4965" s="81" t="s">
        <v>7165</v>
      </c>
      <c r="B4965" s="80" t="s">
        <v>9515</v>
      </c>
    </row>
    <row r="4966" spans="1:2" x14ac:dyDescent="0.25">
      <c r="A4966" s="81" t="s">
        <v>7166</v>
      </c>
      <c r="B4966" s="80" t="s">
        <v>9515</v>
      </c>
    </row>
    <row r="4967" spans="1:2" x14ac:dyDescent="0.25">
      <c r="A4967" s="81" t="s">
        <v>7167</v>
      </c>
      <c r="B4967" s="80" t="s">
        <v>9515</v>
      </c>
    </row>
    <row r="4968" spans="1:2" x14ac:dyDescent="0.25">
      <c r="A4968" s="81" t="s">
        <v>7168</v>
      </c>
      <c r="B4968" s="80" t="s">
        <v>9515</v>
      </c>
    </row>
    <row r="4969" spans="1:2" x14ac:dyDescent="0.25">
      <c r="A4969" s="81" t="s">
        <v>7169</v>
      </c>
      <c r="B4969" s="80" t="s">
        <v>9515</v>
      </c>
    </row>
    <row r="4970" spans="1:2" x14ac:dyDescent="0.25">
      <c r="A4970" s="81" t="s">
        <v>7170</v>
      </c>
      <c r="B4970" s="80" t="s">
        <v>9515</v>
      </c>
    </row>
    <row r="4971" spans="1:2" x14ac:dyDescent="0.25">
      <c r="A4971" s="81" t="s">
        <v>7171</v>
      </c>
      <c r="B4971" s="80" t="s">
        <v>9515</v>
      </c>
    </row>
    <row r="4972" spans="1:2" x14ac:dyDescent="0.25">
      <c r="A4972" s="81" t="s">
        <v>7172</v>
      </c>
      <c r="B4972" s="80" t="s">
        <v>9515</v>
      </c>
    </row>
    <row r="4973" spans="1:2" x14ac:dyDescent="0.25">
      <c r="A4973" s="81" t="s">
        <v>7173</v>
      </c>
      <c r="B4973" s="80" t="s">
        <v>9515</v>
      </c>
    </row>
    <row r="4974" spans="1:2" x14ac:dyDescent="0.25">
      <c r="A4974" s="81" t="s">
        <v>7174</v>
      </c>
      <c r="B4974" s="80" t="s">
        <v>9515</v>
      </c>
    </row>
    <row r="4975" spans="1:2" x14ac:dyDescent="0.25">
      <c r="A4975" s="81" t="s">
        <v>7175</v>
      </c>
      <c r="B4975" s="80" t="s">
        <v>9515</v>
      </c>
    </row>
    <row r="4976" spans="1:2" x14ac:dyDescent="0.25">
      <c r="A4976" s="81" t="s">
        <v>7176</v>
      </c>
      <c r="B4976" s="80" t="s">
        <v>9515</v>
      </c>
    </row>
    <row r="4977" spans="1:2" x14ac:dyDescent="0.25">
      <c r="A4977" s="81" t="s">
        <v>7177</v>
      </c>
      <c r="B4977" s="80" t="s">
        <v>9515</v>
      </c>
    </row>
    <row r="4978" spans="1:2" x14ac:dyDescent="0.25">
      <c r="A4978" s="81" t="s">
        <v>7178</v>
      </c>
      <c r="B4978" s="80" t="s">
        <v>9515</v>
      </c>
    </row>
    <row r="4979" spans="1:2" x14ac:dyDescent="0.25">
      <c r="A4979" s="81" t="s">
        <v>7179</v>
      </c>
      <c r="B4979" s="80" t="s">
        <v>9515</v>
      </c>
    </row>
    <row r="4980" spans="1:2" x14ac:dyDescent="0.25">
      <c r="A4980" s="81" t="s">
        <v>7180</v>
      </c>
      <c r="B4980" s="80" t="s">
        <v>9515</v>
      </c>
    </row>
    <row r="4981" spans="1:2" x14ac:dyDescent="0.25">
      <c r="A4981" s="81" t="s">
        <v>7181</v>
      </c>
      <c r="B4981" s="80" t="s">
        <v>9515</v>
      </c>
    </row>
    <row r="4982" spans="1:2" x14ac:dyDescent="0.25">
      <c r="A4982" s="81" t="s">
        <v>7182</v>
      </c>
      <c r="B4982" s="80" t="s">
        <v>9515</v>
      </c>
    </row>
    <row r="4983" spans="1:2" x14ac:dyDescent="0.25">
      <c r="A4983" s="81" t="s">
        <v>7183</v>
      </c>
      <c r="B4983" s="80" t="s">
        <v>9515</v>
      </c>
    </row>
    <row r="4984" spans="1:2" x14ac:dyDescent="0.25">
      <c r="A4984" s="81" t="s">
        <v>7184</v>
      </c>
      <c r="B4984" s="80" t="s">
        <v>9515</v>
      </c>
    </row>
    <row r="4985" spans="1:2" x14ac:dyDescent="0.25">
      <c r="A4985" s="81" t="s">
        <v>7185</v>
      </c>
      <c r="B4985" s="80" t="s">
        <v>9515</v>
      </c>
    </row>
    <row r="4986" spans="1:2" x14ac:dyDescent="0.25">
      <c r="A4986" s="81" t="s">
        <v>7186</v>
      </c>
      <c r="B4986" s="80" t="s">
        <v>9515</v>
      </c>
    </row>
    <row r="4987" spans="1:2" x14ac:dyDescent="0.25">
      <c r="A4987" s="81" t="s">
        <v>7187</v>
      </c>
      <c r="B4987" s="80" t="s">
        <v>9515</v>
      </c>
    </row>
    <row r="4988" spans="1:2" x14ac:dyDescent="0.25">
      <c r="A4988" s="81" t="s">
        <v>7188</v>
      </c>
      <c r="B4988" s="80" t="s">
        <v>9515</v>
      </c>
    </row>
    <row r="4989" spans="1:2" x14ac:dyDescent="0.25">
      <c r="A4989" s="81" t="s">
        <v>7189</v>
      </c>
      <c r="B4989" s="80" t="s">
        <v>9515</v>
      </c>
    </row>
    <row r="4990" spans="1:2" x14ac:dyDescent="0.25">
      <c r="A4990" s="81" t="s">
        <v>7190</v>
      </c>
      <c r="B4990" s="80" t="s">
        <v>9515</v>
      </c>
    </row>
    <row r="4991" spans="1:2" x14ac:dyDescent="0.25">
      <c r="A4991" s="81" t="s">
        <v>7191</v>
      </c>
      <c r="B4991" s="80" t="s">
        <v>9515</v>
      </c>
    </row>
    <row r="4992" spans="1:2" x14ac:dyDescent="0.25">
      <c r="A4992" s="81" t="s">
        <v>7192</v>
      </c>
      <c r="B4992" s="80" t="s">
        <v>9515</v>
      </c>
    </row>
    <row r="4993" spans="1:2" x14ac:dyDescent="0.25">
      <c r="A4993" s="81" t="s">
        <v>7193</v>
      </c>
      <c r="B4993" s="80" t="s">
        <v>9515</v>
      </c>
    </row>
    <row r="4994" spans="1:2" x14ac:dyDescent="0.25">
      <c r="A4994" s="81" t="s">
        <v>7194</v>
      </c>
      <c r="B4994" s="80" t="s">
        <v>9515</v>
      </c>
    </row>
    <row r="4995" spans="1:2" x14ac:dyDescent="0.25">
      <c r="A4995" s="81" t="s">
        <v>7195</v>
      </c>
      <c r="B4995" s="80" t="s">
        <v>9515</v>
      </c>
    </row>
    <row r="4996" spans="1:2" x14ac:dyDescent="0.25">
      <c r="A4996" s="81" t="s">
        <v>7196</v>
      </c>
      <c r="B4996" s="80" t="s">
        <v>9515</v>
      </c>
    </row>
    <row r="4997" spans="1:2" x14ac:dyDescent="0.25">
      <c r="A4997" s="81" t="s">
        <v>7197</v>
      </c>
      <c r="B4997" s="80" t="s">
        <v>9515</v>
      </c>
    </row>
    <row r="4998" spans="1:2" x14ac:dyDescent="0.25">
      <c r="A4998" s="81" t="s">
        <v>7198</v>
      </c>
      <c r="B4998" s="80" t="s">
        <v>9515</v>
      </c>
    </row>
    <row r="4999" spans="1:2" x14ac:dyDescent="0.25">
      <c r="A4999" s="81" t="s">
        <v>7199</v>
      </c>
      <c r="B4999" s="80" t="s">
        <v>9515</v>
      </c>
    </row>
    <row r="5000" spans="1:2" x14ac:dyDescent="0.25">
      <c r="A5000" s="81" t="s">
        <v>7200</v>
      </c>
      <c r="B5000" s="80" t="s">
        <v>9515</v>
      </c>
    </row>
    <row r="5001" spans="1:2" x14ac:dyDescent="0.25">
      <c r="A5001" s="81" t="s">
        <v>7201</v>
      </c>
      <c r="B5001" s="80" t="s">
        <v>9515</v>
      </c>
    </row>
    <row r="5002" spans="1:2" x14ac:dyDescent="0.25">
      <c r="A5002" s="81" t="s">
        <v>7202</v>
      </c>
      <c r="B5002" s="80" t="s">
        <v>9515</v>
      </c>
    </row>
    <row r="5003" spans="1:2" x14ac:dyDescent="0.25">
      <c r="A5003" s="81" t="s">
        <v>7203</v>
      </c>
      <c r="B5003" s="80" t="s">
        <v>9515</v>
      </c>
    </row>
    <row r="5004" spans="1:2" x14ac:dyDescent="0.25">
      <c r="A5004" s="81" t="s">
        <v>7204</v>
      </c>
      <c r="B5004" s="80" t="s">
        <v>9515</v>
      </c>
    </row>
    <row r="5005" spans="1:2" x14ac:dyDescent="0.25">
      <c r="A5005" s="81" t="s">
        <v>7205</v>
      </c>
      <c r="B5005" s="80" t="s">
        <v>9515</v>
      </c>
    </row>
    <row r="5006" spans="1:2" x14ac:dyDescent="0.25">
      <c r="A5006" s="81" t="s">
        <v>7206</v>
      </c>
      <c r="B5006" s="80" t="s">
        <v>9515</v>
      </c>
    </row>
    <row r="5007" spans="1:2" x14ac:dyDescent="0.25">
      <c r="A5007" s="81" t="s">
        <v>7207</v>
      </c>
      <c r="B5007" s="80" t="s">
        <v>9515</v>
      </c>
    </row>
    <row r="5008" spans="1:2" x14ac:dyDescent="0.25">
      <c r="A5008" s="81" t="s">
        <v>7208</v>
      </c>
      <c r="B5008" s="80" t="s">
        <v>9515</v>
      </c>
    </row>
    <row r="5009" spans="1:2" x14ac:dyDescent="0.25">
      <c r="A5009" s="81" t="s">
        <v>7209</v>
      </c>
      <c r="B5009" s="80" t="s">
        <v>9515</v>
      </c>
    </row>
    <row r="5010" spans="1:2" x14ac:dyDescent="0.25">
      <c r="A5010" s="81" t="s">
        <v>7210</v>
      </c>
      <c r="B5010" s="80" t="s">
        <v>9515</v>
      </c>
    </row>
    <row r="5011" spans="1:2" x14ac:dyDescent="0.25">
      <c r="A5011" s="81" t="s">
        <v>7211</v>
      </c>
      <c r="B5011" s="80" t="s">
        <v>9515</v>
      </c>
    </row>
    <row r="5012" spans="1:2" x14ac:dyDescent="0.25">
      <c r="A5012" s="81" t="s">
        <v>7212</v>
      </c>
      <c r="B5012" s="80" t="s">
        <v>9515</v>
      </c>
    </row>
    <row r="5013" spans="1:2" x14ac:dyDescent="0.25">
      <c r="A5013" s="81" t="s">
        <v>7213</v>
      </c>
      <c r="B5013" s="80" t="s">
        <v>9515</v>
      </c>
    </row>
    <row r="5014" spans="1:2" x14ac:dyDescent="0.25">
      <c r="A5014" s="81" t="s">
        <v>7214</v>
      </c>
      <c r="B5014" s="80" t="s">
        <v>9515</v>
      </c>
    </row>
    <row r="5015" spans="1:2" x14ac:dyDescent="0.25">
      <c r="A5015" s="81" t="s">
        <v>7215</v>
      </c>
      <c r="B5015" s="80" t="s">
        <v>9515</v>
      </c>
    </row>
    <row r="5016" spans="1:2" x14ac:dyDescent="0.25">
      <c r="A5016" s="81" t="s">
        <v>7216</v>
      </c>
      <c r="B5016" s="80" t="s">
        <v>9515</v>
      </c>
    </row>
    <row r="5017" spans="1:2" x14ac:dyDescent="0.25">
      <c r="A5017" s="81" t="s">
        <v>7217</v>
      </c>
      <c r="B5017" s="80" t="s">
        <v>9515</v>
      </c>
    </row>
    <row r="5018" spans="1:2" x14ac:dyDescent="0.25">
      <c r="A5018" s="81" t="s">
        <v>7218</v>
      </c>
      <c r="B5018" s="80" t="s">
        <v>9515</v>
      </c>
    </row>
    <row r="5019" spans="1:2" x14ac:dyDescent="0.25">
      <c r="A5019" s="81" t="s">
        <v>7219</v>
      </c>
      <c r="B5019" s="80" t="s">
        <v>9515</v>
      </c>
    </row>
    <row r="5020" spans="1:2" x14ac:dyDescent="0.25">
      <c r="A5020" s="81" t="s">
        <v>7220</v>
      </c>
      <c r="B5020" s="80" t="s">
        <v>9515</v>
      </c>
    </row>
    <row r="5021" spans="1:2" x14ac:dyDescent="0.25">
      <c r="A5021" s="81" t="s">
        <v>7221</v>
      </c>
      <c r="B5021" s="80" t="s">
        <v>9515</v>
      </c>
    </row>
    <row r="5022" spans="1:2" x14ac:dyDescent="0.25">
      <c r="A5022" s="81" t="s">
        <v>7222</v>
      </c>
      <c r="B5022" s="80" t="s">
        <v>9515</v>
      </c>
    </row>
    <row r="5023" spans="1:2" x14ac:dyDescent="0.25">
      <c r="A5023" s="81" t="s">
        <v>7223</v>
      </c>
      <c r="B5023" s="80" t="s">
        <v>9515</v>
      </c>
    </row>
    <row r="5024" spans="1:2" x14ac:dyDescent="0.25">
      <c r="A5024" s="81" t="s">
        <v>7224</v>
      </c>
      <c r="B5024" s="80" t="s">
        <v>9515</v>
      </c>
    </row>
    <row r="5025" spans="1:2" x14ac:dyDescent="0.25">
      <c r="A5025" s="81" t="s">
        <v>7225</v>
      </c>
      <c r="B5025" s="80" t="s">
        <v>9515</v>
      </c>
    </row>
    <row r="5026" spans="1:2" x14ac:dyDescent="0.25">
      <c r="A5026" s="81" t="s">
        <v>7226</v>
      </c>
      <c r="B5026" s="80" t="s">
        <v>9515</v>
      </c>
    </row>
    <row r="5027" spans="1:2" x14ac:dyDescent="0.25">
      <c r="A5027" s="81" t="s">
        <v>7227</v>
      </c>
      <c r="B5027" s="80" t="s">
        <v>9515</v>
      </c>
    </row>
    <row r="5028" spans="1:2" x14ac:dyDescent="0.25">
      <c r="A5028" s="81" t="s">
        <v>7228</v>
      </c>
      <c r="B5028" s="80" t="s">
        <v>9515</v>
      </c>
    </row>
    <row r="5029" spans="1:2" x14ac:dyDescent="0.25">
      <c r="A5029" s="81" t="s">
        <v>7229</v>
      </c>
      <c r="B5029" s="80" t="s">
        <v>9515</v>
      </c>
    </row>
    <row r="5030" spans="1:2" x14ac:dyDescent="0.25">
      <c r="A5030" s="81" t="s">
        <v>7230</v>
      </c>
      <c r="B5030" s="80" t="s">
        <v>9515</v>
      </c>
    </row>
    <row r="5031" spans="1:2" x14ac:dyDescent="0.25">
      <c r="A5031" s="81" t="s">
        <v>7231</v>
      </c>
      <c r="B5031" s="80" t="s">
        <v>9515</v>
      </c>
    </row>
    <row r="5032" spans="1:2" x14ac:dyDescent="0.25">
      <c r="A5032" s="81" t="s">
        <v>7232</v>
      </c>
      <c r="B5032" s="80" t="s">
        <v>9515</v>
      </c>
    </row>
    <row r="5033" spans="1:2" x14ac:dyDescent="0.25">
      <c r="A5033" s="81" t="s">
        <v>7233</v>
      </c>
      <c r="B5033" s="80" t="s">
        <v>9515</v>
      </c>
    </row>
    <row r="5034" spans="1:2" x14ac:dyDescent="0.25">
      <c r="A5034" s="81" t="s">
        <v>7234</v>
      </c>
      <c r="B5034" s="80" t="s">
        <v>9515</v>
      </c>
    </row>
    <row r="5035" spans="1:2" x14ac:dyDescent="0.25">
      <c r="A5035" s="81" t="s">
        <v>7235</v>
      </c>
      <c r="B5035" s="80" t="s">
        <v>9515</v>
      </c>
    </row>
    <row r="5036" spans="1:2" x14ac:dyDescent="0.25">
      <c r="A5036" s="81" t="s">
        <v>7236</v>
      </c>
      <c r="B5036" s="80" t="s">
        <v>9515</v>
      </c>
    </row>
    <row r="5037" spans="1:2" x14ac:dyDescent="0.25">
      <c r="A5037" s="81" t="s">
        <v>7237</v>
      </c>
      <c r="B5037" s="80" t="s">
        <v>9515</v>
      </c>
    </row>
    <row r="5038" spans="1:2" x14ac:dyDescent="0.25">
      <c r="A5038" s="81" t="s">
        <v>7238</v>
      </c>
      <c r="B5038" s="80" t="s">
        <v>9515</v>
      </c>
    </row>
    <row r="5039" spans="1:2" x14ac:dyDescent="0.25">
      <c r="A5039" s="81" t="s">
        <v>7239</v>
      </c>
      <c r="B5039" s="80" t="s">
        <v>9515</v>
      </c>
    </row>
    <row r="5040" spans="1:2" x14ac:dyDescent="0.25">
      <c r="A5040" s="81" t="s">
        <v>7240</v>
      </c>
      <c r="B5040" s="80" t="s">
        <v>9515</v>
      </c>
    </row>
    <row r="5041" spans="1:2" x14ac:dyDescent="0.25">
      <c r="A5041" s="81" t="s">
        <v>7241</v>
      </c>
      <c r="B5041" s="80" t="s">
        <v>9515</v>
      </c>
    </row>
    <row r="5042" spans="1:2" x14ac:dyDescent="0.25">
      <c r="A5042" s="81" t="s">
        <v>7242</v>
      </c>
      <c r="B5042" s="80" t="s">
        <v>9515</v>
      </c>
    </row>
    <row r="5043" spans="1:2" x14ac:dyDescent="0.25">
      <c r="A5043" s="81" t="s">
        <v>7243</v>
      </c>
      <c r="B5043" s="80" t="s">
        <v>9515</v>
      </c>
    </row>
    <row r="5044" spans="1:2" x14ac:dyDescent="0.25">
      <c r="A5044" s="81" t="s">
        <v>7244</v>
      </c>
      <c r="B5044" s="80" t="s">
        <v>9515</v>
      </c>
    </row>
    <row r="5045" spans="1:2" x14ac:dyDescent="0.25">
      <c r="A5045" s="81" t="s">
        <v>7245</v>
      </c>
      <c r="B5045" s="80" t="s">
        <v>9515</v>
      </c>
    </row>
    <row r="5046" spans="1:2" x14ac:dyDescent="0.25">
      <c r="A5046" s="81" t="s">
        <v>7246</v>
      </c>
      <c r="B5046" s="80" t="s">
        <v>9515</v>
      </c>
    </row>
    <row r="5047" spans="1:2" x14ac:dyDescent="0.25">
      <c r="A5047" s="81" t="s">
        <v>7247</v>
      </c>
      <c r="B5047" s="80" t="s">
        <v>9515</v>
      </c>
    </row>
    <row r="5048" spans="1:2" x14ac:dyDescent="0.25">
      <c r="A5048" s="81" t="s">
        <v>7248</v>
      </c>
      <c r="B5048" s="80" t="s">
        <v>9515</v>
      </c>
    </row>
    <row r="5049" spans="1:2" x14ac:dyDescent="0.25">
      <c r="A5049" s="81" t="s">
        <v>7249</v>
      </c>
      <c r="B5049" s="80" t="s">
        <v>9515</v>
      </c>
    </row>
    <row r="5050" spans="1:2" x14ac:dyDescent="0.25">
      <c r="A5050" s="81" t="s">
        <v>7250</v>
      </c>
      <c r="B5050" s="80" t="s">
        <v>9515</v>
      </c>
    </row>
    <row r="5051" spans="1:2" x14ac:dyDescent="0.25">
      <c r="A5051" s="81" t="s">
        <v>7251</v>
      </c>
      <c r="B5051" s="80" t="s">
        <v>9515</v>
      </c>
    </row>
    <row r="5052" spans="1:2" x14ac:dyDescent="0.25">
      <c r="A5052" s="81" t="s">
        <v>7252</v>
      </c>
      <c r="B5052" s="80" t="s">
        <v>9515</v>
      </c>
    </row>
    <row r="5053" spans="1:2" x14ac:dyDescent="0.25">
      <c r="A5053" s="81" t="s">
        <v>7253</v>
      </c>
      <c r="B5053" s="80" t="s">
        <v>9515</v>
      </c>
    </row>
    <row r="5054" spans="1:2" x14ac:dyDescent="0.25">
      <c r="A5054" s="81" t="s">
        <v>7254</v>
      </c>
      <c r="B5054" s="80" t="s">
        <v>9515</v>
      </c>
    </row>
    <row r="5055" spans="1:2" x14ac:dyDescent="0.25">
      <c r="A5055" s="81" t="s">
        <v>7255</v>
      </c>
      <c r="B5055" s="80" t="s">
        <v>9515</v>
      </c>
    </row>
    <row r="5056" spans="1:2" x14ac:dyDescent="0.25">
      <c r="A5056" s="81" t="s">
        <v>7256</v>
      </c>
      <c r="B5056" s="80" t="s">
        <v>9515</v>
      </c>
    </row>
    <row r="5057" spans="1:2" x14ac:dyDescent="0.25">
      <c r="A5057" s="81" t="s">
        <v>7257</v>
      </c>
      <c r="B5057" s="80" t="s">
        <v>9515</v>
      </c>
    </row>
    <row r="5058" spans="1:2" x14ac:dyDescent="0.25">
      <c r="A5058" s="81" t="s">
        <v>7258</v>
      </c>
      <c r="B5058" s="80" t="s">
        <v>9515</v>
      </c>
    </row>
    <row r="5059" spans="1:2" x14ac:dyDescent="0.25">
      <c r="A5059" s="81" t="s">
        <v>7259</v>
      </c>
      <c r="B5059" s="80" t="s">
        <v>9515</v>
      </c>
    </row>
    <row r="5060" spans="1:2" x14ac:dyDescent="0.25">
      <c r="A5060" s="81" t="s">
        <v>7260</v>
      </c>
      <c r="B5060" s="80" t="s">
        <v>9515</v>
      </c>
    </row>
    <row r="5061" spans="1:2" x14ac:dyDescent="0.25">
      <c r="A5061" s="81" t="s">
        <v>7261</v>
      </c>
      <c r="B5061" s="80" t="s">
        <v>9515</v>
      </c>
    </row>
    <row r="5062" spans="1:2" x14ac:dyDescent="0.25">
      <c r="A5062" s="81" t="s">
        <v>7262</v>
      </c>
      <c r="B5062" s="80" t="s">
        <v>9515</v>
      </c>
    </row>
    <row r="5063" spans="1:2" x14ac:dyDescent="0.25">
      <c r="A5063" s="81" t="s">
        <v>7263</v>
      </c>
      <c r="B5063" s="80" t="s">
        <v>9515</v>
      </c>
    </row>
    <row r="5064" spans="1:2" x14ac:dyDescent="0.25">
      <c r="A5064" s="81" t="s">
        <v>7264</v>
      </c>
      <c r="B5064" s="80" t="s">
        <v>9515</v>
      </c>
    </row>
    <row r="5065" spans="1:2" x14ac:dyDescent="0.25">
      <c r="A5065" s="81" t="s">
        <v>7265</v>
      </c>
      <c r="B5065" s="80" t="s">
        <v>9515</v>
      </c>
    </row>
    <row r="5066" spans="1:2" x14ac:dyDescent="0.25">
      <c r="A5066" s="81" t="s">
        <v>7266</v>
      </c>
      <c r="B5066" s="80" t="s">
        <v>9515</v>
      </c>
    </row>
    <row r="5067" spans="1:2" x14ac:dyDescent="0.25">
      <c r="A5067" s="81" t="s">
        <v>7267</v>
      </c>
      <c r="B5067" s="80" t="s">
        <v>9515</v>
      </c>
    </row>
    <row r="5068" spans="1:2" x14ac:dyDescent="0.25">
      <c r="A5068" s="81" t="s">
        <v>7268</v>
      </c>
      <c r="B5068" s="80" t="s">
        <v>9515</v>
      </c>
    </row>
    <row r="5069" spans="1:2" x14ac:dyDescent="0.25">
      <c r="A5069" s="81" t="s">
        <v>7269</v>
      </c>
      <c r="B5069" s="80" t="s">
        <v>9515</v>
      </c>
    </row>
    <row r="5070" spans="1:2" x14ac:dyDescent="0.25">
      <c r="A5070" s="81" t="s">
        <v>7270</v>
      </c>
      <c r="B5070" s="80" t="s">
        <v>9515</v>
      </c>
    </row>
    <row r="5071" spans="1:2" x14ac:dyDescent="0.25">
      <c r="A5071" s="81" t="s">
        <v>7271</v>
      </c>
      <c r="B5071" s="80" t="s">
        <v>9515</v>
      </c>
    </row>
    <row r="5072" spans="1:2" x14ac:dyDescent="0.25">
      <c r="A5072" s="81" t="s">
        <v>7272</v>
      </c>
      <c r="B5072" s="80" t="s">
        <v>9515</v>
      </c>
    </row>
    <row r="5073" spans="1:2" x14ac:dyDescent="0.25">
      <c r="A5073" s="81" t="s">
        <v>7273</v>
      </c>
      <c r="B5073" s="80" t="s">
        <v>9515</v>
      </c>
    </row>
    <row r="5074" spans="1:2" x14ac:dyDescent="0.25">
      <c r="A5074" s="81" t="s">
        <v>7274</v>
      </c>
      <c r="B5074" s="80" t="s">
        <v>9515</v>
      </c>
    </row>
    <row r="5075" spans="1:2" x14ac:dyDescent="0.25">
      <c r="A5075" s="81" t="s">
        <v>7275</v>
      </c>
      <c r="B5075" s="80" t="s">
        <v>9515</v>
      </c>
    </row>
    <row r="5076" spans="1:2" x14ac:dyDescent="0.25">
      <c r="A5076" s="81" t="s">
        <v>7276</v>
      </c>
      <c r="B5076" s="80" t="s">
        <v>9515</v>
      </c>
    </row>
    <row r="5077" spans="1:2" x14ac:dyDescent="0.25">
      <c r="A5077" s="81" t="s">
        <v>7277</v>
      </c>
      <c r="B5077" s="80" t="s">
        <v>9515</v>
      </c>
    </row>
    <row r="5078" spans="1:2" x14ac:dyDescent="0.25">
      <c r="A5078" s="81" t="s">
        <v>7278</v>
      </c>
      <c r="B5078" s="80" t="s">
        <v>9515</v>
      </c>
    </row>
    <row r="5079" spans="1:2" x14ac:dyDescent="0.25">
      <c r="A5079" s="81" t="s">
        <v>7279</v>
      </c>
      <c r="B5079" s="80" t="s">
        <v>9515</v>
      </c>
    </row>
    <row r="5080" spans="1:2" x14ac:dyDescent="0.25">
      <c r="A5080" s="81" t="s">
        <v>7280</v>
      </c>
      <c r="B5080" s="80" t="s">
        <v>9515</v>
      </c>
    </row>
    <row r="5081" spans="1:2" x14ac:dyDescent="0.25">
      <c r="A5081" s="81" t="s">
        <v>7281</v>
      </c>
      <c r="B5081" s="80" t="s">
        <v>9515</v>
      </c>
    </row>
    <row r="5082" spans="1:2" x14ac:dyDescent="0.25">
      <c r="A5082" s="81" t="s">
        <v>7282</v>
      </c>
      <c r="B5082" s="80" t="s">
        <v>9515</v>
      </c>
    </row>
    <row r="5083" spans="1:2" x14ac:dyDescent="0.25">
      <c r="A5083" s="81" t="s">
        <v>7283</v>
      </c>
      <c r="B5083" s="80" t="s">
        <v>9515</v>
      </c>
    </row>
    <row r="5084" spans="1:2" x14ac:dyDescent="0.25">
      <c r="A5084" s="81" t="s">
        <v>7284</v>
      </c>
      <c r="B5084" s="80" t="s">
        <v>9515</v>
      </c>
    </row>
    <row r="5085" spans="1:2" x14ac:dyDescent="0.25">
      <c r="A5085" s="81" t="s">
        <v>7285</v>
      </c>
      <c r="B5085" s="80" t="s">
        <v>9515</v>
      </c>
    </row>
    <row r="5086" spans="1:2" x14ac:dyDescent="0.25">
      <c r="A5086" s="81" t="s">
        <v>7286</v>
      </c>
      <c r="B5086" s="80" t="s">
        <v>9515</v>
      </c>
    </row>
    <row r="5087" spans="1:2" x14ac:dyDescent="0.25">
      <c r="A5087" s="81" t="s">
        <v>7287</v>
      </c>
      <c r="B5087" s="80" t="s">
        <v>9515</v>
      </c>
    </row>
    <row r="5088" spans="1:2" x14ac:dyDescent="0.25">
      <c r="A5088" s="81" t="s">
        <v>7288</v>
      </c>
      <c r="B5088" s="80" t="s">
        <v>9515</v>
      </c>
    </row>
    <row r="5089" spans="1:2" x14ac:dyDescent="0.25">
      <c r="A5089" s="81" t="s">
        <v>7289</v>
      </c>
      <c r="B5089" s="80" t="s">
        <v>9515</v>
      </c>
    </row>
    <row r="5090" spans="1:2" x14ac:dyDescent="0.25">
      <c r="A5090" s="81" t="s">
        <v>7290</v>
      </c>
      <c r="B5090" s="80" t="s">
        <v>9515</v>
      </c>
    </row>
    <row r="5091" spans="1:2" x14ac:dyDescent="0.25">
      <c r="A5091" s="81" t="s">
        <v>7291</v>
      </c>
      <c r="B5091" s="80" t="s">
        <v>9515</v>
      </c>
    </row>
    <row r="5092" spans="1:2" x14ac:dyDescent="0.25">
      <c r="A5092" s="81" t="s">
        <v>7292</v>
      </c>
      <c r="B5092" s="80" t="s">
        <v>9515</v>
      </c>
    </row>
    <row r="5093" spans="1:2" x14ac:dyDescent="0.25">
      <c r="A5093" s="81" t="s">
        <v>7293</v>
      </c>
      <c r="B5093" s="80" t="s">
        <v>9515</v>
      </c>
    </row>
    <row r="5094" spans="1:2" x14ac:dyDescent="0.25">
      <c r="A5094" s="81" t="s">
        <v>7294</v>
      </c>
      <c r="B5094" s="80" t="s">
        <v>9515</v>
      </c>
    </row>
    <row r="5095" spans="1:2" x14ac:dyDescent="0.25">
      <c r="A5095" s="81" t="s">
        <v>7295</v>
      </c>
      <c r="B5095" s="80" t="s">
        <v>9515</v>
      </c>
    </row>
    <row r="5096" spans="1:2" x14ac:dyDescent="0.25">
      <c r="A5096" s="81" t="s">
        <v>7296</v>
      </c>
      <c r="B5096" s="80" t="s">
        <v>9515</v>
      </c>
    </row>
    <row r="5097" spans="1:2" x14ac:dyDescent="0.25">
      <c r="A5097" s="81" t="s">
        <v>7297</v>
      </c>
      <c r="B5097" s="80" t="s">
        <v>9515</v>
      </c>
    </row>
    <row r="5098" spans="1:2" x14ac:dyDescent="0.25">
      <c r="A5098" s="81" t="s">
        <v>7298</v>
      </c>
      <c r="B5098" s="80" t="s">
        <v>9515</v>
      </c>
    </row>
    <row r="5099" spans="1:2" x14ac:dyDescent="0.25">
      <c r="A5099" s="81" t="s">
        <v>7299</v>
      </c>
      <c r="B5099" s="80" t="s">
        <v>9515</v>
      </c>
    </row>
    <row r="5100" spans="1:2" x14ac:dyDescent="0.25">
      <c r="A5100" s="81" t="s">
        <v>7300</v>
      </c>
      <c r="B5100" s="80" t="s">
        <v>9515</v>
      </c>
    </row>
    <row r="5101" spans="1:2" x14ac:dyDescent="0.25">
      <c r="A5101" s="81" t="s">
        <v>7301</v>
      </c>
      <c r="B5101" s="80" t="s">
        <v>9515</v>
      </c>
    </row>
    <row r="5102" spans="1:2" x14ac:dyDescent="0.25">
      <c r="A5102" s="81" t="s">
        <v>7302</v>
      </c>
      <c r="B5102" s="80" t="s">
        <v>9515</v>
      </c>
    </row>
    <row r="5103" spans="1:2" x14ac:dyDescent="0.25">
      <c r="A5103" s="81" t="s">
        <v>7303</v>
      </c>
      <c r="B5103" s="80" t="s">
        <v>9515</v>
      </c>
    </row>
    <row r="5104" spans="1:2" x14ac:dyDescent="0.25">
      <c r="A5104" s="81" t="s">
        <v>7304</v>
      </c>
      <c r="B5104" s="80" t="s">
        <v>9515</v>
      </c>
    </row>
    <row r="5105" spans="1:2" x14ac:dyDescent="0.25">
      <c r="A5105" s="81" t="s">
        <v>7305</v>
      </c>
      <c r="B5105" s="80" t="s">
        <v>9515</v>
      </c>
    </row>
    <row r="5106" spans="1:2" x14ac:dyDescent="0.25">
      <c r="A5106" s="81" t="s">
        <v>7306</v>
      </c>
      <c r="B5106" s="80" t="s">
        <v>9515</v>
      </c>
    </row>
    <row r="5107" spans="1:2" x14ac:dyDescent="0.25">
      <c r="A5107" s="81" t="s">
        <v>7307</v>
      </c>
      <c r="B5107" s="80" t="s">
        <v>9515</v>
      </c>
    </row>
    <row r="5108" spans="1:2" x14ac:dyDescent="0.25">
      <c r="A5108" s="81" t="s">
        <v>7308</v>
      </c>
      <c r="B5108" s="80" t="s">
        <v>9515</v>
      </c>
    </row>
    <row r="5109" spans="1:2" x14ac:dyDescent="0.25">
      <c r="A5109" s="81" t="s">
        <v>7309</v>
      </c>
      <c r="B5109" s="80" t="s">
        <v>9515</v>
      </c>
    </row>
    <row r="5110" spans="1:2" x14ac:dyDescent="0.25">
      <c r="A5110" s="81" t="s">
        <v>7310</v>
      </c>
      <c r="B5110" s="80" t="s">
        <v>9515</v>
      </c>
    </row>
    <row r="5111" spans="1:2" x14ac:dyDescent="0.25">
      <c r="A5111" s="81" t="s">
        <v>7311</v>
      </c>
      <c r="B5111" s="80" t="s">
        <v>9515</v>
      </c>
    </row>
    <row r="5112" spans="1:2" x14ac:dyDescent="0.25">
      <c r="A5112" s="81" t="s">
        <v>7312</v>
      </c>
      <c r="B5112" s="80" t="s">
        <v>9515</v>
      </c>
    </row>
    <row r="5113" spans="1:2" x14ac:dyDescent="0.25">
      <c r="A5113" s="81" t="s">
        <v>7313</v>
      </c>
      <c r="B5113" s="80" t="s">
        <v>9515</v>
      </c>
    </row>
    <row r="5114" spans="1:2" x14ac:dyDescent="0.25">
      <c r="A5114" s="81" t="s">
        <v>7314</v>
      </c>
      <c r="B5114" s="80" t="s">
        <v>9515</v>
      </c>
    </row>
    <row r="5115" spans="1:2" x14ac:dyDescent="0.25">
      <c r="A5115" s="81" t="s">
        <v>7315</v>
      </c>
      <c r="B5115" s="80" t="s">
        <v>9515</v>
      </c>
    </row>
    <row r="5116" spans="1:2" x14ac:dyDescent="0.25">
      <c r="A5116" s="81" t="s">
        <v>2223</v>
      </c>
      <c r="B5116" s="80" t="s">
        <v>9515</v>
      </c>
    </row>
    <row r="5117" spans="1:2" x14ac:dyDescent="0.25">
      <c r="A5117" s="81" t="s">
        <v>7316</v>
      </c>
      <c r="B5117" s="80" t="s">
        <v>9515</v>
      </c>
    </row>
    <row r="5118" spans="1:2" x14ac:dyDescent="0.25">
      <c r="A5118" s="81" t="s">
        <v>7317</v>
      </c>
      <c r="B5118" s="80" t="s">
        <v>9515</v>
      </c>
    </row>
    <row r="5119" spans="1:2" x14ac:dyDescent="0.25">
      <c r="A5119" s="81" t="s">
        <v>7318</v>
      </c>
      <c r="B5119" s="80" t="s">
        <v>9515</v>
      </c>
    </row>
    <row r="5120" spans="1:2" x14ac:dyDescent="0.25">
      <c r="A5120" s="81" t="s">
        <v>7319</v>
      </c>
      <c r="B5120" s="80" t="s">
        <v>9515</v>
      </c>
    </row>
    <row r="5121" spans="1:2" x14ac:dyDescent="0.25">
      <c r="A5121" s="81" t="s">
        <v>7320</v>
      </c>
      <c r="B5121" s="80" t="s">
        <v>9515</v>
      </c>
    </row>
    <row r="5122" spans="1:2" x14ac:dyDescent="0.25">
      <c r="A5122" s="81" t="s">
        <v>7321</v>
      </c>
      <c r="B5122" s="80" t="s">
        <v>9515</v>
      </c>
    </row>
    <row r="5123" spans="1:2" x14ac:dyDescent="0.25">
      <c r="A5123" s="81" t="s">
        <v>7322</v>
      </c>
      <c r="B5123" s="80" t="s">
        <v>9515</v>
      </c>
    </row>
    <row r="5124" spans="1:2" x14ac:dyDescent="0.25">
      <c r="A5124" s="81" t="s">
        <v>7323</v>
      </c>
      <c r="B5124" s="80" t="s">
        <v>9515</v>
      </c>
    </row>
    <row r="5125" spans="1:2" x14ac:dyDescent="0.25">
      <c r="A5125" s="81" t="s">
        <v>7324</v>
      </c>
      <c r="B5125" s="80" t="s">
        <v>9515</v>
      </c>
    </row>
    <row r="5126" spans="1:2" x14ac:dyDescent="0.25">
      <c r="A5126" s="81" t="s">
        <v>7325</v>
      </c>
      <c r="B5126" s="80" t="s">
        <v>9515</v>
      </c>
    </row>
    <row r="5127" spans="1:2" x14ac:dyDescent="0.25">
      <c r="A5127" s="81" t="s">
        <v>7326</v>
      </c>
      <c r="B5127" s="80" t="s">
        <v>9515</v>
      </c>
    </row>
    <row r="5128" spans="1:2" x14ac:dyDescent="0.25">
      <c r="A5128" s="81" t="s">
        <v>7327</v>
      </c>
      <c r="B5128" s="80" t="s">
        <v>9515</v>
      </c>
    </row>
    <row r="5129" spans="1:2" x14ac:dyDescent="0.25">
      <c r="A5129" s="81" t="s">
        <v>7328</v>
      </c>
      <c r="B5129" s="80" t="s">
        <v>9515</v>
      </c>
    </row>
    <row r="5130" spans="1:2" x14ac:dyDescent="0.25">
      <c r="A5130" s="81" t="s">
        <v>7329</v>
      </c>
      <c r="B5130" s="80" t="s">
        <v>9515</v>
      </c>
    </row>
    <row r="5131" spans="1:2" x14ac:dyDescent="0.25">
      <c r="A5131" s="81" t="s">
        <v>7330</v>
      </c>
      <c r="B5131" s="80" t="s">
        <v>9515</v>
      </c>
    </row>
    <row r="5132" spans="1:2" x14ac:dyDescent="0.25">
      <c r="A5132" s="81" t="s">
        <v>7331</v>
      </c>
      <c r="B5132" s="80" t="s">
        <v>9515</v>
      </c>
    </row>
    <row r="5133" spans="1:2" x14ac:dyDescent="0.25">
      <c r="A5133" s="81" t="s">
        <v>7332</v>
      </c>
      <c r="B5133" s="80" t="s">
        <v>9515</v>
      </c>
    </row>
    <row r="5134" spans="1:2" x14ac:dyDescent="0.25">
      <c r="A5134" s="81" t="s">
        <v>7333</v>
      </c>
      <c r="B5134" s="80" t="s">
        <v>9515</v>
      </c>
    </row>
    <row r="5135" spans="1:2" x14ac:dyDescent="0.25">
      <c r="A5135" s="81" t="s">
        <v>7334</v>
      </c>
      <c r="B5135" s="80" t="s">
        <v>9515</v>
      </c>
    </row>
    <row r="5136" spans="1:2" x14ac:dyDescent="0.25">
      <c r="A5136" s="81" t="s">
        <v>7335</v>
      </c>
      <c r="B5136" s="80" t="s">
        <v>9515</v>
      </c>
    </row>
    <row r="5137" spans="1:2" x14ac:dyDescent="0.25">
      <c r="A5137" s="81" t="s">
        <v>7336</v>
      </c>
      <c r="B5137" s="80" t="s">
        <v>9515</v>
      </c>
    </row>
    <row r="5138" spans="1:2" x14ac:dyDescent="0.25">
      <c r="A5138" s="81" t="s">
        <v>7337</v>
      </c>
      <c r="B5138" s="80" t="s">
        <v>9515</v>
      </c>
    </row>
    <row r="5139" spans="1:2" x14ac:dyDescent="0.25">
      <c r="A5139" s="81" t="s">
        <v>7338</v>
      </c>
      <c r="B5139" s="80" t="s">
        <v>9515</v>
      </c>
    </row>
    <row r="5140" spans="1:2" x14ac:dyDescent="0.25">
      <c r="A5140" s="81" t="s">
        <v>7339</v>
      </c>
      <c r="B5140" s="80" t="s">
        <v>9515</v>
      </c>
    </row>
    <row r="5141" spans="1:2" x14ac:dyDescent="0.25">
      <c r="A5141" s="81" t="s">
        <v>7340</v>
      </c>
      <c r="B5141" s="80" t="s">
        <v>9515</v>
      </c>
    </row>
    <row r="5142" spans="1:2" x14ac:dyDescent="0.25">
      <c r="A5142" s="81" t="s">
        <v>7341</v>
      </c>
      <c r="B5142" s="80" t="s">
        <v>9515</v>
      </c>
    </row>
    <row r="5143" spans="1:2" x14ac:dyDescent="0.25">
      <c r="A5143" s="81" t="s">
        <v>7342</v>
      </c>
      <c r="B5143" s="80" t="s">
        <v>9515</v>
      </c>
    </row>
    <row r="5144" spans="1:2" x14ac:dyDescent="0.25">
      <c r="A5144" s="81" t="s">
        <v>7343</v>
      </c>
      <c r="B5144" s="80" t="s">
        <v>9515</v>
      </c>
    </row>
    <row r="5145" spans="1:2" x14ac:dyDescent="0.25">
      <c r="A5145" s="81" t="s">
        <v>7344</v>
      </c>
      <c r="B5145" s="80" t="s">
        <v>9515</v>
      </c>
    </row>
    <row r="5146" spans="1:2" x14ac:dyDescent="0.25">
      <c r="A5146" s="81" t="s">
        <v>7345</v>
      </c>
      <c r="B5146" s="80" t="s">
        <v>9515</v>
      </c>
    </row>
    <row r="5147" spans="1:2" x14ac:dyDescent="0.25">
      <c r="A5147" s="81" t="s">
        <v>7346</v>
      </c>
      <c r="B5147" s="80" t="s">
        <v>9515</v>
      </c>
    </row>
    <row r="5148" spans="1:2" x14ac:dyDescent="0.25">
      <c r="A5148" s="81" t="s">
        <v>7347</v>
      </c>
      <c r="B5148" s="80" t="s">
        <v>9515</v>
      </c>
    </row>
    <row r="5149" spans="1:2" x14ac:dyDescent="0.25">
      <c r="A5149" s="81" t="s">
        <v>7348</v>
      </c>
      <c r="B5149" s="80" t="s">
        <v>9515</v>
      </c>
    </row>
    <row r="5150" spans="1:2" x14ac:dyDescent="0.25">
      <c r="A5150" s="81" t="s">
        <v>7349</v>
      </c>
      <c r="B5150" s="80" t="s">
        <v>9515</v>
      </c>
    </row>
    <row r="5151" spans="1:2" x14ac:dyDescent="0.25">
      <c r="A5151" s="81" t="s">
        <v>7350</v>
      </c>
      <c r="B5151" s="80" t="s">
        <v>9515</v>
      </c>
    </row>
    <row r="5152" spans="1:2" x14ac:dyDescent="0.25">
      <c r="A5152" s="81" t="s">
        <v>7351</v>
      </c>
      <c r="B5152" s="80" t="s">
        <v>9515</v>
      </c>
    </row>
    <row r="5153" spans="1:2" x14ac:dyDescent="0.25">
      <c r="A5153" s="81" t="s">
        <v>7352</v>
      </c>
      <c r="B5153" s="80" t="s">
        <v>9515</v>
      </c>
    </row>
    <row r="5154" spans="1:2" x14ac:dyDescent="0.25">
      <c r="A5154" s="81" t="s">
        <v>7353</v>
      </c>
      <c r="B5154" s="80" t="s">
        <v>9515</v>
      </c>
    </row>
    <row r="5155" spans="1:2" x14ac:dyDescent="0.25">
      <c r="A5155" s="81" t="s">
        <v>7354</v>
      </c>
      <c r="B5155" s="80" t="s">
        <v>9515</v>
      </c>
    </row>
    <row r="5156" spans="1:2" x14ac:dyDescent="0.25">
      <c r="A5156" s="81" t="s">
        <v>7355</v>
      </c>
      <c r="B5156" s="80" t="s">
        <v>9515</v>
      </c>
    </row>
    <row r="5157" spans="1:2" x14ac:dyDescent="0.25">
      <c r="A5157" s="81" t="s">
        <v>7356</v>
      </c>
      <c r="B5157" s="80" t="s">
        <v>9515</v>
      </c>
    </row>
    <row r="5158" spans="1:2" x14ac:dyDescent="0.25">
      <c r="A5158" s="81" t="s">
        <v>7357</v>
      </c>
      <c r="B5158" s="80" t="s">
        <v>9515</v>
      </c>
    </row>
    <row r="5159" spans="1:2" x14ac:dyDescent="0.25">
      <c r="A5159" s="81" t="s">
        <v>7358</v>
      </c>
      <c r="B5159" s="80" t="s">
        <v>9515</v>
      </c>
    </row>
    <row r="5160" spans="1:2" x14ac:dyDescent="0.25">
      <c r="A5160" s="81" t="s">
        <v>7359</v>
      </c>
      <c r="B5160" s="80" t="s">
        <v>9515</v>
      </c>
    </row>
    <row r="5161" spans="1:2" x14ac:dyDescent="0.25">
      <c r="A5161" s="81" t="s">
        <v>7360</v>
      </c>
      <c r="B5161" s="80" t="s">
        <v>9515</v>
      </c>
    </row>
    <row r="5162" spans="1:2" x14ac:dyDescent="0.25">
      <c r="A5162" s="81" t="s">
        <v>7361</v>
      </c>
      <c r="B5162" s="80" t="s">
        <v>9515</v>
      </c>
    </row>
    <row r="5163" spans="1:2" x14ac:dyDescent="0.25">
      <c r="A5163" s="81" t="s">
        <v>7362</v>
      </c>
      <c r="B5163" s="80" t="s">
        <v>9515</v>
      </c>
    </row>
    <row r="5164" spans="1:2" x14ac:dyDescent="0.25">
      <c r="A5164" s="81" t="s">
        <v>7363</v>
      </c>
      <c r="B5164" s="80" t="s">
        <v>9515</v>
      </c>
    </row>
    <row r="5165" spans="1:2" x14ac:dyDescent="0.25">
      <c r="A5165" s="81" t="s">
        <v>7364</v>
      </c>
      <c r="B5165" s="80" t="s">
        <v>9515</v>
      </c>
    </row>
    <row r="5166" spans="1:2" x14ac:dyDescent="0.25">
      <c r="A5166" s="81" t="s">
        <v>7365</v>
      </c>
      <c r="B5166" s="80" t="s">
        <v>9515</v>
      </c>
    </row>
    <row r="5167" spans="1:2" x14ac:dyDescent="0.25">
      <c r="A5167" s="81" t="s">
        <v>7366</v>
      </c>
      <c r="B5167" s="80" t="s">
        <v>9515</v>
      </c>
    </row>
    <row r="5168" spans="1:2" x14ac:dyDescent="0.25">
      <c r="A5168" s="81" t="s">
        <v>7367</v>
      </c>
      <c r="B5168" s="80" t="s">
        <v>9515</v>
      </c>
    </row>
    <row r="5169" spans="1:2" x14ac:dyDescent="0.25">
      <c r="A5169" s="81" t="s">
        <v>7368</v>
      </c>
      <c r="B5169" s="80" t="s">
        <v>9515</v>
      </c>
    </row>
    <row r="5170" spans="1:2" x14ac:dyDescent="0.25">
      <c r="A5170" s="81" t="s">
        <v>7369</v>
      </c>
      <c r="B5170" s="80" t="s">
        <v>9515</v>
      </c>
    </row>
    <row r="5171" spans="1:2" x14ac:dyDescent="0.25">
      <c r="A5171" s="81" t="s">
        <v>7370</v>
      </c>
      <c r="B5171" s="80" t="s">
        <v>9515</v>
      </c>
    </row>
    <row r="5172" spans="1:2" x14ac:dyDescent="0.25">
      <c r="A5172" s="81" t="s">
        <v>7371</v>
      </c>
      <c r="B5172" s="80" t="s">
        <v>9515</v>
      </c>
    </row>
    <row r="5173" spans="1:2" x14ac:dyDescent="0.25">
      <c r="A5173" s="81" t="s">
        <v>7372</v>
      </c>
      <c r="B5173" s="80" t="s">
        <v>9515</v>
      </c>
    </row>
    <row r="5174" spans="1:2" x14ac:dyDescent="0.25">
      <c r="A5174" s="81" t="s">
        <v>7373</v>
      </c>
      <c r="B5174" s="80" t="s">
        <v>9515</v>
      </c>
    </row>
    <row r="5175" spans="1:2" x14ac:dyDescent="0.25">
      <c r="A5175" s="81" t="s">
        <v>7374</v>
      </c>
      <c r="B5175" s="80" t="s">
        <v>9515</v>
      </c>
    </row>
    <row r="5176" spans="1:2" x14ac:dyDescent="0.25">
      <c r="A5176" s="81" t="s">
        <v>7375</v>
      </c>
      <c r="B5176" s="80" t="s">
        <v>9515</v>
      </c>
    </row>
    <row r="5177" spans="1:2" x14ac:dyDescent="0.25">
      <c r="A5177" s="81" t="s">
        <v>7376</v>
      </c>
      <c r="B5177" s="80" t="s">
        <v>9515</v>
      </c>
    </row>
    <row r="5178" spans="1:2" x14ac:dyDescent="0.25">
      <c r="A5178" s="81" t="s">
        <v>7377</v>
      </c>
      <c r="B5178" s="80" t="s">
        <v>9515</v>
      </c>
    </row>
    <row r="5179" spans="1:2" x14ac:dyDescent="0.25">
      <c r="A5179" s="81" t="s">
        <v>7378</v>
      </c>
      <c r="B5179" s="80" t="s">
        <v>9515</v>
      </c>
    </row>
    <row r="5180" spans="1:2" x14ac:dyDescent="0.25">
      <c r="A5180" s="81" t="s">
        <v>7379</v>
      </c>
      <c r="B5180" s="80" t="s">
        <v>9515</v>
      </c>
    </row>
    <row r="5181" spans="1:2" x14ac:dyDescent="0.25">
      <c r="A5181" s="81" t="s">
        <v>7380</v>
      </c>
      <c r="B5181" s="80" t="s">
        <v>9515</v>
      </c>
    </row>
    <row r="5182" spans="1:2" x14ac:dyDescent="0.25">
      <c r="A5182" s="81" t="s">
        <v>7381</v>
      </c>
      <c r="B5182" s="80" t="s">
        <v>9515</v>
      </c>
    </row>
    <row r="5183" spans="1:2" x14ac:dyDescent="0.25">
      <c r="A5183" s="81" t="s">
        <v>7382</v>
      </c>
      <c r="B5183" s="80" t="s">
        <v>9515</v>
      </c>
    </row>
    <row r="5184" spans="1:2" x14ac:dyDescent="0.25">
      <c r="A5184" s="81" t="s">
        <v>7383</v>
      </c>
      <c r="B5184" s="80" t="s">
        <v>9515</v>
      </c>
    </row>
    <row r="5185" spans="1:2" x14ac:dyDescent="0.25">
      <c r="A5185" s="81" t="s">
        <v>7384</v>
      </c>
      <c r="B5185" s="80" t="s">
        <v>9515</v>
      </c>
    </row>
    <row r="5186" spans="1:2" x14ac:dyDescent="0.25">
      <c r="A5186" s="81" t="s">
        <v>7385</v>
      </c>
      <c r="B5186" s="80" t="s">
        <v>9515</v>
      </c>
    </row>
    <row r="5187" spans="1:2" x14ac:dyDescent="0.25">
      <c r="A5187" s="81" t="s">
        <v>7386</v>
      </c>
      <c r="B5187" s="80" t="s">
        <v>9515</v>
      </c>
    </row>
    <row r="5188" spans="1:2" x14ac:dyDescent="0.25">
      <c r="A5188" s="81" t="s">
        <v>7387</v>
      </c>
      <c r="B5188" s="80" t="s">
        <v>9515</v>
      </c>
    </row>
    <row r="5189" spans="1:2" x14ac:dyDescent="0.25">
      <c r="A5189" s="81" t="s">
        <v>7388</v>
      </c>
      <c r="B5189" s="80" t="s">
        <v>9515</v>
      </c>
    </row>
    <row r="5190" spans="1:2" x14ac:dyDescent="0.25">
      <c r="A5190" s="81" t="s">
        <v>7389</v>
      </c>
      <c r="B5190" s="80" t="s">
        <v>9515</v>
      </c>
    </row>
    <row r="5191" spans="1:2" x14ac:dyDescent="0.25">
      <c r="A5191" s="81" t="s">
        <v>7390</v>
      </c>
      <c r="B5191" s="80" t="s">
        <v>9515</v>
      </c>
    </row>
    <row r="5192" spans="1:2" x14ac:dyDescent="0.25">
      <c r="A5192" s="81" t="s">
        <v>7391</v>
      </c>
      <c r="B5192" s="80" t="s">
        <v>9515</v>
      </c>
    </row>
    <row r="5193" spans="1:2" x14ac:dyDescent="0.25">
      <c r="A5193" s="81" t="s">
        <v>7392</v>
      </c>
      <c r="B5193" s="80" t="s">
        <v>9515</v>
      </c>
    </row>
    <row r="5194" spans="1:2" x14ac:dyDescent="0.25">
      <c r="A5194" s="81" t="s">
        <v>7393</v>
      </c>
      <c r="B5194" s="80" t="s">
        <v>9515</v>
      </c>
    </row>
    <row r="5195" spans="1:2" x14ac:dyDescent="0.25">
      <c r="A5195" s="81" t="s">
        <v>7394</v>
      </c>
      <c r="B5195" s="80" t="s">
        <v>9515</v>
      </c>
    </row>
    <row r="5196" spans="1:2" x14ac:dyDescent="0.25">
      <c r="A5196" s="81" t="s">
        <v>7395</v>
      </c>
      <c r="B5196" s="80" t="s">
        <v>9515</v>
      </c>
    </row>
    <row r="5197" spans="1:2" x14ac:dyDescent="0.25">
      <c r="A5197" s="81" t="s">
        <v>7396</v>
      </c>
      <c r="B5197" s="80" t="s">
        <v>9515</v>
      </c>
    </row>
    <row r="5198" spans="1:2" x14ac:dyDescent="0.25">
      <c r="A5198" s="81" t="s">
        <v>7397</v>
      </c>
      <c r="B5198" s="80" t="s">
        <v>9515</v>
      </c>
    </row>
    <row r="5199" spans="1:2" x14ac:dyDescent="0.25">
      <c r="A5199" s="81" t="s">
        <v>7398</v>
      </c>
      <c r="B5199" s="80" t="s">
        <v>9515</v>
      </c>
    </row>
    <row r="5200" spans="1:2" x14ac:dyDescent="0.25">
      <c r="A5200" s="81" t="s">
        <v>7399</v>
      </c>
      <c r="B5200" s="80" t="s">
        <v>9515</v>
      </c>
    </row>
    <row r="5201" spans="1:2" x14ac:dyDescent="0.25">
      <c r="A5201" s="81" t="s">
        <v>7400</v>
      </c>
      <c r="B5201" s="80" t="s">
        <v>9515</v>
      </c>
    </row>
    <row r="5202" spans="1:2" x14ac:dyDescent="0.25">
      <c r="A5202" s="81" t="s">
        <v>7401</v>
      </c>
      <c r="B5202" s="80" t="s">
        <v>9515</v>
      </c>
    </row>
    <row r="5203" spans="1:2" x14ac:dyDescent="0.25">
      <c r="A5203" s="81" t="s">
        <v>7402</v>
      </c>
      <c r="B5203" s="80" t="s">
        <v>9515</v>
      </c>
    </row>
    <row r="5204" spans="1:2" x14ac:dyDescent="0.25">
      <c r="A5204" s="81" t="s">
        <v>7403</v>
      </c>
      <c r="B5204" s="80" t="s">
        <v>9515</v>
      </c>
    </row>
    <row r="5205" spans="1:2" x14ac:dyDescent="0.25">
      <c r="A5205" s="81" t="s">
        <v>7404</v>
      </c>
      <c r="B5205" s="80" t="s">
        <v>9515</v>
      </c>
    </row>
    <row r="5206" spans="1:2" x14ac:dyDescent="0.25">
      <c r="A5206" s="81" t="s">
        <v>7405</v>
      </c>
      <c r="B5206" s="80" t="s">
        <v>9515</v>
      </c>
    </row>
    <row r="5207" spans="1:2" x14ac:dyDescent="0.25">
      <c r="A5207" s="81" t="s">
        <v>7406</v>
      </c>
      <c r="B5207" s="80" t="s">
        <v>9515</v>
      </c>
    </row>
    <row r="5208" spans="1:2" x14ac:dyDescent="0.25">
      <c r="A5208" s="81" t="s">
        <v>7407</v>
      </c>
      <c r="B5208" s="80" t="s">
        <v>9515</v>
      </c>
    </row>
    <row r="5209" spans="1:2" x14ac:dyDescent="0.25">
      <c r="A5209" s="81" t="s">
        <v>7408</v>
      </c>
      <c r="B5209" s="80" t="s">
        <v>9515</v>
      </c>
    </row>
    <row r="5210" spans="1:2" x14ac:dyDescent="0.25">
      <c r="A5210" s="81" t="s">
        <v>7409</v>
      </c>
      <c r="B5210" s="80" t="s">
        <v>9515</v>
      </c>
    </row>
    <row r="5211" spans="1:2" x14ac:dyDescent="0.25">
      <c r="A5211" s="81" t="s">
        <v>7410</v>
      </c>
      <c r="B5211" s="80" t="s">
        <v>9515</v>
      </c>
    </row>
    <row r="5212" spans="1:2" x14ac:dyDescent="0.25">
      <c r="A5212" s="81" t="s">
        <v>7411</v>
      </c>
      <c r="B5212" s="80" t="s">
        <v>9515</v>
      </c>
    </row>
    <row r="5213" spans="1:2" x14ac:dyDescent="0.25">
      <c r="A5213" s="81" t="s">
        <v>7412</v>
      </c>
      <c r="B5213" s="80" t="s">
        <v>9515</v>
      </c>
    </row>
    <row r="5214" spans="1:2" x14ac:dyDescent="0.25">
      <c r="A5214" s="81" t="s">
        <v>7413</v>
      </c>
      <c r="B5214" s="80" t="s">
        <v>9515</v>
      </c>
    </row>
    <row r="5215" spans="1:2" x14ac:dyDescent="0.25">
      <c r="A5215" s="81" t="s">
        <v>7414</v>
      </c>
      <c r="B5215" s="80" t="s">
        <v>9515</v>
      </c>
    </row>
    <row r="5216" spans="1:2" x14ac:dyDescent="0.25">
      <c r="A5216" s="81" t="s">
        <v>7415</v>
      </c>
      <c r="B5216" s="80" t="s">
        <v>9515</v>
      </c>
    </row>
    <row r="5217" spans="1:2" x14ac:dyDescent="0.25">
      <c r="A5217" s="81" t="s">
        <v>7416</v>
      </c>
      <c r="B5217" s="80" t="s">
        <v>9515</v>
      </c>
    </row>
    <row r="5218" spans="1:2" x14ac:dyDescent="0.25">
      <c r="A5218" s="81" t="s">
        <v>7417</v>
      </c>
      <c r="B5218" s="80" t="s">
        <v>9515</v>
      </c>
    </row>
    <row r="5219" spans="1:2" x14ac:dyDescent="0.25">
      <c r="A5219" s="81" t="s">
        <v>7418</v>
      </c>
      <c r="B5219" s="80" t="s">
        <v>9515</v>
      </c>
    </row>
    <row r="5220" spans="1:2" x14ac:dyDescent="0.25">
      <c r="A5220" s="81" t="s">
        <v>7419</v>
      </c>
      <c r="B5220" s="80" t="s">
        <v>9515</v>
      </c>
    </row>
    <row r="5221" spans="1:2" x14ac:dyDescent="0.25">
      <c r="A5221" s="81" t="s">
        <v>7420</v>
      </c>
      <c r="B5221" s="80" t="s">
        <v>9515</v>
      </c>
    </row>
    <row r="5222" spans="1:2" x14ac:dyDescent="0.25">
      <c r="A5222" s="81" t="s">
        <v>7421</v>
      </c>
      <c r="B5222" s="80" t="s">
        <v>9515</v>
      </c>
    </row>
    <row r="5223" spans="1:2" x14ac:dyDescent="0.25">
      <c r="A5223" s="81" t="s">
        <v>7422</v>
      </c>
      <c r="B5223" s="80" t="s">
        <v>9515</v>
      </c>
    </row>
    <row r="5224" spans="1:2" x14ac:dyDescent="0.25">
      <c r="A5224" s="81" t="s">
        <v>7423</v>
      </c>
      <c r="B5224" s="80" t="s">
        <v>9515</v>
      </c>
    </row>
    <row r="5225" spans="1:2" x14ac:dyDescent="0.25">
      <c r="A5225" s="81" t="s">
        <v>7424</v>
      </c>
      <c r="B5225" s="80" t="s">
        <v>9515</v>
      </c>
    </row>
    <row r="5226" spans="1:2" x14ac:dyDescent="0.25">
      <c r="A5226" s="81" t="s">
        <v>7425</v>
      </c>
      <c r="B5226" s="80" t="s">
        <v>9515</v>
      </c>
    </row>
    <row r="5227" spans="1:2" x14ac:dyDescent="0.25">
      <c r="A5227" s="81" t="s">
        <v>7426</v>
      </c>
      <c r="B5227" s="80" t="s">
        <v>9515</v>
      </c>
    </row>
    <row r="5228" spans="1:2" x14ac:dyDescent="0.25">
      <c r="A5228" s="81" t="s">
        <v>7427</v>
      </c>
      <c r="B5228" s="80" t="s">
        <v>9515</v>
      </c>
    </row>
    <row r="5229" spans="1:2" x14ac:dyDescent="0.25">
      <c r="A5229" s="81" t="s">
        <v>7428</v>
      </c>
      <c r="B5229" s="80" t="s">
        <v>9515</v>
      </c>
    </row>
    <row r="5230" spans="1:2" x14ac:dyDescent="0.25">
      <c r="A5230" s="81" t="s">
        <v>7429</v>
      </c>
      <c r="B5230" s="80" t="s">
        <v>9515</v>
      </c>
    </row>
    <row r="5231" spans="1:2" x14ac:dyDescent="0.25">
      <c r="A5231" s="81" t="s">
        <v>7430</v>
      </c>
      <c r="B5231" s="80" t="s">
        <v>9515</v>
      </c>
    </row>
    <row r="5232" spans="1:2" x14ac:dyDescent="0.25">
      <c r="A5232" s="81" t="s">
        <v>7431</v>
      </c>
      <c r="B5232" s="80" t="s">
        <v>9515</v>
      </c>
    </row>
    <row r="5233" spans="1:2" x14ac:dyDescent="0.25">
      <c r="A5233" s="81" t="s">
        <v>7432</v>
      </c>
      <c r="B5233" s="80" t="s">
        <v>9515</v>
      </c>
    </row>
    <row r="5234" spans="1:2" x14ac:dyDescent="0.25">
      <c r="A5234" s="81" t="s">
        <v>7433</v>
      </c>
      <c r="B5234" s="80" t="s">
        <v>9515</v>
      </c>
    </row>
    <row r="5235" spans="1:2" x14ac:dyDescent="0.25">
      <c r="A5235" s="81" t="s">
        <v>7434</v>
      </c>
      <c r="B5235" s="80" t="s">
        <v>9515</v>
      </c>
    </row>
    <row r="5236" spans="1:2" x14ac:dyDescent="0.25">
      <c r="A5236" s="81" t="s">
        <v>7435</v>
      </c>
      <c r="B5236" s="80" t="s">
        <v>9515</v>
      </c>
    </row>
    <row r="5237" spans="1:2" x14ac:dyDescent="0.25">
      <c r="A5237" s="81" t="s">
        <v>7436</v>
      </c>
      <c r="B5237" s="80" t="s">
        <v>9515</v>
      </c>
    </row>
    <row r="5238" spans="1:2" x14ac:dyDescent="0.25">
      <c r="A5238" s="81" t="s">
        <v>7437</v>
      </c>
      <c r="B5238" s="80" t="s">
        <v>9515</v>
      </c>
    </row>
    <row r="5239" spans="1:2" x14ac:dyDescent="0.25">
      <c r="A5239" s="81" t="s">
        <v>7438</v>
      </c>
      <c r="B5239" s="80" t="s">
        <v>9515</v>
      </c>
    </row>
    <row r="5240" spans="1:2" x14ac:dyDescent="0.25">
      <c r="A5240" s="81" t="s">
        <v>7439</v>
      </c>
      <c r="B5240" s="80" t="s">
        <v>9515</v>
      </c>
    </row>
    <row r="5241" spans="1:2" x14ac:dyDescent="0.25">
      <c r="A5241" s="81" t="s">
        <v>7440</v>
      </c>
      <c r="B5241" s="80" t="s">
        <v>9515</v>
      </c>
    </row>
    <row r="5242" spans="1:2" x14ac:dyDescent="0.25">
      <c r="A5242" s="81" t="s">
        <v>7441</v>
      </c>
      <c r="B5242" s="80" t="s">
        <v>9515</v>
      </c>
    </row>
    <row r="5243" spans="1:2" x14ac:dyDescent="0.25">
      <c r="A5243" s="81" t="s">
        <v>7442</v>
      </c>
      <c r="B5243" s="80" t="s">
        <v>9515</v>
      </c>
    </row>
    <row r="5244" spans="1:2" x14ac:dyDescent="0.25">
      <c r="A5244" s="81" t="s">
        <v>7443</v>
      </c>
      <c r="B5244" s="80" t="s">
        <v>9515</v>
      </c>
    </row>
    <row r="5245" spans="1:2" x14ac:dyDescent="0.25">
      <c r="A5245" s="81" t="s">
        <v>7444</v>
      </c>
      <c r="B5245" s="80" t="s">
        <v>9515</v>
      </c>
    </row>
    <row r="5246" spans="1:2" x14ac:dyDescent="0.25">
      <c r="A5246" s="81" t="s">
        <v>7445</v>
      </c>
      <c r="B5246" s="80" t="s">
        <v>9515</v>
      </c>
    </row>
    <row r="5247" spans="1:2" x14ac:dyDescent="0.25">
      <c r="A5247" s="81" t="s">
        <v>7446</v>
      </c>
      <c r="B5247" s="80" t="s">
        <v>9515</v>
      </c>
    </row>
    <row r="5248" spans="1:2" x14ac:dyDescent="0.25">
      <c r="A5248" s="81" t="s">
        <v>7447</v>
      </c>
      <c r="B5248" s="80" t="s">
        <v>9515</v>
      </c>
    </row>
    <row r="5249" spans="1:2" x14ac:dyDescent="0.25">
      <c r="A5249" s="81" t="s">
        <v>7448</v>
      </c>
      <c r="B5249" s="80" t="s">
        <v>9515</v>
      </c>
    </row>
    <row r="5250" spans="1:2" x14ac:dyDescent="0.25">
      <c r="A5250" s="81" t="s">
        <v>7449</v>
      </c>
      <c r="B5250" s="80" t="s">
        <v>9515</v>
      </c>
    </row>
    <row r="5251" spans="1:2" x14ac:dyDescent="0.25">
      <c r="A5251" s="81" t="s">
        <v>7450</v>
      </c>
      <c r="B5251" s="80" t="s">
        <v>9515</v>
      </c>
    </row>
    <row r="5252" spans="1:2" x14ac:dyDescent="0.25">
      <c r="A5252" s="81" t="s">
        <v>7451</v>
      </c>
      <c r="B5252" s="80" t="s">
        <v>9515</v>
      </c>
    </row>
    <row r="5253" spans="1:2" x14ac:dyDescent="0.25">
      <c r="A5253" s="81" t="s">
        <v>7452</v>
      </c>
      <c r="B5253" s="80" t="s">
        <v>9515</v>
      </c>
    </row>
    <row r="5254" spans="1:2" x14ac:dyDescent="0.25">
      <c r="A5254" s="81" t="s">
        <v>7453</v>
      </c>
      <c r="B5254" s="80" t="s">
        <v>9515</v>
      </c>
    </row>
    <row r="5255" spans="1:2" x14ac:dyDescent="0.25">
      <c r="A5255" s="81" t="s">
        <v>7454</v>
      </c>
      <c r="B5255" s="80" t="s">
        <v>9515</v>
      </c>
    </row>
    <row r="5256" spans="1:2" x14ac:dyDescent="0.25">
      <c r="A5256" s="81" t="s">
        <v>7455</v>
      </c>
      <c r="B5256" s="80" t="s">
        <v>9515</v>
      </c>
    </row>
    <row r="5257" spans="1:2" x14ac:dyDescent="0.25">
      <c r="A5257" s="81" t="s">
        <v>7456</v>
      </c>
      <c r="B5257" s="80" t="s">
        <v>9515</v>
      </c>
    </row>
    <row r="5258" spans="1:2" x14ac:dyDescent="0.25">
      <c r="A5258" s="81" t="s">
        <v>7457</v>
      </c>
      <c r="B5258" s="80" t="s">
        <v>9515</v>
      </c>
    </row>
    <row r="5259" spans="1:2" x14ac:dyDescent="0.25">
      <c r="A5259" s="81" t="s">
        <v>7458</v>
      </c>
      <c r="B5259" s="80" t="s">
        <v>9515</v>
      </c>
    </row>
    <row r="5260" spans="1:2" x14ac:dyDescent="0.25">
      <c r="A5260" s="81" t="s">
        <v>7459</v>
      </c>
      <c r="B5260" s="80" t="s">
        <v>9515</v>
      </c>
    </row>
    <row r="5261" spans="1:2" x14ac:dyDescent="0.25">
      <c r="A5261" s="81" t="s">
        <v>7460</v>
      </c>
      <c r="B5261" s="80" t="s">
        <v>9515</v>
      </c>
    </row>
    <row r="5262" spans="1:2" x14ac:dyDescent="0.25">
      <c r="A5262" s="81" t="s">
        <v>7461</v>
      </c>
      <c r="B5262" s="80" t="s">
        <v>9515</v>
      </c>
    </row>
    <row r="5263" spans="1:2" x14ac:dyDescent="0.25">
      <c r="A5263" s="81" t="s">
        <v>7462</v>
      </c>
      <c r="B5263" s="80" t="s">
        <v>9515</v>
      </c>
    </row>
    <row r="5264" spans="1:2" x14ac:dyDescent="0.25">
      <c r="A5264" s="81" t="s">
        <v>7463</v>
      </c>
      <c r="B5264" s="80" t="s">
        <v>9515</v>
      </c>
    </row>
    <row r="5265" spans="1:2" x14ac:dyDescent="0.25">
      <c r="A5265" s="81" t="s">
        <v>7464</v>
      </c>
      <c r="B5265" s="80" t="s">
        <v>9515</v>
      </c>
    </row>
    <row r="5266" spans="1:2" x14ac:dyDescent="0.25">
      <c r="A5266" s="81" t="s">
        <v>7465</v>
      </c>
      <c r="B5266" s="80" t="s">
        <v>9515</v>
      </c>
    </row>
    <row r="5267" spans="1:2" x14ac:dyDescent="0.25">
      <c r="A5267" s="81" t="s">
        <v>7466</v>
      </c>
      <c r="B5267" s="80" t="s">
        <v>9515</v>
      </c>
    </row>
    <row r="5268" spans="1:2" x14ac:dyDescent="0.25">
      <c r="A5268" s="81" t="s">
        <v>7467</v>
      </c>
      <c r="B5268" s="80" t="s">
        <v>9515</v>
      </c>
    </row>
    <row r="5269" spans="1:2" x14ac:dyDescent="0.25">
      <c r="A5269" s="81" t="s">
        <v>7468</v>
      </c>
      <c r="B5269" s="80" t="s">
        <v>9515</v>
      </c>
    </row>
    <row r="5270" spans="1:2" x14ac:dyDescent="0.25">
      <c r="A5270" s="81" t="s">
        <v>7469</v>
      </c>
      <c r="B5270" s="80" t="s">
        <v>9515</v>
      </c>
    </row>
    <row r="5271" spans="1:2" x14ac:dyDescent="0.25">
      <c r="A5271" s="81" t="s">
        <v>7470</v>
      </c>
      <c r="B5271" s="80" t="s">
        <v>9515</v>
      </c>
    </row>
    <row r="5272" spans="1:2" x14ac:dyDescent="0.25">
      <c r="A5272" s="81" t="s">
        <v>7471</v>
      </c>
      <c r="B5272" s="80" t="s">
        <v>9515</v>
      </c>
    </row>
    <row r="5273" spans="1:2" x14ac:dyDescent="0.25">
      <c r="A5273" s="81" t="s">
        <v>7472</v>
      </c>
      <c r="B5273" s="80" t="s">
        <v>9515</v>
      </c>
    </row>
    <row r="5274" spans="1:2" x14ac:dyDescent="0.25">
      <c r="A5274" s="81" t="s">
        <v>7473</v>
      </c>
      <c r="B5274" s="80" t="s">
        <v>9515</v>
      </c>
    </row>
    <row r="5275" spans="1:2" x14ac:dyDescent="0.25">
      <c r="A5275" s="81" t="s">
        <v>7474</v>
      </c>
      <c r="B5275" s="80" t="s">
        <v>9515</v>
      </c>
    </row>
    <row r="5276" spans="1:2" x14ac:dyDescent="0.25">
      <c r="A5276" s="81" t="s">
        <v>7475</v>
      </c>
      <c r="B5276" s="80" t="s">
        <v>9515</v>
      </c>
    </row>
    <row r="5277" spans="1:2" x14ac:dyDescent="0.25">
      <c r="A5277" s="81" t="s">
        <v>7476</v>
      </c>
      <c r="B5277" s="80" t="s">
        <v>9515</v>
      </c>
    </row>
    <row r="5278" spans="1:2" x14ac:dyDescent="0.25">
      <c r="A5278" s="81" t="s">
        <v>7477</v>
      </c>
      <c r="B5278" s="80" t="s">
        <v>9515</v>
      </c>
    </row>
    <row r="5279" spans="1:2" x14ac:dyDescent="0.25">
      <c r="A5279" s="81" t="s">
        <v>7478</v>
      </c>
      <c r="B5279" s="80" t="s">
        <v>9515</v>
      </c>
    </row>
    <row r="5280" spans="1:2" x14ac:dyDescent="0.25">
      <c r="A5280" s="81" t="s">
        <v>7479</v>
      </c>
      <c r="B5280" s="80" t="s">
        <v>9515</v>
      </c>
    </row>
    <row r="5281" spans="1:2" x14ac:dyDescent="0.25">
      <c r="A5281" s="81" t="s">
        <v>7480</v>
      </c>
      <c r="B5281" s="80" t="s">
        <v>9515</v>
      </c>
    </row>
    <row r="5282" spans="1:2" x14ac:dyDescent="0.25">
      <c r="A5282" s="81" t="s">
        <v>7481</v>
      </c>
      <c r="B5282" s="80" t="s">
        <v>9515</v>
      </c>
    </row>
    <row r="5283" spans="1:2" x14ac:dyDescent="0.25">
      <c r="A5283" s="81" t="s">
        <v>7482</v>
      </c>
      <c r="B5283" s="80" t="s">
        <v>9515</v>
      </c>
    </row>
    <row r="5284" spans="1:2" x14ac:dyDescent="0.25">
      <c r="A5284" s="81" t="s">
        <v>7483</v>
      </c>
      <c r="B5284" s="80" t="s">
        <v>9515</v>
      </c>
    </row>
    <row r="5285" spans="1:2" x14ac:dyDescent="0.25">
      <c r="A5285" s="81" t="s">
        <v>7484</v>
      </c>
      <c r="B5285" s="80" t="s">
        <v>9515</v>
      </c>
    </row>
    <row r="5286" spans="1:2" x14ac:dyDescent="0.25">
      <c r="A5286" s="81" t="s">
        <v>7485</v>
      </c>
      <c r="B5286" s="80" t="s">
        <v>9515</v>
      </c>
    </row>
    <row r="5287" spans="1:2" x14ac:dyDescent="0.25">
      <c r="A5287" s="81" t="s">
        <v>7486</v>
      </c>
      <c r="B5287" s="80" t="s">
        <v>9515</v>
      </c>
    </row>
    <row r="5288" spans="1:2" x14ac:dyDescent="0.25">
      <c r="A5288" s="81" t="s">
        <v>7487</v>
      </c>
      <c r="B5288" s="80" t="s">
        <v>9515</v>
      </c>
    </row>
    <row r="5289" spans="1:2" x14ac:dyDescent="0.25">
      <c r="A5289" s="81" t="s">
        <v>7488</v>
      </c>
      <c r="B5289" s="80" t="s">
        <v>9515</v>
      </c>
    </row>
    <row r="5290" spans="1:2" x14ac:dyDescent="0.25">
      <c r="A5290" s="81" t="s">
        <v>7489</v>
      </c>
      <c r="B5290" s="80" t="s">
        <v>9515</v>
      </c>
    </row>
    <row r="5291" spans="1:2" x14ac:dyDescent="0.25">
      <c r="A5291" s="81" t="s">
        <v>7490</v>
      </c>
      <c r="B5291" s="80" t="s">
        <v>9515</v>
      </c>
    </row>
    <row r="5292" spans="1:2" x14ac:dyDescent="0.25">
      <c r="A5292" s="81" t="s">
        <v>7491</v>
      </c>
      <c r="B5292" s="80" t="s">
        <v>9515</v>
      </c>
    </row>
    <row r="5293" spans="1:2" x14ac:dyDescent="0.25">
      <c r="A5293" s="81" t="s">
        <v>7492</v>
      </c>
      <c r="B5293" s="80" t="s">
        <v>9515</v>
      </c>
    </row>
    <row r="5294" spans="1:2" x14ac:dyDescent="0.25">
      <c r="A5294" s="81" t="s">
        <v>7493</v>
      </c>
      <c r="B5294" s="80" t="s">
        <v>9515</v>
      </c>
    </row>
    <row r="5295" spans="1:2" x14ac:dyDescent="0.25">
      <c r="A5295" s="81" t="s">
        <v>7494</v>
      </c>
      <c r="B5295" s="80" t="s">
        <v>9515</v>
      </c>
    </row>
    <row r="5296" spans="1:2" x14ac:dyDescent="0.25">
      <c r="A5296" s="81" t="s">
        <v>7495</v>
      </c>
      <c r="B5296" s="80" t="s">
        <v>9515</v>
      </c>
    </row>
    <row r="5297" spans="1:2" x14ac:dyDescent="0.25">
      <c r="A5297" s="81" t="s">
        <v>7496</v>
      </c>
      <c r="B5297" s="80" t="s">
        <v>9515</v>
      </c>
    </row>
    <row r="5298" spans="1:2" x14ac:dyDescent="0.25">
      <c r="A5298" s="81" t="s">
        <v>7497</v>
      </c>
      <c r="B5298" s="80" t="s">
        <v>9515</v>
      </c>
    </row>
    <row r="5299" spans="1:2" x14ac:dyDescent="0.25">
      <c r="A5299" s="81" t="s">
        <v>7498</v>
      </c>
      <c r="B5299" s="80" t="s">
        <v>9515</v>
      </c>
    </row>
    <row r="5300" spans="1:2" x14ac:dyDescent="0.25">
      <c r="A5300" s="81" t="s">
        <v>7499</v>
      </c>
      <c r="B5300" s="80" t="s">
        <v>9515</v>
      </c>
    </row>
    <row r="5301" spans="1:2" x14ac:dyDescent="0.25">
      <c r="A5301" s="81" t="s">
        <v>7500</v>
      </c>
      <c r="B5301" s="80" t="s">
        <v>9515</v>
      </c>
    </row>
    <row r="5302" spans="1:2" x14ac:dyDescent="0.25">
      <c r="A5302" s="81" t="s">
        <v>7501</v>
      </c>
      <c r="B5302" s="80" t="s">
        <v>9515</v>
      </c>
    </row>
    <row r="5303" spans="1:2" x14ac:dyDescent="0.25">
      <c r="A5303" s="81" t="s">
        <v>7502</v>
      </c>
      <c r="B5303" s="80" t="s">
        <v>9515</v>
      </c>
    </row>
    <row r="5304" spans="1:2" x14ac:dyDescent="0.25">
      <c r="A5304" s="81" t="s">
        <v>7503</v>
      </c>
      <c r="B5304" s="80" t="s">
        <v>9515</v>
      </c>
    </row>
    <row r="5305" spans="1:2" x14ac:dyDescent="0.25">
      <c r="A5305" s="81" t="s">
        <v>7504</v>
      </c>
      <c r="B5305" s="80" t="s">
        <v>9515</v>
      </c>
    </row>
    <row r="5306" spans="1:2" x14ac:dyDescent="0.25">
      <c r="A5306" s="81" t="s">
        <v>7505</v>
      </c>
      <c r="B5306" s="80" t="s">
        <v>9515</v>
      </c>
    </row>
    <row r="5307" spans="1:2" x14ac:dyDescent="0.25">
      <c r="A5307" s="81" t="s">
        <v>7506</v>
      </c>
      <c r="B5307" s="80" t="s">
        <v>9515</v>
      </c>
    </row>
    <row r="5308" spans="1:2" x14ac:dyDescent="0.25">
      <c r="A5308" s="81" t="s">
        <v>7507</v>
      </c>
      <c r="B5308" s="80" t="s">
        <v>9515</v>
      </c>
    </row>
    <row r="5309" spans="1:2" x14ac:dyDescent="0.25">
      <c r="A5309" s="81" t="s">
        <v>7508</v>
      </c>
      <c r="B5309" s="80" t="s">
        <v>9515</v>
      </c>
    </row>
    <row r="5310" spans="1:2" x14ac:dyDescent="0.25">
      <c r="A5310" s="81" t="s">
        <v>7509</v>
      </c>
      <c r="B5310" s="80" t="s">
        <v>9515</v>
      </c>
    </row>
    <row r="5311" spans="1:2" x14ac:dyDescent="0.25">
      <c r="A5311" s="81" t="s">
        <v>7510</v>
      </c>
      <c r="B5311" s="80" t="s">
        <v>9515</v>
      </c>
    </row>
    <row r="5312" spans="1:2" x14ac:dyDescent="0.25">
      <c r="A5312" s="81" t="s">
        <v>7511</v>
      </c>
      <c r="B5312" s="80" t="s">
        <v>9515</v>
      </c>
    </row>
    <row r="5313" spans="1:2" x14ac:dyDescent="0.25">
      <c r="A5313" s="81" t="s">
        <v>7512</v>
      </c>
      <c r="B5313" s="80" t="s">
        <v>9515</v>
      </c>
    </row>
    <row r="5314" spans="1:2" x14ac:dyDescent="0.25">
      <c r="A5314" s="81" t="s">
        <v>7513</v>
      </c>
      <c r="B5314" s="80" t="s">
        <v>9515</v>
      </c>
    </row>
    <row r="5315" spans="1:2" x14ac:dyDescent="0.25">
      <c r="A5315" s="81" t="s">
        <v>7514</v>
      </c>
      <c r="B5315" s="80" t="s">
        <v>9515</v>
      </c>
    </row>
    <row r="5316" spans="1:2" x14ac:dyDescent="0.25">
      <c r="A5316" s="81" t="s">
        <v>7515</v>
      </c>
      <c r="B5316" s="80" t="s">
        <v>9515</v>
      </c>
    </row>
    <row r="5317" spans="1:2" x14ac:dyDescent="0.25">
      <c r="A5317" s="81" t="s">
        <v>7516</v>
      </c>
      <c r="B5317" s="80" t="s">
        <v>9515</v>
      </c>
    </row>
    <row r="5318" spans="1:2" x14ac:dyDescent="0.25">
      <c r="A5318" s="81" t="s">
        <v>7517</v>
      </c>
      <c r="B5318" s="80" t="s">
        <v>9515</v>
      </c>
    </row>
    <row r="5319" spans="1:2" x14ac:dyDescent="0.25">
      <c r="A5319" s="81" t="s">
        <v>7518</v>
      </c>
      <c r="B5319" s="80" t="s">
        <v>9515</v>
      </c>
    </row>
    <row r="5320" spans="1:2" x14ac:dyDescent="0.25">
      <c r="A5320" s="81" t="s">
        <v>7519</v>
      </c>
      <c r="B5320" s="80" t="s">
        <v>9515</v>
      </c>
    </row>
    <row r="5321" spans="1:2" x14ac:dyDescent="0.25">
      <c r="A5321" s="81" t="s">
        <v>7520</v>
      </c>
      <c r="B5321" s="80" t="s">
        <v>9515</v>
      </c>
    </row>
    <row r="5322" spans="1:2" x14ac:dyDescent="0.25">
      <c r="A5322" s="81" t="s">
        <v>7521</v>
      </c>
      <c r="B5322" s="80" t="s">
        <v>9515</v>
      </c>
    </row>
    <row r="5323" spans="1:2" x14ac:dyDescent="0.25">
      <c r="A5323" s="81" t="s">
        <v>7522</v>
      </c>
      <c r="B5323" s="80" t="s">
        <v>9515</v>
      </c>
    </row>
    <row r="5324" spans="1:2" x14ac:dyDescent="0.25">
      <c r="A5324" s="81" t="s">
        <v>7523</v>
      </c>
      <c r="B5324" s="80" t="s">
        <v>9515</v>
      </c>
    </row>
    <row r="5325" spans="1:2" x14ac:dyDescent="0.25">
      <c r="A5325" s="81" t="s">
        <v>7524</v>
      </c>
      <c r="B5325" s="80" t="s">
        <v>9515</v>
      </c>
    </row>
    <row r="5326" spans="1:2" x14ac:dyDescent="0.25">
      <c r="A5326" s="81" t="s">
        <v>7525</v>
      </c>
      <c r="B5326" s="80" t="s">
        <v>9515</v>
      </c>
    </row>
    <row r="5327" spans="1:2" x14ac:dyDescent="0.25">
      <c r="A5327" s="81" t="s">
        <v>7526</v>
      </c>
      <c r="B5327" s="80" t="s">
        <v>9515</v>
      </c>
    </row>
    <row r="5328" spans="1:2" x14ac:dyDescent="0.25">
      <c r="A5328" s="81" t="s">
        <v>7527</v>
      </c>
      <c r="B5328" s="80" t="s">
        <v>9515</v>
      </c>
    </row>
    <row r="5329" spans="1:2" x14ac:dyDescent="0.25">
      <c r="A5329" s="81" t="s">
        <v>7528</v>
      </c>
      <c r="B5329" s="80" t="s">
        <v>9515</v>
      </c>
    </row>
    <row r="5330" spans="1:2" x14ac:dyDescent="0.25">
      <c r="A5330" s="81" t="s">
        <v>7529</v>
      </c>
      <c r="B5330" s="80" t="s">
        <v>9515</v>
      </c>
    </row>
    <row r="5331" spans="1:2" x14ac:dyDescent="0.25">
      <c r="A5331" s="81" t="s">
        <v>7530</v>
      </c>
      <c r="B5331" s="80" t="s">
        <v>9515</v>
      </c>
    </row>
    <row r="5332" spans="1:2" x14ac:dyDescent="0.25">
      <c r="A5332" s="81" t="s">
        <v>7531</v>
      </c>
      <c r="B5332" s="80" t="s">
        <v>9515</v>
      </c>
    </row>
    <row r="5333" spans="1:2" x14ac:dyDescent="0.25">
      <c r="A5333" s="81" t="s">
        <v>7532</v>
      </c>
      <c r="B5333" s="80" t="s">
        <v>9515</v>
      </c>
    </row>
    <row r="5334" spans="1:2" x14ac:dyDescent="0.25">
      <c r="A5334" s="81" t="s">
        <v>7533</v>
      </c>
      <c r="B5334" s="80" t="s">
        <v>9515</v>
      </c>
    </row>
    <row r="5335" spans="1:2" x14ac:dyDescent="0.25">
      <c r="A5335" s="81" t="s">
        <v>7534</v>
      </c>
      <c r="B5335" s="80" t="s">
        <v>9515</v>
      </c>
    </row>
    <row r="5336" spans="1:2" x14ac:dyDescent="0.25">
      <c r="A5336" s="81" t="s">
        <v>7535</v>
      </c>
      <c r="B5336" s="80" t="s">
        <v>9515</v>
      </c>
    </row>
    <row r="5337" spans="1:2" x14ac:dyDescent="0.25">
      <c r="A5337" s="81" t="s">
        <v>7536</v>
      </c>
      <c r="B5337" s="80" t="s">
        <v>9515</v>
      </c>
    </row>
    <row r="5338" spans="1:2" x14ac:dyDescent="0.25">
      <c r="A5338" s="81" t="s">
        <v>7537</v>
      </c>
      <c r="B5338" s="80" t="s">
        <v>9515</v>
      </c>
    </row>
    <row r="5339" spans="1:2" x14ac:dyDescent="0.25">
      <c r="A5339" s="81" t="s">
        <v>7538</v>
      </c>
      <c r="B5339" s="80" t="s">
        <v>9515</v>
      </c>
    </row>
    <row r="5340" spans="1:2" x14ac:dyDescent="0.25">
      <c r="A5340" s="81" t="s">
        <v>7539</v>
      </c>
      <c r="B5340" s="80" t="s">
        <v>9515</v>
      </c>
    </row>
    <row r="5341" spans="1:2" x14ac:dyDescent="0.25">
      <c r="A5341" s="81" t="s">
        <v>7540</v>
      </c>
      <c r="B5341" s="80" t="s">
        <v>9515</v>
      </c>
    </row>
    <row r="5342" spans="1:2" x14ac:dyDescent="0.25">
      <c r="A5342" s="81" t="s">
        <v>7541</v>
      </c>
      <c r="B5342" s="80" t="s">
        <v>9515</v>
      </c>
    </row>
    <row r="5343" spans="1:2" x14ac:dyDescent="0.25">
      <c r="A5343" s="81" t="s">
        <v>7542</v>
      </c>
      <c r="B5343" s="80" t="s">
        <v>9515</v>
      </c>
    </row>
    <row r="5344" spans="1:2" x14ac:dyDescent="0.25">
      <c r="A5344" s="81" t="s">
        <v>7543</v>
      </c>
      <c r="B5344" s="80" t="s">
        <v>9515</v>
      </c>
    </row>
    <row r="5345" spans="1:2" x14ac:dyDescent="0.25">
      <c r="A5345" s="81" t="s">
        <v>7544</v>
      </c>
      <c r="B5345" s="80" t="s">
        <v>9515</v>
      </c>
    </row>
    <row r="5346" spans="1:2" x14ac:dyDescent="0.25">
      <c r="A5346" s="81" t="s">
        <v>7545</v>
      </c>
      <c r="B5346" s="80" t="s">
        <v>9515</v>
      </c>
    </row>
    <row r="5347" spans="1:2" x14ac:dyDescent="0.25">
      <c r="A5347" s="81" t="s">
        <v>7546</v>
      </c>
      <c r="B5347" s="80" t="s">
        <v>9515</v>
      </c>
    </row>
    <row r="5348" spans="1:2" x14ac:dyDescent="0.25">
      <c r="A5348" s="81" t="s">
        <v>7547</v>
      </c>
      <c r="B5348" s="80" t="s">
        <v>9515</v>
      </c>
    </row>
    <row r="5349" spans="1:2" x14ac:dyDescent="0.25">
      <c r="A5349" s="81" t="s">
        <v>7548</v>
      </c>
      <c r="B5349" s="80" t="s">
        <v>9515</v>
      </c>
    </row>
    <row r="5350" spans="1:2" x14ac:dyDescent="0.25">
      <c r="A5350" s="81" t="s">
        <v>7549</v>
      </c>
      <c r="B5350" s="80" t="s">
        <v>9515</v>
      </c>
    </row>
    <row r="5351" spans="1:2" x14ac:dyDescent="0.25">
      <c r="A5351" s="81" t="s">
        <v>7550</v>
      </c>
      <c r="B5351" s="80" t="s">
        <v>9515</v>
      </c>
    </row>
    <row r="5352" spans="1:2" x14ac:dyDescent="0.25">
      <c r="A5352" s="81" t="s">
        <v>7551</v>
      </c>
      <c r="B5352" s="80" t="s">
        <v>9515</v>
      </c>
    </row>
    <row r="5353" spans="1:2" x14ac:dyDescent="0.25">
      <c r="A5353" s="81" t="s">
        <v>7552</v>
      </c>
      <c r="B5353" s="80" t="s">
        <v>9515</v>
      </c>
    </row>
    <row r="5354" spans="1:2" x14ac:dyDescent="0.25">
      <c r="A5354" s="81" t="s">
        <v>7553</v>
      </c>
      <c r="B5354" s="80" t="s">
        <v>9515</v>
      </c>
    </row>
    <row r="5355" spans="1:2" x14ac:dyDescent="0.25">
      <c r="A5355" s="81" t="s">
        <v>7554</v>
      </c>
      <c r="B5355" s="80" t="s">
        <v>9515</v>
      </c>
    </row>
    <row r="5356" spans="1:2" x14ac:dyDescent="0.25">
      <c r="A5356" s="81" t="s">
        <v>7555</v>
      </c>
      <c r="B5356" s="80" t="s">
        <v>9515</v>
      </c>
    </row>
    <row r="5357" spans="1:2" x14ac:dyDescent="0.25">
      <c r="A5357" s="81" t="s">
        <v>7556</v>
      </c>
      <c r="B5357" s="80" t="s">
        <v>9515</v>
      </c>
    </row>
    <row r="5358" spans="1:2" x14ac:dyDescent="0.25">
      <c r="A5358" s="81" t="s">
        <v>7557</v>
      </c>
      <c r="B5358" s="80" t="s">
        <v>9515</v>
      </c>
    </row>
    <row r="5359" spans="1:2" x14ac:dyDescent="0.25">
      <c r="A5359" s="81" t="s">
        <v>7558</v>
      </c>
      <c r="B5359" s="80" t="s">
        <v>9515</v>
      </c>
    </row>
    <row r="5360" spans="1:2" x14ac:dyDescent="0.25">
      <c r="A5360" s="81" t="s">
        <v>7559</v>
      </c>
      <c r="B5360" s="80" t="s">
        <v>9515</v>
      </c>
    </row>
    <row r="5361" spans="1:2" x14ac:dyDescent="0.25">
      <c r="A5361" s="81" t="s">
        <v>7560</v>
      </c>
      <c r="B5361" s="80" t="s">
        <v>9515</v>
      </c>
    </row>
    <row r="5362" spans="1:2" x14ac:dyDescent="0.25">
      <c r="A5362" s="81" t="s">
        <v>7561</v>
      </c>
      <c r="B5362" s="80" t="s">
        <v>9515</v>
      </c>
    </row>
    <row r="5363" spans="1:2" x14ac:dyDescent="0.25">
      <c r="A5363" s="81" t="s">
        <v>7562</v>
      </c>
      <c r="B5363" s="80" t="s">
        <v>9515</v>
      </c>
    </row>
    <row r="5364" spans="1:2" x14ac:dyDescent="0.25">
      <c r="A5364" s="81" t="s">
        <v>7563</v>
      </c>
      <c r="B5364" s="80" t="s">
        <v>9515</v>
      </c>
    </row>
    <row r="5365" spans="1:2" x14ac:dyDescent="0.25">
      <c r="A5365" s="81" t="s">
        <v>7564</v>
      </c>
      <c r="B5365" s="80" t="s">
        <v>9515</v>
      </c>
    </row>
    <row r="5366" spans="1:2" x14ac:dyDescent="0.25">
      <c r="A5366" s="81" t="s">
        <v>7565</v>
      </c>
      <c r="B5366" s="80" t="s">
        <v>9515</v>
      </c>
    </row>
    <row r="5367" spans="1:2" x14ac:dyDescent="0.25">
      <c r="A5367" s="81" t="s">
        <v>7566</v>
      </c>
      <c r="B5367" s="80" t="s">
        <v>9515</v>
      </c>
    </row>
    <row r="5368" spans="1:2" x14ac:dyDescent="0.25">
      <c r="A5368" s="81" t="s">
        <v>7567</v>
      </c>
      <c r="B5368" s="80" t="s">
        <v>9515</v>
      </c>
    </row>
    <row r="5369" spans="1:2" x14ac:dyDescent="0.25">
      <c r="A5369" s="81" t="s">
        <v>7568</v>
      </c>
      <c r="B5369" s="80" t="s">
        <v>9515</v>
      </c>
    </row>
    <row r="5370" spans="1:2" x14ac:dyDescent="0.25">
      <c r="A5370" s="81" t="s">
        <v>7569</v>
      </c>
      <c r="B5370" s="80" t="s">
        <v>9515</v>
      </c>
    </row>
    <row r="5371" spans="1:2" x14ac:dyDescent="0.25">
      <c r="A5371" s="81" t="s">
        <v>7570</v>
      </c>
      <c r="B5371" s="80" t="s">
        <v>9515</v>
      </c>
    </row>
    <row r="5372" spans="1:2" x14ac:dyDescent="0.25">
      <c r="A5372" s="81" t="s">
        <v>7571</v>
      </c>
      <c r="B5372" s="80" t="s">
        <v>9515</v>
      </c>
    </row>
    <row r="5373" spans="1:2" x14ac:dyDescent="0.25">
      <c r="A5373" s="81" t="s">
        <v>7572</v>
      </c>
      <c r="B5373" s="80" t="s">
        <v>9515</v>
      </c>
    </row>
    <row r="5374" spans="1:2" x14ac:dyDescent="0.25">
      <c r="A5374" s="81" t="s">
        <v>7573</v>
      </c>
      <c r="B5374" s="80" t="s">
        <v>9515</v>
      </c>
    </row>
    <row r="5375" spans="1:2" x14ac:dyDescent="0.25">
      <c r="A5375" s="81" t="s">
        <v>7574</v>
      </c>
      <c r="B5375" s="80" t="s">
        <v>9515</v>
      </c>
    </row>
    <row r="5376" spans="1:2" x14ac:dyDescent="0.25">
      <c r="A5376" s="81" t="s">
        <v>7575</v>
      </c>
      <c r="B5376" s="80" t="s">
        <v>9515</v>
      </c>
    </row>
    <row r="5377" spans="1:2" x14ac:dyDescent="0.25">
      <c r="A5377" s="81" t="s">
        <v>7576</v>
      </c>
      <c r="B5377" s="80" t="s">
        <v>9515</v>
      </c>
    </row>
    <row r="5378" spans="1:2" x14ac:dyDescent="0.25">
      <c r="A5378" s="81" t="s">
        <v>7577</v>
      </c>
      <c r="B5378" s="80" t="s">
        <v>9515</v>
      </c>
    </row>
    <row r="5379" spans="1:2" x14ac:dyDescent="0.25">
      <c r="A5379" s="81" t="s">
        <v>7578</v>
      </c>
      <c r="B5379" s="80" t="s">
        <v>9515</v>
      </c>
    </row>
    <row r="5380" spans="1:2" x14ac:dyDescent="0.25">
      <c r="A5380" s="81" t="s">
        <v>7579</v>
      </c>
      <c r="B5380" s="80" t="s">
        <v>9515</v>
      </c>
    </row>
    <row r="5381" spans="1:2" x14ac:dyDescent="0.25">
      <c r="A5381" s="81" t="s">
        <v>7580</v>
      </c>
      <c r="B5381" s="80" t="s">
        <v>9515</v>
      </c>
    </row>
    <row r="5382" spans="1:2" x14ac:dyDescent="0.25">
      <c r="A5382" s="81" t="s">
        <v>7581</v>
      </c>
      <c r="B5382" s="80" t="s">
        <v>9515</v>
      </c>
    </row>
    <row r="5383" spans="1:2" x14ac:dyDescent="0.25">
      <c r="A5383" s="81" t="s">
        <v>7582</v>
      </c>
      <c r="B5383" s="80" t="s">
        <v>9515</v>
      </c>
    </row>
    <row r="5384" spans="1:2" x14ac:dyDescent="0.25">
      <c r="A5384" s="81" t="s">
        <v>7583</v>
      </c>
      <c r="B5384" s="80" t="s">
        <v>9515</v>
      </c>
    </row>
    <row r="5385" spans="1:2" x14ac:dyDescent="0.25">
      <c r="A5385" s="81" t="s">
        <v>7584</v>
      </c>
      <c r="B5385" s="80" t="s">
        <v>9515</v>
      </c>
    </row>
    <row r="5386" spans="1:2" x14ac:dyDescent="0.25">
      <c r="A5386" s="81" t="s">
        <v>7585</v>
      </c>
      <c r="B5386" s="80" t="s">
        <v>9515</v>
      </c>
    </row>
    <row r="5387" spans="1:2" x14ac:dyDescent="0.25">
      <c r="A5387" s="81" t="s">
        <v>7586</v>
      </c>
      <c r="B5387" s="80" t="s">
        <v>9515</v>
      </c>
    </row>
    <row r="5388" spans="1:2" x14ac:dyDescent="0.25">
      <c r="A5388" s="81" t="s">
        <v>7587</v>
      </c>
      <c r="B5388" s="80" t="s">
        <v>9515</v>
      </c>
    </row>
    <row r="5389" spans="1:2" x14ac:dyDescent="0.25">
      <c r="A5389" s="81" t="s">
        <v>7588</v>
      </c>
      <c r="B5389" s="80" t="s">
        <v>9515</v>
      </c>
    </row>
    <row r="5390" spans="1:2" x14ac:dyDescent="0.25">
      <c r="A5390" s="81" t="s">
        <v>7589</v>
      </c>
      <c r="B5390" s="80" t="s">
        <v>9515</v>
      </c>
    </row>
    <row r="5391" spans="1:2" x14ac:dyDescent="0.25">
      <c r="A5391" s="81" t="s">
        <v>7590</v>
      </c>
      <c r="B5391" s="80" t="s">
        <v>9515</v>
      </c>
    </row>
    <row r="5392" spans="1:2" x14ac:dyDescent="0.25">
      <c r="A5392" s="81" t="s">
        <v>7591</v>
      </c>
      <c r="B5392" s="80" t="s">
        <v>9515</v>
      </c>
    </row>
    <row r="5393" spans="1:2" x14ac:dyDescent="0.25">
      <c r="A5393" s="81" t="s">
        <v>7592</v>
      </c>
      <c r="B5393" s="80" t="s">
        <v>9515</v>
      </c>
    </row>
    <row r="5394" spans="1:2" x14ac:dyDescent="0.25">
      <c r="A5394" s="81" t="s">
        <v>7593</v>
      </c>
      <c r="B5394" s="80" t="s">
        <v>9515</v>
      </c>
    </row>
    <row r="5395" spans="1:2" x14ac:dyDescent="0.25">
      <c r="A5395" s="81" t="s">
        <v>7594</v>
      </c>
      <c r="B5395" s="80" t="s">
        <v>9515</v>
      </c>
    </row>
    <row r="5396" spans="1:2" x14ac:dyDescent="0.25">
      <c r="A5396" s="81" t="s">
        <v>7595</v>
      </c>
      <c r="B5396" s="80" t="s">
        <v>9515</v>
      </c>
    </row>
    <row r="5397" spans="1:2" x14ac:dyDescent="0.25">
      <c r="A5397" s="81" t="s">
        <v>7596</v>
      </c>
      <c r="B5397" s="80" t="s">
        <v>9515</v>
      </c>
    </row>
    <row r="5398" spans="1:2" x14ac:dyDescent="0.25">
      <c r="A5398" s="81" t="s">
        <v>7597</v>
      </c>
      <c r="B5398" s="80" t="s">
        <v>9515</v>
      </c>
    </row>
    <row r="5399" spans="1:2" x14ac:dyDescent="0.25">
      <c r="A5399" s="81" t="s">
        <v>7598</v>
      </c>
      <c r="B5399" s="80" t="s">
        <v>9515</v>
      </c>
    </row>
    <row r="5400" spans="1:2" x14ac:dyDescent="0.25">
      <c r="A5400" s="81" t="s">
        <v>7599</v>
      </c>
      <c r="B5400" s="80" t="s">
        <v>9515</v>
      </c>
    </row>
    <row r="5401" spans="1:2" x14ac:dyDescent="0.25">
      <c r="A5401" s="81" t="s">
        <v>7600</v>
      </c>
      <c r="B5401" s="80" t="s">
        <v>9515</v>
      </c>
    </row>
    <row r="5402" spans="1:2" x14ac:dyDescent="0.25">
      <c r="A5402" s="81" t="s">
        <v>7601</v>
      </c>
      <c r="B5402" s="80" t="s">
        <v>9515</v>
      </c>
    </row>
    <row r="5403" spans="1:2" x14ac:dyDescent="0.25">
      <c r="A5403" s="81" t="s">
        <v>7602</v>
      </c>
      <c r="B5403" s="80" t="s">
        <v>9515</v>
      </c>
    </row>
    <row r="5404" spans="1:2" x14ac:dyDescent="0.25">
      <c r="A5404" s="81" t="s">
        <v>7603</v>
      </c>
      <c r="B5404" s="80" t="s">
        <v>9515</v>
      </c>
    </row>
    <row r="5405" spans="1:2" x14ac:dyDescent="0.25">
      <c r="A5405" s="81" t="s">
        <v>7604</v>
      </c>
      <c r="B5405" s="80" t="s">
        <v>9515</v>
      </c>
    </row>
    <row r="5406" spans="1:2" x14ac:dyDescent="0.25">
      <c r="A5406" s="81" t="s">
        <v>7605</v>
      </c>
      <c r="B5406" s="80" t="s">
        <v>9515</v>
      </c>
    </row>
    <row r="5407" spans="1:2" x14ac:dyDescent="0.25">
      <c r="A5407" s="81" t="s">
        <v>7606</v>
      </c>
      <c r="B5407" s="80" t="s">
        <v>9515</v>
      </c>
    </row>
    <row r="5408" spans="1:2" x14ac:dyDescent="0.25">
      <c r="A5408" s="81" t="s">
        <v>7607</v>
      </c>
      <c r="B5408" s="80" t="s">
        <v>9515</v>
      </c>
    </row>
    <row r="5409" spans="1:2" x14ac:dyDescent="0.25">
      <c r="A5409" s="81" t="s">
        <v>7608</v>
      </c>
      <c r="B5409" s="80" t="s">
        <v>9515</v>
      </c>
    </row>
    <row r="5410" spans="1:2" x14ac:dyDescent="0.25">
      <c r="A5410" s="81" t="s">
        <v>7609</v>
      </c>
      <c r="B5410" s="80" t="s">
        <v>9515</v>
      </c>
    </row>
    <row r="5411" spans="1:2" x14ac:dyDescent="0.25">
      <c r="A5411" s="81" t="s">
        <v>7610</v>
      </c>
      <c r="B5411" s="80" t="s">
        <v>9515</v>
      </c>
    </row>
    <row r="5412" spans="1:2" x14ac:dyDescent="0.25">
      <c r="A5412" s="81" t="s">
        <v>7611</v>
      </c>
      <c r="B5412" s="80" t="s">
        <v>9515</v>
      </c>
    </row>
    <row r="5413" spans="1:2" x14ac:dyDescent="0.25">
      <c r="A5413" s="81" t="s">
        <v>7612</v>
      </c>
      <c r="B5413" s="80" t="s">
        <v>9515</v>
      </c>
    </row>
    <row r="5414" spans="1:2" x14ac:dyDescent="0.25">
      <c r="A5414" s="81" t="s">
        <v>7613</v>
      </c>
      <c r="B5414" s="80" t="s">
        <v>9515</v>
      </c>
    </row>
    <row r="5415" spans="1:2" x14ac:dyDescent="0.25">
      <c r="A5415" s="81" t="s">
        <v>7614</v>
      </c>
      <c r="B5415" s="80" t="s">
        <v>9515</v>
      </c>
    </row>
    <row r="5416" spans="1:2" x14ac:dyDescent="0.25">
      <c r="A5416" s="81" t="s">
        <v>7615</v>
      </c>
      <c r="B5416" s="80" t="s">
        <v>9515</v>
      </c>
    </row>
    <row r="5417" spans="1:2" x14ac:dyDescent="0.25">
      <c r="A5417" s="81" t="s">
        <v>7616</v>
      </c>
      <c r="B5417" s="80" t="s">
        <v>9515</v>
      </c>
    </row>
    <row r="5418" spans="1:2" x14ac:dyDescent="0.25">
      <c r="A5418" s="81" t="s">
        <v>7617</v>
      </c>
      <c r="B5418" s="80" t="s">
        <v>9515</v>
      </c>
    </row>
    <row r="5419" spans="1:2" x14ac:dyDescent="0.25">
      <c r="A5419" s="81" t="s">
        <v>7618</v>
      </c>
      <c r="B5419" s="80" t="s">
        <v>9515</v>
      </c>
    </row>
    <row r="5420" spans="1:2" x14ac:dyDescent="0.25">
      <c r="A5420" s="81" t="s">
        <v>7619</v>
      </c>
      <c r="B5420" s="80" t="s">
        <v>9515</v>
      </c>
    </row>
    <row r="5421" spans="1:2" x14ac:dyDescent="0.25">
      <c r="A5421" s="81" t="s">
        <v>7620</v>
      </c>
      <c r="B5421" s="80" t="s">
        <v>9515</v>
      </c>
    </row>
    <row r="5422" spans="1:2" x14ac:dyDescent="0.25">
      <c r="A5422" s="81" t="s">
        <v>7621</v>
      </c>
      <c r="B5422" s="80" t="s">
        <v>9515</v>
      </c>
    </row>
    <row r="5423" spans="1:2" x14ac:dyDescent="0.25">
      <c r="A5423" s="81" t="s">
        <v>7622</v>
      </c>
      <c r="B5423" s="80" t="s">
        <v>9515</v>
      </c>
    </row>
    <row r="5424" spans="1:2" x14ac:dyDescent="0.25">
      <c r="A5424" s="81" t="s">
        <v>7623</v>
      </c>
      <c r="B5424" s="80" t="s">
        <v>9515</v>
      </c>
    </row>
    <row r="5425" spans="1:2" x14ac:dyDescent="0.25">
      <c r="A5425" s="81" t="s">
        <v>7624</v>
      </c>
      <c r="B5425" s="80" t="s">
        <v>9515</v>
      </c>
    </row>
    <row r="5426" spans="1:2" x14ac:dyDescent="0.25">
      <c r="A5426" s="81" t="s">
        <v>7625</v>
      </c>
      <c r="B5426" s="80" t="s">
        <v>9515</v>
      </c>
    </row>
    <row r="5427" spans="1:2" x14ac:dyDescent="0.25">
      <c r="A5427" s="81" t="s">
        <v>7626</v>
      </c>
      <c r="B5427" s="80" t="s">
        <v>9515</v>
      </c>
    </row>
    <row r="5428" spans="1:2" x14ac:dyDescent="0.25">
      <c r="A5428" s="81" t="s">
        <v>7627</v>
      </c>
      <c r="B5428" s="80" t="s">
        <v>9515</v>
      </c>
    </row>
    <row r="5429" spans="1:2" x14ac:dyDescent="0.25">
      <c r="A5429" s="81" t="s">
        <v>7628</v>
      </c>
      <c r="B5429" s="80" t="s">
        <v>9515</v>
      </c>
    </row>
    <row r="5430" spans="1:2" x14ac:dyDescent="0.25">
      <c r="A5430" s="81" t="s">
        <v>7629</v>
      </c>
      <c r="B5430" s="80" t="s">
        <v>9515</v>
      </c>
    </row>
    <row r="5431" spans="1:2" x14ac:dyDescent="0.25">
      <c r="A5431" s="81" t="s">
        <v>7630</v>
      </c>
      <c r="B5431" s="80" t="s">
        <v>9515</v>
      </c>
    </row>
    <row r="5432" spans="1:2" x14ac:dyDescent="0.25">
      <c r="A5432" s="81" t="s">
        <v>7631</v>
      </c>
      <c r="B5432" s="80" t="s">
        <v>9515</v>
      </c>
    </row>
    <row r="5433" spans="1:2" x14ac:dyDescent="0.25">
      <c r="A5433" s="81" t="s">
        <v>7632</v>
      </c>
      <c r="B5433" s="80" t="s">
        <v>9515</v>
      </c>
    </row>
    <row r="5434" spans="1:2" x14ac:dyDescent="0.25">
      <c r="A5434" s="81" t="s">
        <v>7633</v>
      </c>
      <c r="B5434" s="80" t="s">
        <v>9515</v>
      </c>
    </row>
    <row r="5435" spans="1:2" x14ac:dyDescent="0.25">
      <c r="A5435" s="81" t="s">
        <v>7634</v>
      </c>
      <c r="B5435" s="80" t="s">
        <v>9515</v>
      </c>
    </row>
    <row r="5436" spans="1:2" x14ac:dyDescent="0.25">
      <c r="A5436" s="81" t="s">
        <v>7635</v>
      </c>
      <c r="B5436" s="80" t="s">
        <v>9515</v>
      </c>
    </row>
    <row r="5437" spans="1:2" x14ac:dyDescent="0.25">
      <c r="A5437" s="81" t="s">
        <v>7636</v>
      </c>
      <c r="B5437" s="80" t="s">
        <v>9515</v>
      </c>
    </row>
    <row r="5438" spans="1:2" x14ac:dyDescent="0.25">
      <c r="A5438" s="81" t="s">
        <v>7637</v>
      </c>
      <c r="B5438" s="80" t="s">
        <v>9515</v>
      </c>
    </row>
    <row r="5439" spans="1:2" x14ac:dyDescent="0.25">
      <c r="A5439" s="81" t="s">
        <v>7638</v>
      </c>
      <c r="B5439" s="80" t="s">
        <v>9515</v>
      </c>
    </row>
    <row r="5440" spans="1:2" x14ac:dyDescent="0.25">
      <c r="A5440" s="81" t="s">
        <v>7639</v>
      </c>
      <c r="B5440" s="80" t="s">
        <v>9515</v>
      </c>
    </row>
    <row r="5441" spans="1:2" x14ac:dyDescent="0.25">
      <c r="A5441" s="81" t="s">
        <v>7640</v>
      </c>
      <c r="B5441" s="80" t="s">
        <v>9515</v>
      </c>
    </row>
    <row r="5442" spans="1:2" x14ac:dyDescent="0.25">
      <c r="A5442" s="81" t="s">
        <v>7641</v>
      </c>
      <c r="B5442" s="80" t="s">
        <v>9515</v>
      </c>
    </row>
    <row r="5443" spans="1:2" x14ac:dyDescent="0.25">
      <c r="A5443" s="81" t="s">
        <v>7642</v>
      </c>
      <c r="B5443" s="80" t="s">
        <v>9515</v>
      </c>
    </row>
    <row r="5444" spans="1:2" x14ac:dyDescent="0.25">
      <c r="A5444" s="81" t="s">
        <v>7643</v>
      </c>
      <c r="B5444" s="80" t="s">
        <v>9515</v>
      </c>
    </row>
    <row r="5445" spans="1:2" x14ac:dyDescent="0.25">
      <c r="A5445" s="81" t="s">
        <v>7644</v>
      </c>
      <c r="B5445" s="80" t="s">
        <v>9515</v>
      </c>
    </row>
    <row r="5446" spans="1:2" x14ac:dyDescent="0.25">
      <c r="A5446" s="81" t="s">
        <v>7645</v>
      </c>
      <c r="B5446" s="80" t="s">
        <v>9515</v>
      </c>
    </row>
    <row r="5447" spans="1:2" x14ac:dyDescent="0.25">
      <c r="A5447" s="81" t="s">
        <v>7646</v>
      </c>
      <c r="B5447" s="80" t="s">
        <v>9515</v>
      </c>
    </row>
    <row r="5448" spans="1:2" x14ac:dyDescent="0.25">
      <c r="A5448" s="81" t="s">
        <v>7647</v>
      </c>
      <c r="B5448" s="80" t="s">
        <v>9515</v>
      </c>
    </row>
    <row r="5449" spans="1:2" x14ac:dyDescent="0.25">
      <c r="A5449" s="81" t="s">
        <v>7648</v>
      </c>
      <c r="B5449" s="80" t="s">
        <v>9515</v>
      </c>
    </row>
    <row r="5450" spans="1:2" x14ac:dyDescent="0.25">
      <c r="A5450" s="81" t="s">
        <v>7649</v>
      </c>
      <c r="B5450" s="80" t="s">
        <v>9515</v>
      </c>
    </row>
    <row r="5451" spans="1:2" x14ac:dyDescent="0.25">
      <c r="A5451" s="81" t="s">
        <v>7650</v>
      </c>
      <c r="B5451" s="80" t="s">
        <v>9515</v>
      </c>
    </row>
    <row r="5452" spans="1:2" x14ac:dyDescent="0.25">
      <c r="A5452" s="81" t="s">
        <v>7651</v>
      </c>
      <c r="B5452" s="80" t="s">
        <v>9515</v>
      </c>
    </row>
    <row r="5453" spans="1:2" x14ac:dyDescent="0.25">
      <c r="A5453" s="81" t="s">
        <v>7652</v>
      </c>
      <c r="B5453" s="80" t="s">
        <v>9515</v>
      </c>
    </row>
    <row r="5454" spans="1:2" x14ac:dyDescent="0.25">
      <c r="A5454" s="81" t="s">
        <v>7653</v>
      </c>
      <c r="B5454" s="80" t="s">
        <v>9515</v>
      </c>
    </row>
    <row r="5455" spans="1:2" x14ac:dyDescent="0.25">
      <c r="A5455" s="81" t="s">
        <v>7654</v>
      </c>
      <c r="B5455" s="80" t="s">
        <v>9515</v>
      </c>
    </row>
    <row r="5456" spans="1:2" x14ac:dyDescent="0.25">
      <c r="A5456" s="81" t="s">
        <v>7655</v>
      </c>
      <c r="B5456" s="80" t="s">
        <v>9515</v>
      </c>
    </row>
    <row r="5457" spans="1:2" x14ac:dyDescent="0.25">
      <c r="A5457" s="81" t="s">
        <v>7656</v>
      </c>
      <c r="B5457" s="80" t="s">
        <v>9515</v>
      </c>
    </row>
    <row r="5458" spans="1:2" x14ac:dyDescent="0.25">
      <c r="A5458" s="81" t="s">
        <v>7657</v>
      </c>
      <c r="B5458" s="80" t="s">
        <v>9515</v>
      </c>
    </row>
    <row r="5459" spans="1:2" x14ac:dyDescent="0.25">
      <c r="A5459" s="81" t="s">
        <v>7658</v>
      </c>
      <c r="B5459" s="80" t="s">
        <v>9515</v>
      </c>
    </row>
    <row r="5460" spans="1:2" x14ac:dyDescent="0.25">
      <c r="A5460" s="81" t="s">
        <v>7659</v>
      </c>
      <c r="B5460" s="80" t="s">
        <v>9515</v>
      </c>
    </row>
    <row r="5461" spans="1:2" x14ac:dyDescent="0.25">
      <c r="A5461" s="81" t="s">
        <v>7660</v>
      </c>
      <c r="B5461" s="80" t="s">
        <v>9515</v>
      </c>
    </row>
    <row r="5462" spans="1:2" x14ac:dyDescent="0.25">
      <c r="A5462" s="81" t="s">
        <v>7661</v>
      </c>
      <c r="B5462" s="80" t="s">
        <v>9515</v>
      </c>
    </row>
    <row r="5463" spans="1:2" x14ac:dyDescent="0.25">
      <c r="A5463" s="81" t="s">
        <v>7662</v>
      </c>
      <c r="B5463" s="80" t="s">
        <v>9515</v>
      </c>
    </row>
    <row r="5464" spans="1:2" x14ac:dyDescent="0.25">
      <c r="A5464" s="81" t="s">
        <v>7663</v>
      </c>
      <c r="B5464" s="80" t="s">
        <v>9515</v>
      </c>
    </row>
    <row r="5465" spans="1:2" x14ac:dyDescent="0.25">
      <c r="A5465" s="81" t="s">
        <v>7664</v>
      </c>
      <c r="B5465" s="80" t="s">
        <v>9515</v>
      </c>
    </row>
    <row r="5466" spans="1:2" x14ac:dyDescent="0.25">
      <c r="A5466" s="81" t="s">
        <v>7665</v>
      </c>
      <c r="B5466" s="80" t="s">
        <v>9515</v>
      </c>
    </row>
    <row r="5467" spans="1:2" x14ac:dyDescent="0.25">
      <c r="A5467" s="81" t="s">
        <v>7666</v>
      </c>
      <c r="B5467" s="80" t="s">
        <v>9515</v>
      </c>
    </row>
    <row r="5468" spans="1:2" x14ac:dyDescent="0.25">
      <c r="A5468" s="81" t="s">
        <v>7667</v>
      </c>
      <c r="B5468" s="80" t="s">
        <v>9515</v>
      </c>
    </row>
    <row r="5469" spans="1:2" x14ac:dyDescent="0.25">
      <c r="A5469" s="81" t="s">
        <v>7668</v>
      </c>
      <c r="B5469" s="80" t="s">
        <v>9515</v>
      </c>
    </row>
    <row r="5470" spans="1:2" x14ac:dyDescent="0.25">
      <c r="A5470" s="81" t="s">
        <v>7669</v>
      </c>
      <c r="B5470" s="80" t="s">
        <v>9515</v>
      </c>
    </row>
    <row r="5471" spans="1:2" x14ac:dyDescent="0.25">
      <c r="A5471" s="81" t="s">
        <v>7670</v>
      </c>
      <c r="B5471" s="80" t="s">
        <v>9515</v>
      </c>
    </row>
    <row r="5472" spans="1:2" x14ac:dyDescent="0.25">
      <c r="A5472" s="81" t="s">
        <v>7671</v>
      </c>
      <c r="B5472" s="80" t="s">
        <v>9515</v>
      </c>
    </row>
    <row r="5473" spans="1:2" x14ac:dyDescent="0.25">
      <c r="A5473" s="81" t="s">
        <v>7672</v>
      </c>
      <c r="B5473" s="80" t="s">
        <v>9515</v>
      </c>
    </row>
    <row r="5474" spans="1:2" x14ac:dyDescent="0.25">
      <c r="A5474" s="81" t="s">
        <v>7673</v>
      </c>
      <c r="B5474" s="80" t="s">
        <v>9515</v>
      </c>
    </row>
    <row r="5475" spans="1:2" x14ac:dyDescent="0.25">
      <c r="A5475" s="81" t="s">
        <v>7674</v>
      </c>
      <c r="B5475" s="80" t="s">
        <v>9515</v>
      </c>
    </row>
    <row r="5476" spans="1:2" x14ac:dyDescent="0.25">
      <c r="A5476" s="81" t="s">
        <v>7675</v>
      </c>
      <c r="B5476" s="80" t="s">
        <v>9515</v>
      </c>
    </row>
    <row r="5477" spans="1:2" x14ac:dyDescent="0.25">
      <c r="A5477" s="81" t="s">
        <v>7676</v>
      </c>
      <c r="B5477" s="80" t="s">
        <v>9515</v>
      </c>
    </row>
    <row r="5478" spans="1:2" x14ac:dyDescent="0.25">
      <c r="A5478" s="81" t="s">
        <v>7677</v>
      </c>
      <c r="B5478" s="80" t="s">
        <v>9515</v>
      </c>
    </row>
    <row r="5479" spans="1:2" x14ac:dyDescent="0.25">
      <c r="A5479" s="81" t="s">
        <v>7678</v>
      </c>
      <c r="B5479" s="80" t="s">
        <v>9515</v>
      </c>
    </row>
    <row r="5480" spans="1:2" x14ac:dyDescent="0.25">
      <c r="A5480" s="81" t="s">
        <v>7679</v>
      </c>
      <c r="B5480" s="80" t="s">
        <v>9515</v>
      </c>
    </row>
    <row r="5481" spans="1:2" x14ac:dyDescent="0.25">
      <c r="A5481" s="81" t="s">
        <v>7680</v>
      </c>
      <c r="B5481" s="80" t="s">
        <v>9515</v>
      </c>
    </row>
    <row r="5482" spans="1:2" x14ac:dyDescent="0.25">
      <c r="A5482" s="81" t="s">
        <v>7681</v>
      </c>
      <c r="B5482" s="80" t="s">
        <v>9515</v>
      </c>
    </row>
    <row r="5483" spans="1:2" x14ac:dyDescent="0.25">
      <c r="A5483" s="81" t="s">
        <v>7682</v>
      </c>
      <c r="B5483" s="80" t="s">
        <v>9515</v>
      </c>
    </row>
    <row r="5484" spans="1:2" x14ac:dyDescent="0.25">
      <c r="A5484" s="81" t="s">
        <v>7683</v>
      </c>
      <c r="B5484" s="80" t="s">
        <v>9515</v>
      </c>
    </row>
    <row r="5485" spans="1:2" x14ac:dyDescent="0.25">
      <c r="A5485" s="81" t="s">
        <v>7684</v>
      </c>
      <c r="B5485" s="80" t="s">
        <v>9515</v>
      </c>
    </row>
    <row r="5486" spans="1:2" x14ac:dyDescent="0.25">
      <c r="A5486" s="81" t="s">
        <v>7685</v>
      </c>
      <c r="B5486" s="80" t="s">
        <v>9515</v>
      </c>
    </row>
    <row r="5487" spans="1:2" x14ac:dyDescent="0.25">
      <c r="A5487" s="81" t="s">
        <v>7686</v>
      </c>
      <c r="B5487" s="80" t="s">
        <v>9515</v>
      </c>
    </row>
    <row r="5488" spans="1:2" x14ac:dyDescent="0.25">
      <c r="A5488" s="81" t="s">
        <v>7687</v>
      </c>
      <c r="B5488" s="80" t="s">
        <v>9515</v>
      </c>
    </row>
    <row r="5489" spans="1:2" x14ac:dyDescent="0.25">
      <c r="A5489" s="81" t="s">
        <v>7688</v>
      </c>
      <c r="B5489" s="80" t="s">
        <v>9515</v>
      </c>
    </row>
    <row r="5490" spans="1:2" x14ac:dyDescent="0.25">
      <c r="A5490" s="81" t="s">
        <v>7689</v>
      </c>
      <c r="B5490" s="80" t="s">
        <v>9515</v>
      </c>
    </row>
    <row r="5491" spans="1:2" x14ac:dyDescent="0.25">
      <c r="A5491" s="81" t="s">
        <v>7690</v>
      </c>
      <c r="B5491" s="80" t="s">
        <v>9515</v>
      </c>
    </row>
    <row r="5492" spans="1:2" x14ac:dyDescent="0.25">
      <c r="A5492" s="81" t="s">
        <v>7691</v>
      </c>
      <c r="B5492" s="80" t="s">
        <v>9515</v>
      </c>
    </row>
    <row r="5493" spans="1:2" x14ac:dyDescent="0.25">
      <c r="A5493" s="81" t="s">
        <v>7692</v>
      </c>
      <c r="B5493" s="80" t="s">
        <v>9515</v>
      </c>
    </row>
    <row r="5494" spans="1:2" x14ac:dyDescent="0.25">
      <c r="A5494" s="81" t="s">
        <v>7693</v>
      </c>
      <c r="B5494" s="80" t="s">
        <v>9515</v>
      </c>
    </row>
    <row r="5495" spans="1:2" x14ac:dyDescent="0.25">
      <c r="A5495" s="81" t="s">
        <v>7694</v>
      </c>
      <c r="B5495" s="80" t="s">
        <v>9515</v>
      </c>
    </row>
    <row r="5496" spans="1:2" x14ac:dyDescent="0.25">
      <c r="A5496" s="81" t="s">
        <v>7695</v>
      </c>
      <c r="B5496" s="80" t="s">
        <v>9515</v>
      </c>
    </row>
    <row r="5497" spans="1:2" x14ac:dyDescent="0.25">
      <c r="A5497" s="81" t="s">
        <v>7696</v>
      </c>
      <c r="B5497" s="80" t="s">
        <v>9515</v>
      </c>
    </row>
    <row r="5498" spans="1:2" x14ac:dyDescent="0.25">
      <c r="A5498" s="81" t="s">
        <v>7697</v>
      </c>
      <c r="B5498" s="80" t="s">
        <v>9515</v>
      </c>
    </row>
    <row r="5499" spans="1:2" x14ac:dyDescent="0.25">
      <c r="A5499" s="81" t="s">
        <v>7698</v>
      </c>
      <c r="B5499" s="80" t="s">
        <v>9515</v>
      </c>
    </row>
    <row r="5500" spans="1:2" x14ac:dyDescent="0.25">
      <c r="A5500" s="81" t="s">
        <v>7699</v>
      </c>
      <c r="B5500" s="80" t="s">
        <v>9515</v>
      </c>
    </row>
    <row r="5501" spans="1:2" x14ac:dyDescent="0.25">
      <c r="A5501" s="81" t="s">
        <v>7700</v>
      </c>
      <c r="B5501" s="80" t="s">
        <v>9515</v>
      </c>
    </row>
    <row r="5502" spans="1:2" x14ac:dyDescent="0.25">
      <c r="A5502" s="81" t="s">
        <v>7701</v>
      </c>
      <c r="B5502" s="80" t="s">
        <v>9515</v>
      </c>
    </row>
    <row r="5503" spans="1:2" x14ac:dyDescent="0.25">
      <c r="A5503" s="81" t="s">
        <v>7702</v>
      </c>
      <c r="B5503" s="80" t="s">
        <v>9515</v>
      </c>
    </row>
    <row r="5504" spans="1:2" x14ac:dyDescent="0.25">
      <c r="A5504" s="81" t="s">
        <v>7703</v>
      </c>
      <c r="B5504" s="80" t="s">
        <v>9515</v>
      </c>
    </row>
    <row r="5505" spans="1:2" x14ac:dyDescent="0.25">
      <c r="A5505" s="81" t="s">
        <v>7704</v>
      </c>
      <c r="B5505" s="80" t="s">
        <v>9515</v>
      </c>
    </row>
    <row r="5506" spans="1:2" x14ac:dyDescent="0.25">
      <c r="A5506" s="81" t="s">
        <v>7705</v>
      </c>
      <c r="B5506" s="80" t="s">
        <v>9515</v>
      </c>
    </row>
    <row r="5507" spans="1:2" x14ac:dyDescent="0.25">
      <c r="A5507" s="81" t="s">
        <v>7706</v>
      </c>
      <c r="B5507" s="80" t="s">
        <v>9515</v>
      </c>
    </row>
    <row r="5508" spans="1:2" x14ac:dyDescent="0.25">
      <c r="A5508" s="81" t="s">
        <v>7707</v>
      </c>
      <c r="B5508" s="80" t="s">
        <v>9515</v>
      </c>
    </row>
    <row r="5509" spans="1:2" x14ac:dyDescent="0.25">
      <c r="A5509" s="81" t="s">
        <v>7708</v>
      </c>
      <c r="B5509" s="80" t="s">
        <v>9515</v>
      </c>
    </row>
    <row r="5510" spans="1:2" x14ac:dyDescent="0.25">
      <c r="A5510" s="81" t="s">
        <v>7709</v>
      </c>
      <c r="B5510" s="80" t="s">
        <v>9515</v>
      </c>
    </row>
    <row r="5511" spans="1:2" x14ac:dyDescent="0.25">
      <c r="A5511" s="81" t="s">
        <v>7710</v>
      </c>
      <c r="B5511" s="80" t="s">
        <v>9515</v>
      </c>
    </row>
    <row r="5512" spans="1:2" x14ac:dyDescent="0.25">
      <c r="A5512" s="81" t="s">
        <v>7711</v>
      </c>
      <c r="B5512" s="80" t="s">
        <v>9515</v>
      </c>
    </row>
    <row r="5513" spans="1:2" x14ac:dyDescent="0.25">
      <c r="A5513" s="81" t="s">
        <v>7712</v>
      </c>
      <c r="B5513" s="80" t="s">
        <v>9515</v>
      </c>
    </row>
    <row r="5514" spans="1:2" x14ac:dyDescent="0.25">
      <c r="A5514" s="81" t="s">
        <v>7713</v>
      </c>
      <c r="B5514" s="80" t="s">
        <v>9515</v>
      </c>
    </row>
    <row r="5515" spans="1:2" x14ac:dyDescent="0.25">
      <c r="A5515" s="81" t="s">
        <v>7714</v>
      </c>
      <c r="B5515" s="80" t="s">
        <v>9515</v>
      </c>
    </row>
    <row r="5516" spans="1:2" x14ac:dyDescent="0.25">
      <c r="A5516" s="81" t="s">
        <v>7715</v>
      </c>
      <c r="B5516" s="80" t="s">
        <v>9515</v>
      </c>
    </row>
    <row r="5517" spans="1:2" x14ac:dyDescent="0.25">
      <c r="A5517" s="81" t="s">
        <v>7716</v>
      </c>
      <c r="B5517" s="80" t="s">
        <v>9515</v>
      </c>
    </row>
    <row r="5518" spans="1:2" x14ac:dyDescent="0.25">
      <c r="A5518" s="81" t="s">
        <v>7717</v>
      </c>
      <c r="B5518" s="80" t="s">
        <v>9515</v>
      </c>
    </row>
    <row r="5519" spans="1:2" x14ac:dyDescent="0.25">
      <c r="A5519" s="81" t="s">
        <v>7718</v>
      </c>
      <c r="B5519" s="80" t="s">
        <v>9515</v>
      </c>
    </row>
    <row r="5520" spans="1:2" x14ac:dyDescent="0.25">
      <c r="A5520" s="81" t="s">
        <v>7719</v>
      </c>
      <c r="B5520" s="80" t="s">
        <v>9515</v>
      </c>
    </row>
    <row r="5521" spans="1:2" x14ac:dyDescent="0.25">
      <c r="A5521" s="81" t="s">
        <v>7720</v>
      </c>
      <c r="B5521" s="80" t="s">
        <v>9515</v>
      </c>
    </row>
    <row r="5522" spans="1:2" x14ac:dyDescent="0.25">
      <c r="A5522" s="81" t="s">
        <v>7721</v>
      </c>
      <c r="B5522" s="80" t="s">
        <v>9515</v>
      </c>
    </row>
    <row r="5523" spans="1:2" x14ac:dyDescent="0.25">
      <c r="A5523" s="81" t="s">
        <v>7722</v>
      </c>
      <c r="B5523" s="80" t="s">
        <v>9515</v>
      </c>
    </row>
    <row r="5524" spans="1:2" x14ac:dyDescent="0.25">
      <c r="A5524" s="81" t="s">
        <v>7723</v>
      </c>
      <c r="B5524" s="80" t="s">
        <v>9515</v>
      </c>
    </row>
    <row r="5525" spans="1:2" x14ac:dyDescent="0.25">
      <c r="A5525" s="81" t="s">
        <v>7724</v>
      </c>
      <c r="B5525" s="80" t="s">
        <v>9515</v>
      </c>
    </row>
    <row r="5526" spans="1:2" x14ac:dyDescent="0.25">
      <c r="A5526" s="81" t="s">
        <v>7725</v>
      </c>
      <c r="B5526" s="80" t="s">
        <v>9515</v>
      </c>
    </row>
    <row r="5527" spans="1:2" x14ac:dyDescent="0.25">
      <c r="A5527" s="81" t="s">
        <v>7726</v>
      </c>
      <c r="B5527" s="80" t="s">
        <v>9515</v>
      </c>
    </row>
    <row r="5528" spans="1:2" x14ac:dyDescent="0.25">
      <c r="A5528" s="81" t="s">
        <v>7727</v>
      </c>
      <c r="B5528" s="80" t="s">
        <v>9515</v>
      </c>
    </row>
    <row r="5529" spans="1:2" x14ac:dyDescent="0.25">
      <c r="A5529" s="81" t="s">
        <v>7728</v>
      </c>
      <c r="B5529" s="80" t="s">
        <v>9515</v>
      </c>
    </row>
    <row r="5530" spans="1:2" x14ac:dyDescent="0.25">
      <c r="A5530" s="81" t="s">
        <v>7729</v>
      </c>
      <c r="B5530" s="80" t="s">
        <v>9515</v>
      </c>
    </row>
    <row r="5531" spans="1:2" x14ac:dyDescent="0.25">
      <c r="A5531" s="81" t="s">
        <v>7730</v>
      </c>
      <c r="B5531" s="80" t="s">
        <v>9515</v>
      </c>
    </row>
    <row r="5532" spans="1:2" x14ac:dyDescent="0.25">
      <c r="A5532" s="81" t="s">
        <v>7731</v>
      </c>
      <c r="B5532" s="80" t="s">
        <v>9515</v>
      </c>
    </row>
    <row r="5533" spans="1:2" x14ac:dyDescent="0.25">
      <c r="A5533" s="81" t="s">
        <v>7732</v>
      </c>
      <c r="B5533" s="80" t="s">
        <v>9515</v>
      </c>
    </row>
    <row r="5534" spans="1:2" x14ac:dyDescent="0.25">
      <c r="A5534" s="81" t="s">
        <v>7733</v>
      </c>
      <c r="B5534" s="80" t="s">
        <v>9515</v>
      </c>
    </row>
    <row r="5535" spans="1:2" x14ac:dyDescent="0.25">
      <c r="A5535" s="81" t="s">
        <v>7734</v>
      </c>
      <c r="B5535" s="80" t="s">
        <v>9515</v>
      </c>
    </row>
    <row r="5536" spans="1:2" x14ac:dyDescent="0.25">
      <c r="A5536" s="81" t="s">
        <v>7735</v>
      </c>
      <c r="B5536" s="80" t="s">
        <v>9515</v>
      </c>
    </row>
    <row r="5537" spans="1:2" x14ac:dyDescent="0.25">
      <c r="A5537" s="81" t="s">
        <v>7736</v>
      </c>
      <c r="B5537" s="80" t="s">
        <v>9515</v>
      </c>
    </row>
    <row r="5538" spans="1:2" x14ac:dyDescent="0.25">
      <c r="A5538" s="81" t="s">
        <v>7737</v>
      </c>
      <c r="B5538" s="80" t="s">
        <v>9515</v>
      </c>
    </row>
    <row r="5539" spans="1:2" x14ac:dyDescent="0.25">
      <c r="A5539" s="81" t="s">
        <v>7738</v>
      </c>
      <c r="B5539" s="80" t="s">
        <v>9515</v>
      </c>
    </row>
    <row r="5540" spans="1:2" x14ac:dyDescent="0.25">
      <c r="A5540" s="81" t="s">
        <v>7739</v>
      </c>
      <c r="B5540" s="80" t="s">
        <v>9515</v>
      </c>
    </row>
    <row r="5541" spans="1:2" x14ac:dyDescent="0.25">
      <c r="A5541" s="81" t="s">
        <v>7740</v>
      </c>
      <c r="B5541" s="80" t="s">
        <v>9515</v>
      </c>
    </row>
    <row r="5542" spans="1:2" x14ac:dyDescent="0.25">
      <c r="A5542" s="81" t="s">
        <v>7741</v>
      </c>
      <c r="B5542" s="80" t="s">
        <v>9515</v>
      </c>
    </row>
    <row r="5543" spans="1:2" x14ac:dyDescent="0.25">
      <c r="A5543" s="81" t="s">
        <v>7742</v>
      </c>
      <c r="B5543" s="80" t="s">
        <v>9515</v>
      </c>
    </row>
    <row r="5544" spans="1:2" x14ac:dyDescent="0.25">
      <c r="A5544" s="81" t="s">
        <v>7743</v>
      </c>
      <c r="B5544" s="80" t="s">
        <v>9515</v>
      </c>
    </row>
    <row r="5545" spans="1:2" x14ac:dyDescent="0.25">
      <c r="A5545" s="81" t="s">
        <v>7744</v>
      </c>
      <c r="B5545" s="80" t="s">
        <v>9515</v>
      </c>
    </row>
    <row r="5546" spans="1:2" x14ac:dyDescent="0.25">
      <c r="A5546" s="81" t="s">
        <v>7745</v>
      </c>
      <c r="B5546" s="80" t="s">
        <v>9515</v>
      </c>
    </row>
    <row r="5547" spans="1:2" x14ac:dyDescent="0.25">
      <c r="A5547" s="81" t="s">
        <v>7746</v>
      </c>
      <c r="B5547" s="80" t="s">
        <v>9515</v>
      </c>
    </row>
    <row r="5548" spans="1:2" x14ac:dyDescent="0.25">
      <c r="A5548" s="81" t="s">
        <v>7747</v>
      </c>
      <c r="B5548" s="80" t="s">
        <v>9515</v>
      </c>
    </row>
    <row r="5549" spans="1:2" x14ac:dyDescent="0.25">
      <c r="A5549" s="81" t="s">
        <v>7748</v>
      </c>
      <c r="B5549" s="80" t="s">
        <v>9515</v>
      </c>
    </row>
    <row r="5550" spans="1:2" x14ac:dyDescent="0.25">
      <c r="A5550" s="81" t="s">
        <v>7749</v>
      </c>
      <c r="B5550" s="80" t="s">
        <v>9515</v>
      </c>
    </row>
    <row r="5551" spans="1:2" x14ac:dyDescent="0.25">
      <c r="A5551" s="81" t="s">
        <v>7750</v>
      </c>
      <c r="B5551" s="80" t="s">
        <v>9515</v>
      </c>
    </row>
    <row r="5552" spans="1:2" x14ac:dyDescent="0.25">
      <c r="A5552" s="81" t="s">
        <v>7751</v>
      </c>
      <c r="B5552" s="80" t="s">
        <v>9515</v>
      </c>
    </row>
    <row r="5553" spans="1:2" x14ac:dyDescent="0.25">
      <c r="A5553" s="81" t="s">
        <v>7752</v>
      </c>
      <c r="B5553" s="80" t="s">
        <v>9515</v>
      </c>
    </row>
    <row r="5554" spans="1:2" x14ac:dyDescent="0.25">
      <c r="A5554" s="81" t="s">
        <v>7753</v>
      </c>
      <c r="B5554" s="80" t="s">
        <v>9515</v>
      </c>
    </row>
    <row r="5555" spans="1:2" x14ac:dyDescent="0.25">
      <c r="A5555" s="81" t="s">
        <v>7754</v>
      </c>
      <c r="B5555" s="80" t="s">
        <v>9515</v>
      </c>
    </row>
    <row r="5556" spans="1:2" x14ac:dyDescent="0.25">
      <c r="A5556" s="81" t="s">
        <v>7755</v>
      </c>
      <c r="B5556" s="80" t="s">
        <v>9515</v>
      </c>
    </row>
    <row r="5557" spans="1:2" x14ac:dyDescent="0.25">
      <c r="A5557" s="81" t="s">
        <v>7756</v>
      </c>
      <c r="B5557" s="80" t="s">
        <v>9515</v>
      </c>
    </row>
    <row r="5558" spans="1:2" x14ac:dyDescent="0.25">
      <c r="A5558" s="81" t="s">
        <v>7757</v>
      </c>
      <c r="B5558" s="80" t="s">
        <v>9515</v>
      </c>
    </row>
    <row r="5559" spans="1:2" x14ac:dyDescent="0.25">
      <c r="A5559" s="81" t="s">
        <v>7758</v>
      </c>
      <c r="B5559" s="80" t="s">
        <v>9515</v>
      </c>
    </row>
    <row r="5560" spans="1:2" x14ac:dyDescent="0.25">
      <c r="A5560" s="81" t="s">
        <v>7759</v>
      </c>
      <c r="B5560" s="80" t="s">
        <v>9515</v>
      </c>
    </row>
    <row r="5561" spans="1:2" x14ac:dyDescent="0.25">
      <c r="A5561" s="81" t="s">
        <v>7760</v>
      </c>
      <c r="B5561" s="80" t="s">
        <v>9515</v>
      </c>
    </row>
    <row r="5562" spans="1:2" x14ac:dyDescent="0.25">
      <c r="A5562" s="81" t="s">
        <v>7761</v>
      </c>
      <c r="B5562" s="80" t="s">
        <v>9515</v>
      </c>
    </row>
    <row r="5563" spans="1:2" x14ac:dyDescent="0.25">
      <c r="A5563" s="81" t="s">
        <v>7762</v>
      </c>
      <c r="B5563" s="80" t="s">
        <v>9515</v>
      </c>
    </row>
    <row r="5564" spans="1:2" x14ac:dyDescent="0.25">
      <c r="A5564" s="81" t="s">
        <v>7763</v>
      </c>
      <c r="B5564" s="80" t="s">
        <v>9515</v>
      </c>
    </row>
    <row r="5565" spans="1:2" x14ac:dyDescent="0.25">
      <c r="A5565" s="81" t="s">
        <v>7764</v>
      </c>
      <c r="B5565" s="80" t="s">
        <v>9515</v>
      </c>
    </row>
    <row r="5566" spans="1:2" x14ac:dyDescent="0.25">
      <c r="A5566" s="81" t="s">
        <v>7765</v>
      </c>
      <c r="B5566" s="80" t="s">
        <v>9515</v>
      </c>
    </row>
    <row r="5567" spans="1:2" x14ac:dyDescent="0.25">
      <c r="A5567" s="81" t="s">
        <v>7766</v>
      </c>
      <c r="B5567" s="80" t="s">
        <v>9515</v>
      </c>
    </row>
    <row r="5568" spans="1:2" x14ac:dyDescent="0.25">
      <c r="A5568" s="81" t="s">
        <v>7767</v>
      </c>
      <c r="B5568" s="80" t="s">
        <v>9515</v>
      </c>
    </row>
    <row r="5569" spans="1:2" x14ac:dyDescent="0.25">
      <c r="A5569" s="81" t="s">
        <v>7768</v>
      </c>
      <c r="B5569" s="80" t="s">
        <v>9515</v>
      </c>
    </row>
    <row r="5570" spans="1:2" x14ac:dyDescent="0.25">
      <c r="A5570" s="81" t="s">
        <v>7769</v>
      </c>
      <c r="B5570" s="80" t="s">
        <v>9515</v>
      </c>
    </row>
    <row r="5571" spans="1:2" x14ac:dyDescent="0.25">
      <c r="A5571" s="81" t="s">
        <v>7770</v>
      </c>
      <c r="B5571" s="80" t="s">
        <v>9515</v>
      </c>
    </row>
    <row r="5572" spans="1:2" x14ac:dyDescent="0.25">
      <c r="A5572" s="81" t="s">
        <v>7771</v>
      </c>
      <c r="B5572" s="80" t="s">
        <v>9515</v>
      </c>
    </row>
    <row r="5573" spans="1:2" x14ac:dyDescent="0.25">
      <c r="A5573" s="81" t="s">
        <v>7772</v>
      </c>
      <c r="B5573" s="80" t="s">
        <v>9515</v>
      </c>
    </row>
    <row r="5574" spans="1:2" x14ac:dyDescent="0.25">
      <c r="A5574" s="81" t="s">
        <v>7773</v>
      </c>
      <c r="B5574" s="80" t="s">
        <v>9515</v>
      </c>
    </row>
    <row r="5575" spans="1:2" x14ac:dyDescent="0.25">
      <c r="A5575" s="81" t="s">
        <v>7774</v>
      </c>
      <c r="B5575" s="80" t="s">
        <v>9515</v>
      </c>
    </row>
    <row r="5576" spans="1:2" x14ac:dyDescent="0.25">
      <c r="A5576" s="81" t="s">
        <v>7775</v>
      </c>
      <c r="B5576" s="80" t="s">
        <v>9515</v>
      </c>
    </row>
    <row r="5577" spans="1:2" x14ac:dyDescent="0.25">
      <c r="A5577" s="81" t="s">
        <v>7776</v>
      </c>
      <c r="B5577" s="80" t="s">
        <v>9515</v>
      </c>
    </row>
    <row r="5578" spans="1:2" x14ac:dyDescent="0.25">
      <c r="A5578" s="81" t="s">
        <v>7777</v>
      </c>
      <c r="B5578" s="80" t="s">
        <v>9515</v>
      </c>
    </row>
    <row r="5579" spans="1:2" x14ac:dyDescent="0.25">
      <c r="A5579" s="81" t="s">
        <v>7778</v>
      </c>
      <c r="B5579" s="80" t="s">
        <v>9515</v>
      </c>
    </row>
    <row r="5580" spans="1:2" x14ac:dyDescent="0.25">
      <c r="A5580" s="81" t="s">
        <v>7779</v>
      </c>
      <c r="B5580" s="80" t="s">
        <v>9515</v>
      </c>
    </row>
    <row r="5581" spans="1:2" x14ac:dyDescent="0.25">
      <c r="A5581" s="81" t="s">
        <v>7780</v>
      </c>
      <c r="B5581" s="80" t="s">
        <v>9515</v>
      </c>
    </row>
    <row r="5582" spans="1:2" x14ac:dyDescent="0.25">
      <c r="A5582" s="81" t="s">
        <v>7781</v>
      </c>
      <c r="B5582" s="80" t="s">
        <v>9515</v>
      </c>
    </row>
    <row r="5583" spans="1:2" x14ac:dyDescent="0.25">
      <c r="A5583" s="81" t="s">
        <v>7782</v>
      </c>
      <c r="B5583" s="80" t="s">
        <v>9515</v>
      </c>
    </row>
    <row r="5584" spans="1:2" x14ac:dyDescent="0.25">
      <c r="A5584" s="81" t="s">
        <v>7783</v>
      </c>
      <c r="B5584" s="80" t="s">
        <v>9515</v>
      </c>
    </row>
    <row r="5585" spans="1:2" x14ac:dyDescent="0.25">
      <c r="A5585" s="81" t="s">
        <v>7784</v>
      </c>
      <c r="B5585" s="80" t="s">
        <v>9515</v>
      </c>
    </row>
    <row r="5586" spans="1:2" x14ac:dyDescent="0.25">
      <c r="A5586" s="81" t="s">
        <v>7785</v>
      </c>
      <c r="B5586" s="80" t="s">
        <v>9515</v>
      </c>
    </row>
    <row r="5587" spans="1:2" x14ac:dyDescent="0.25">
      <c r="A5587" s="81" t="s">
        <v>7786</v>
      </c>
      <c r="B5587" s="80" t="s">
        <v>9515</v>
      </c>
    </row>
    <row r="5588" spans="1:2" x14ac:dyDescent="0.25">
      <c r="A5588" s="81" t="s">
        <v>7787</v>
      </c>
      <c r="B5588" s="80" t="s">
        <v>9515</v>
      </c>
    </row>
    <row r="5589" spans="1:2" x14ac:dyDescent="0.25">
      <c r="A5589" s="81" t="s">
        <v>7788</v>
      </c>
      <c r="B5589" s="80" t="s">
        <v>9515</v>
      </c>
    </row>
    <row r="5590" spans="1:2" x14ac:dyDescent="0.25">
      <c r="A5590" s="81" t="s">
        <v>7789</v>
      </c>
      <c r="B5590" s="80" t="s">
        <v>9515</v>
      </c>
    </row>
    <row r="5591" spans="1:2" x14ac:dyDescent="0.25">
      <c r="A5591" s="81" t="s">
        <v>7790</v>
      </c>
      <c r="B5591" s="80" t="s">
        <v>9515</v>
      </c>
    </row>
    <row r="5592" spans="1:2" x14ac:dyDescent="0.25">
      <c r="A5592" s="81" t="s">
        <v>7791</v>
      </c>
      <c r="B5592" s="80" t="s">
        <v>9515</v>
      </c>
    </row>
    <row r="5593" spans="1:2" x14ac:dyDescent="0.25">
      <c r="A5593" s="81" t="s">
        <v>7792</v>
      </c>
      <c r="B5593" s="80" t="s">
        <v>9515</v>
      </c>
    </row>
    <row r="5594" spans="1:2" x14ac:dyDescent="0.25">
      <c r="A5594" s="81" t="s">
        <v>7793</v>
      </c>
      <c r="B5594" s="80" t="s">
        <v>9515</v>
      </c>
    </row>
    <row r="5595" spans="1:2" x14ac:dyDescent="0.25">
      <c r="A5595" s="81" t="s">
        <v>7794</v>
      </c>
      <c r="B5595" s="80" t="s">
        <v>9515</v>
      </c>
    </row>
    <row r="5596" spans="1:2" x14ac:dyDescent="0.25">
      <c r="A5596" s="81" t="s">
        <v>7795</v>
      </c>
      <c r="B5596" s="80" t="s">
        <v>9515</v>
      </c>
    </row>
    <row r="5597" spans="1:2" x14ac:dyDescent="0.25">
      <c r="A5597" s="81" t="s">
        <v>7796</v>
      </c>
      <c r="B5597" s="80" t="s">
        <v>9515</v>
      </c>
    </row>
    <row r="5598" spans="1:2" x14ac:dyDescent="0.25">
      <c r="A5598" s="81" t="s">
        <v>7797</v>
      </c>
      <c r="B5598" s="80" t="s">
        <v>9515</v>
      </c>
    </row>
    <row r="5599" spans="1:2" x14ac:dyDescent="0.25">
      <c r="A5599" s="81" t="s">
        <v>7798</v>
      </c>
      <c r="B5599" s="80" t="s">
        <v>9515</v>
      </c>
    </row>
    <row r="5600" spans="1:2" x14ac:dyDescent="0.25">
      <c r="A5600" s="81" t="s">
        <v>7799</v>
      </c>
      <c r="B5600" s="80" t="s">
        <v>9515</v>
      </c>
    </row>
    <row r="5601" spans="1:2" x14ac:dyDescent="0.25">
      <c r="A5601" s="81" t="s">
        <v>7800</v>
      </c>
      <c r="B5601" s="80" t="s">
        <v>9515</v>
      </c>
    </row>
    <row r="5602" spans="1:2" x14ac:dyDescent="0.25">
      <c r="A5602" s="81" t="s">
        <v>7801</v>
      </c>
      <c r="B5602" s="80" t="s">
        <v>9515</v>
      </c>
    </row>
    <row r="5603" spans="1:2" x14ac:dyDescent="0.25">
      <c r="A5603" s="81" t="s">
        <v>7802</v>
      </c>
      <c r="B5603" s="80" t="s">
        <v>9515</v>
      </c>
    </row>
    <row r="5604" spans="1:2" x14ac:dyDescent="0.25">
      <c r="A5604" s="81" t="s">
        <v>7803</v>
      </c>
      <c r="B5604" s="80" t="s">
        <v>9515</v>
      </c>
    </row>
    <row r="5605" spans="1:2" x14ac:dyDescent="0.25">
      <c r="A5605" s="81" t="s">
        <v>7804</v>
      </c>
      <c r="B5605" s="80" t="s">
        <v>9515</v>
      </c>
    </row>
    <row r="5606" spans="1:2" x14ac:dyDescent="0.25">
      <c r="A5606" s="81" t="s">
        <v>7805</v>
      </c>
      <c r="B5606" s="80" t="s">
        <v>9515</v>
      </c>
    </row>
    <row r="5607" spans="1:2" x14ac:dyDescent="0.25">
      <c r="A5607" s="81" t="s">
        <v>7806</v>
      </c>
      <c r="B5607" s="80" t="s">
        <v>9515</v>
      </c>
    </row>
    <row r="5608" spans="1:2" x14ac:dyDescent="0.25">
      <c r="A5608" s="81" t="s">
        <v>7807</v>
      </c>
      <c r="B5608" s="80" t="s">
        <v>9515</v>
      </c>
    </row>
    <row r="5609" spans="1:2" x14ac:dyDescent="0.25">
      <c r="A5609" s="81" t="s">
        <v>7808</v>
      </c>
      <c r="B5609" s="80" t="s">
        <v>9515</v>
      </c>
    </row>
    <row r="5610" spans="1:2" x14ac:dyDescent="0.25">
      <c r="A5610" s="81" t="s">
        <v>7809</v>
      </c>
      <c r="B5610" s="80" t="s">
        <v>9515</v>
      </c>
    </row>
    <row r="5611" spans="1:2" x14ac:dyDescent="0.25">
      <c r="A5611" s="81" t="s">
        <v>7810</v>
      </c>
      <c r="B5611" s="80" t="s">
        <v>9515</v>
      </c>
    </row>
    <row r="5612" spans="1:2" x14ac:dyDescent="0.25">
      <c r="A5612" s="81" t="s">
        <v>7811</v>
      </c>
      <c r="B5612" s="80" t="s">
        <v>9515</v>
      </c>
    </row>
    <row r="5613" spans="1:2" x14ac:dyDescent="0.25">
      <c r="A5613" s="81" t="s">
        <v>7812</v>
      </c>
      <c r="B5613" s="80" t="s">
        <v>9515</v>
      </c>
    </row>
    <row r="5614" spans="1:2" x14ac:dyDescent="0.25">
      <c r="A5614" s="81" t="s">
        <v>7813</v>
      </c>
      <c r="B5614" s="80" t="s">
        <v>9515</v>
      </c>
    </row>
    <row r="5615" spans="1:2" x14ac:dyDescent="0.25">
      <c r="A5615" s="81" t="s">
        <v>7814</v>
      </c>
      <c r="B5615" s="80" t="s">
        <v>9515</v>
      </c>
    </row>
    <row r="5616" spans="1:2" x14ac:dyDescent="0.25">
      <c r="A5616" s="81" t="s">
        <v>7815</v>
      </c>
      <c r="B5616" s="80" t="s">
        <v>9515</v>
      </c>
    </row>
    <row r="5617" spans="1:2" x14ac:dyDescent="0.25">
      <c r="A5617" s="81" t="s">
        <v>7816</v>
      </c>
      <c r="B5617" s="80" t="s">
        <v>9515</v>
      </c>
    </row>
    <row r="5618" spans="1:2" x14ac:dyDescent="0.25">
      <c r="A5618" s="81" t="s">
        <v>7817</v>
      </c>
      <c r="B5618" s="80" t="s">
        <v>9515</v>
      </c>
    </row>
    <row r="5619" spans="1:2" x14ac:dyDescent="0.25">
      <c r="A5619" s="81" t="s">
        <v>7818</v>
      </c>
      <c r="B5619" s="80" t="s">
        <v>9515</v>
      </c>
    </row>
    <row r="5620" spans="1:2" x14ac:dyDescent="0.25">
      <c r="A5620" s="81" t="s">
        <v>7819</v>
      </c>
      <c r="B5620" s="80" t="s">
        <v>9515</v>
      </c>
    </row>
    <row r="5621" spans="1:2" x14ac:dyDescent="0.25">
      <c r="A5621" s="81" t="s">
        <v>7820</v>
      </c>
      <c r="B5621" s="80" t="s">
        <v>9515</v>
      </c>
    </row>
    <row r="5622" spans="1:2" x14ac:dyDescent="0.25">
      <c r="A5622" s="81" t="s">
        <v>7821</v>
      </c>
      <c r="B5622" s="80" t="s">
        <v>9515</v>
      </c>
    </row>
    <row r="5623" spans="1:2" x14ac:dyDescent="0.25">
      <c r="A5623" s="81" t="s">
        <v>7822</v>
      </c>
      <c r="B5623" s="80" t="s">
        <v>9515</v>
      </c>
    </row>
    <row r="5624" spans="1:2" x14ac:dyDescent="0.25">
      <c r="A5624" s="81" t="s">
        <v>7823</v>
      </c>
      <c r="B5624" s="80" t="s">
        <v>9515</v>
      </c>
    </row>
    <row r="5625" spans="1:2" x14ac:dyDescent="0.25">
      <c r="A5625" s="81" t="s">
        <v>7824</v>
      </c>
      <c r="B5625" s="80" t="s">
        <v>9515</v>
      </c>
    </row>
    <row r="5626" spans="1:2" x14ac:dyDescent="0.25">
      <c r="A5626" s="81" t="s">
        <v>7825</v>
      </c>
      <c r="B5626" s="80" t="s">
        <v>9515</v>
      </c>
    </row>
    <row r="5627" spans="1:2" x14ac:dyDescent="0.25">
      <c r="A5627" s="81" t="s">
        <v>7826</v>
      </c>
      <c r="B5627" s="80" t="s">
        <v>9515</v>
      </c>
    </row>
    <row r="5628" spans="1:2" x14ac:dyDescent="0.25">
      <c r="A5628" s="81" t="s">
        <v>7827</v>
      </c>
      <c r="B5628" s="80" t="s">
        <v>9515</v>
      </c>
    </row>
    <row r="5629" spans="1:2" x14ac:dyDescent="0.25">
      <c r="A5629" s="81" t="s">
        <v>7828</v>
      </c>
      <c r="B5629" s="80" t="s">
        <v>9515</v>
      </c>
    </row>
    <row r="5630" spans="1:2" x14ac:dyDescent="0.25">
      <c r="A5630" s="81" t="s">
        <v>7829</v>
      </c>
      <c r="B5630" s="80" t="s">
        <v>9515</v>
      </c>
    </row>
    <row r="5631" spans="1:2" x14ac:dyDescent="0.25">
      <c r="A5631" s="81" t="s">
        <v>7830</v>
      </c>
      <c r="B5631" s="80" t="s">
        <v>9515</v>
      </c>
    </row>
    <row r="5632" spans="1:2" x14ac:dyDescent="0.25">
      <c r="A5632" s="81" t="s">
        <v>7831</v>
      </c>
      <c r="B5632" s="80" t="s">
        <v>9515</v>
      </c>
    </row>
    <row r="5633" spans="1:2" x14ac:dyDescent="0.25">
      <c r="A5633" s="81" t="s">
        <v>7832</v>
      </c>
      <c r="B5633" s="80" t="s">
        <v>9515</v>
      </c>
    </row>
    <row r="5634" spans="1:2" x14ac:dyDescent="0.25">
      <c r="A5634" s="81" t="s">
        <v>7833</v>
      </c>
      <c r="B5634" s="80" t="s">
        <v>9515</v>
      </c>
    </row>
    <row r="5635" spans="1:2" x14ac:dyDescent="0.25">
      <c r="A5635" s="81" t="s">
        <v>7834</v>
      </c>
      <c r="B5635" s="80" t="s">
        <v>9515</v>
      </c>
    </row>
    <row r="5636" spans="1:2" x14ac:dyDescent="0.25">
      <c r="A5636" s="81" t="s">
        <v>7835</v>
      </c>
      <c r="B5636" s="80" t="s">
        <v>9515</v>
      </c>
    </row>
    <row r="5637" spans="1:2" x14ac:dyDescent="0.25">
      <c r="A5637" s="81" t="s">
        <v>7836</v>
      </c>
      <c r="B5637" s="80" t="s">
        <v>9515</v>
      </c>
    </row>
    <row r="5638" spans="1:2" x14ac:dyDescent="0.25">
      <c r="A5638" s="81" t="s">
        <v>7837</v>
      </c>
      <c r="B5638" s="80" t="s">
        <v>9515</v>
      </c>
    </row>
    <row r="5639" spans="1:2" x14ac:dyDescent="0.25">
      <c r="A5639" s="81" t="s">
        <v>7838</v>
      </c>
      <c r="B5639" s="80" t="s">
        <v>9515</v>
      </c>
    </row>
    <row r="5640" spans="1:2" x14ac:dyDescent="0.25">
      <c r="A5640" s="81" t="s">
        <v>7839</v>
      </c>
      <c r="B5640" s="80" t="s">
        <v>9515</v>
      </c>
    </row>
    <row r="5641" spans="1:2" x14ac:dyDescent="0.25">
      <c r="A5641" s="81" t="s">
        <v>7840</v>
      </c>
      <c r="B5641" s="80" t="s">
        <v>9515</v>
      </c>
    </row>
    <row r="5642" spans="1:2" x14ac:dyDescent="0.25">
      <c r="A5642" s="81" t="s">
        <v>7841</v>
      </c>
      <c r="B5642" s="80" t="s">
        <v>9515</v>
      </c>
    </row>
    <row r="5643" spans="1:2" x14ac:dyDescent="0.25">
      <c r="A5643" s="81" t="s">
        <v>7842</v>
      </c>
      <c r="B5643" s="80" t="s">
        <v>9515</v>
      </c>
    </row>
    <row r="5644" spans="1:2" x14ac:dyDescent="0.25">
      <c r="A5644" s="81" t="s">
        <v>7843</v>
      </c>
      <c r="B5644" s="80" t="s">
        <v>9515</v>
      </c>
    </row>
    <row r="5645" spans="1:2" x14ac:dyDescent="0.25">
      <c r="A5645" s="81" t="s">
        <v>7844</v>
      </c>
      <c r="B5645" s="80" t="s">
        <v>9515</v>
      </c>
    </row>
    <row r="5646" spans="1:2" x14ac:dyDescent="0.25">
      <c r="A5646" s="81" t="s">
        <v>7845</v>
      </c>
      <c r="B5646" s="80" t="s">
        <v>9515</v>
      </c>
    </row>
    <row r="5647" spans="1:2" x14ac:dyDescent="0.25">
      <c r="A5647" s="81" t="s">
        <v>7846</v>
      </c>
      <c r="B5647" s="80" t="s">
        <v>9515</v>
      </c>
    </row>
    <row r="5648" spans="1:2" x14ac:dyDescent="0.25">
      <c r="A5648" s="81" t="s">
        <v>7847</v>
      </c>
      <c r="B5648" s="80" t="s">
        <v>9515</v>
      </c>
    </row>
    <row r="5649" spans="1:2" x14ac:dyDescent="0.25">
      <c r="A5649" s="81" t="s">
        <v>7848</v>
      </c>
      <c r="B5649" s="80" t="s">
        <v>9515</v>
      </c>
    </row>
    <row r="5650" spans="1:2" x14ac:dyDescent="0.25">
      <c r="A5650" s="81" t="s">
        <v>7849</v>
      </c>
      <c r="B5650" s="80" t="s">
        <v>9515</v>
      </c>
    </row>
    <row r="5651" spans="1:2" x14ac:dyDescent="0.25">
      <c r="A5651" s="81" t="s">
        <v>7850</v>
      </c>
      <c r="B5651" s="80" t="s">
        <v>9515</v>
      </c>
    </row>
    <row r="5652" spans="1:2" x14ac:dyDescent="0.25">
      <c r="A5652" s="81" t="s">
        <v>7851</v>
      </c>
      <c r="B5652" s="80" t="s">
        <v>9515</v>
      </c>
    </row>
    <row r="5653" spans="1:2" x14ac:dyDescent="0.25">
      <c r="A5653" s="81" t="s">
        <v>7852</v>
      </c>
      <c r="B5653" s="80" t="s">
        <v>9515</v>
      </c>
    </row>
    <row r="5654" spans="1:2" x14ac:dyDescent="0.25">
      <c r="A5654" s="81" t="s">
        <v>7853</v>
      </c>
      <c r="B5654" s="80" t="s">
        <v>9515</v>
      </c>
    </row>
    <row r="5655" spans="1:2" x14ac:dyDescent="0.25">
      <c r="A5655" s="81" t="s">
        <v>7854</v>
      </c>
      <c r="B5655" s="80" t="s">
        <v>9515</v>
      </c>
    </row>
    <row r="5656" spans="1:2" x14ac:dyDescent="0.25">
      <c r="A5656" s="81" t="s">
        <v>7855</v>
      </c>
      <c r="B5656" s="80" t="s">
        <v>9515</v>
      </c>
    </row>
    <row r="5657" spans="1:2" x14ac:dyDescent="0.25">
      <c r="A5657" s="81" t="s">
        <v>7856</v>
      </c>
      <c r="B5657" s="80" t="s">
        <v>9515</v>
      </c>
    </row>
    <row r="5658" spans="1:2" x14ac:dyDescent="0.25">
      <c r="A5658" s="81" t="s">
        <v>7857</v>
      </c>
      <c r="B5658" s="80" t="s">
        <v>9515</v>
      </c>
    </row>
    <row r="5659" spans="1:2" x14ac:dyDescent="0.25">
      <c r="A5659" s="81" t="s">
        <v>7858</v>
      </c>
      <c r="B5659" s="80" t="s">
        <v>9515</v>
      </c>
    </row>
    <row r="5660" spans="1:2" x14ac:dyDescent="0.25">
      <c r="A5660" s="81" t="s">
        <v>7859</v>
      </c>
      <c r="B5660" s="80" t="s">
        <v>9515</v>
      </c>
    </row>
    <row r="5661" spans="1:2" x14ac:dyDescent="0.25">
      <c r="A5661" s="81" t="s">
        <v>7860</v>
      </c>
      <c r="B5661" s="80" t="s">
        <v>9515</v>
      </c>
    </row>
    <row r="5662" spans="1:2" x14ac:dyDescent="0.25">
      <c r="A5662" s="81" t="s">
        <v>7861</v>
      </c>
      <c r="B5662" s="80" t="s">
        <v>9515</v>
      </c>
    </row>
    <row r="5663" spans="1:2" x14ac:dyDescent="0.25">
      <c r="A5663" s="81" t="s">
        <v>7862</v>
      </c>
      <c r="B5663" s="80" t="s">
        <v>9515</v>
      </c>
    </row>
    <row r="5664" spans="1:2" x14ac:dyDescent="0.25">
      <c r="A5664" s="81" t="s">
        <v>7863</v>
      </c>
      <c r="B5664" s="80" t="s">
        <v>9515</v>
      </c>
    </row>
    <row r="5665" spans="1:2" x14ac:dyDescent="0.25">
      <c r="A5665" s="81" t="s">
        <v>7864</v>
      </c>
      <c r="B5665" s="80" t="s">
        <v>9515</v>
      </c>
    </row>
    <row r="5666" spans="1:2" x14ac:dyDescent="0.25">
      <c r="A5666" s="81" t="s">
        <v>7865</v>
      </c>
      <c r="B5666" s="80" t="s">
        <v>9515</v>
      </c>
    </row>
    <row r="5667" spans="1:2" x14ac:dyDescent="0.25">
      <c r="A5667" s="81" t="s">
        <v>7866</v>
      </c>
      <c r="B5667" s="80" t="s">
        <v>9515</v>
      </c>
    </row>
    <row r="5668" spans="1:2" x14ac:dyDescent="0.25">
      <c r="A5668" s="81" t="s">
        <v>7867</v>
      </c>
      <c r="B5668" s="80" t="s">
        <v>9515</v>
      </c>
    </row>
    <row r="5669" spans="1:2" x14ac:dyDescent="0.25">
      <c r="A5669" s="81" t="s">
        <v>7868</v>
      </c>
      <c r="B5669" s="80" t="s">
        <v>9515</v>
      </c>
    </row>
    <row r="5670" spans="1:2" x14ac:dyDescent="0.25">
      <c r="A5670" s="81" t="s">
        <v>7869</v>
      </c>
      <c r="B5670" s="80" t="s">
        <v>9515</v>
      </c>
    </row>
    <row r="5671" spans="1:2" x14ac:dyDescent="0.25">
      <c r="A5671" s="81" t="s">
        <v>7870</v>
      </c>
      <c r="B5671" s="80" t="s">
        <v>9515</v>
      </c>
    </row>
    <row r="5672" spans="1:2" x14ac:dyDescent="0.25">
      <c r="A5672" s="81" t="s">
        <v>7871</v>
      </c>
      <c r="B5672" s="80" t="s">
        <v>9515</v>
      </c>
    </row>
    <row r="5673" spans="1:2" x14ac:dyDescent="0.25">
      <c r="A5673" s="81" t="s">
        <v>7872</v>
      </c>
      <c r="B5673" s="80" t="s">
        <v>9515</v>
      </c>
    </row>
    <row r="5674" spans="1:2" x14ac:dyDescent="0.25">
      <c r="A5674" s="81" t="s">
        <v>7873</v>
      </c>
      <c r="B5674" s="80" t="s">
        <v>9515</v>
      </c>
    </row>
    <row r="5675" spans="1:2" x14ac:dyDescent="0.25">
      <c r="A5675" s="81" t="s">
        <v>7874</v>
      </c>
      <c r="B5675" s="80" t="s">
        <v>9515</v>
      </c>
    </row>
    <row r="5676" spans="1:2" x14ac:dyDescent="0.25">
      <c r="A5676" s="81" t="s">
        <v>7875</v>
      </c>
      <c r="B5676" s="80" t="s">
        <v>9515</v>
      </c>
    </row>
    <row r="5677" spans="1:2" x14ac:dyDescent="0.25">
      <c r="A5677" s="81" t="s">
        <v>7876</v>
      </c>
      <c r="B5677" s="80" t="s">
        <v>9515</v>
      </c>
    </row>
    <row r="5678" spans="1:2" x14ac:dyDescent="0.25">
      <c r="A5678" s="81" t="s">
        <v>7877</v>
      </c>
      <c r="B5678" s="80" t="s">
        <v>9515</v>
      </c>
    </row>
    <row r="5679" spans="1:2" x14ac:dyDescent="0.25">
      <c r="A5679" s="81" t="s">
        <v>7878</v>
      </c>
      <c r="B5679" s="80" t="s">
        <v>9515</v>
      </c>
    </row>
    <row r="5680" spans="1:2" x14ac:dyDescent="0.25">
      <c r="A5680" s="81" t="s">
        <v>7879</v>
      </c>
      <c r="B5680" s="80" t="s">
        <v>9515</v>
      </c>
    </row>
    <row r="5681" spans="1:2" x14ac:dyDescent="0.25">
      <c r="A5681" s="81" t="s">
        <v>7880</v>
      </c>
      <c r="B5681" s="80" t="s">
        <v>9515</v>
      </c>
    </row>
    <row r="5682" spans="1:2" x14ac:dyDescent="0.25">
      <c r="A5682" s="81" t="s">
        <v>7881</v>
      </c>
      <c r="B5682" s="80" t="s">
        <v>9515</v>
      </c>
    </row>
    <row r="5683" spans="1:2" x14ac:dyDescent="0.25">
      <c r="A5683" s="81" t="s">
        <v>7882</v>
      </c>
      <c r="B5683" s="80" t="s">
        <v>9515</v>
      </c>
    </row>
    <row r="5684" spans="1:2" x14ac:dyDescent="0.25">
      <c r="A5684" s="81" t="s">
        <v>7883</v>
      </c>
      <c r="B5684" s="80" t="s">
        <v>9515</v>
      </c>
    </row>
    <row r="5685" spans="1:2" x14ac:dyDescent="0.25">
      <c r="A5685" s="81" t="s">
        <v>7884</v>
      </c>
      <c r="B5685" s="80" t="s">
        <v>9515</v>
      </c>
    </row>
    <row r="5686" spans="1:2" x14ac:dyDescent="0.25">
      <c r="A5686" s="81" t="s">
        <v>7885</v>
      </c>
      <c r="B5686" s="80" t="s">
        <v>9515</v>
      </c>
    </row>
    <row r="5687" spans="1:2" x14ac:dyDescent="0.25">
      <c r="A5687" s="81" t="s">
        <v>7886</v>
      </c>
      <c r="B5687" s="80" t="s">
        <v>9515</v>
      </c>
    </row>
    <row r="5688" spans="1:2" x14ac:dyDescent="0.25">
      <c r="A5688" s="81" t="s">
        <v>7887</v>
      </c>
      <c r="B5688" s="80" t="s">
        <v>9515</v>
      </c>
    </row>
    <row r="5689" spans="1:2" x14ac:dyDescent="0.25">
      <c r="A5689" s="81" t="s">
        <v>7888</v>
      </c>
      <c r="B5689" s="80" t="s">
        <v>9515</v>
      </c>
    </row>
    <row r="5690" spans="1:2" x14ac:dyDescent="0.25">
      <c r="A5690" s="81" t="s">
        <v>7889</v>
      </c>
      <c r="B5690" s="80" t="s">
        <v>9515</v>
      </c>
    </row>
    <row r="5691" spans="1:2" x14ac:dyDescent="0.25">
      <c r="A5691" s="81" t="s">
        <v>7890</v>
      </c>
      <c r="B5691" s="80" t="s">
        <v>9515</v>
      </c>
    </row>
    <row r="5692" spans="1:2" x14ac:dyDescent="0.25">
      <c r="A5692" s="81" t="s">
        <v>7891</v>
      </c>
      <c r="B5692" s="80" t="s">
        <v>9515</v>
      </c>
    </row>
    <row r="5693" spans="1:2" x14ac:dyDescent="0.25">
      <c r="A5693" s="81" t="s">
        <v>7892</v>
      </c>
      <c r="B5693" s="80" t="s">
        <v>9515</v>
      </c>
    </row>
    <row r="5694" spans="1:2" x14ac:dyDescent="0.25">
      <c r="A5694" s="81" t="s">
        <v>7893</v>
      </c>
      <c r="B5694" s="80" t="s">
        <v>9515</v>
      </c>
    </row>
    <row r="5695" spans="1:2" x14ac:dyDescent="0.25">
      <c r="A5695" s="81" t="s">
        <v>7894</v>
      </c>
      <c r="B5695" s="80" t="s">
        <v>9515</v>
      </c>
    </row>
    <row r="5696" spans="1:2" x14ac:dyDescent="0.25">
      <c r="A5696" s="81" t="s">
        <v>7895</v>
      </c>
      <c r="B5696" s="80" t="s">
        <v>9515</v>
      </c>
    </row>
    <row r="5697" spans="1:2" x14ac:dyDescent="0.25">
      <c r="A5697" s="81" t="s">
        <v>7896</v>
      </c>
      <c r="B5697" s="80" t="s">
        <v>9515</v>
      </c>
    </row>
    <row r="5698" spans="1:2" x14ac:dyDescent="0.25">
      <c r="A5698" s="81" t="s">
        <v>7897</v>
      </c>
      <c r="B5698" s="80" t="s">
        <v>9515</v>
      </c>
    </row>
    <row r="5699" spans="1:2" x14ac:dyDescent="0.25">
      <c r="A5699" s="81" t="s">
        <v>7898</v>
      </c>
      <c r="B5699" s="80" t="s">
        <v>9515</v>
      </c>
    </row>
    <row r="5700" spans="1:2" x14ac:dyDescent="0.25">
      <c r="A5700" s="81" t="s">
        <v>7899</v>
      </c>
      <c r="B5700" s="80" t="s">
        <v>9515</v>
      </c>
    </row>
    <row r="5701" spans="1:2" x14ac:dyDescent="0.25">
      <c r="A5701" s="81" t="s">
        <v>7900</v>
      </c>
      <c r="B5701" s="80" t="s">
        <v>9515</v>
      </c>
    </row>
    <row r="5702" spans="1:2" x14ac:dyDescent="0.25">
      <c r="A5702" s="81" t="s">
        <v>7901</v>
      </c>
      <c r="B5702" s="80" t="s">
        <v>9515</v>
      </c>
    </row>
    <row r="5703" spans="1:2" x14ac:dyDescent="0.25">
      <c r="A5703" s="81" t="s">
        <v>7902</v>
      </c>
      <c r="B5703" s="80" t="s">
        <v>9515</v>
      </c>
    </row>
    <row r="5704" spans="1:2" x14ac:dyDescent="0.25">
      <c r="A5704" s="81" t="s">
        <v>7903</v>
      </c>
      <c r="B5704" s="80" t="s">
        <v>9515</v>
      </c>
    </row>
    <row r="5705" spans="1:2" x14ac:dyDescent="0.25">
      <c r="A5705" s="81" t="s">
        <v>7904</v>
      </c>
      <c r="B5705" s="80" t="s">
        <v>9515</v>
      </c>
    </row>
    <row r="5706" spans="1:2" x14ac:dyDescent="0.25">
      <c r="A5706" s="81" t="s">
        <v>7905</v>
      </c>
      <c r="B5706" s="80" t="s">
        <v>9515</v>
      </c>
    </row>
    <row r="5707" spans="1:2" x14ac:dyDescent="0.25">
      <c r="A5707" s="81" t="s">
        <v>7906</v>
      </c>
      <c r="B5707" s="80" t="s">
        <v>9515</v>
      </c>
    </row>
    <row r="5708" spans="1:2" x14ac:dyDescent="0.25">
      <c r="A5708" s="81" t="s">
        <v>7907</v>
      </c>
      <c r="B5708" s="80" t="s">
        <v>9515</v>
      </c>
    </row>
    <row r="5709" spans="1:2" x14ac:dyDescent="0.25">
      <c r="A5709" s="81" t="s">
        <v>7908</v>
      </c>
      <c r="B5709" s="80" t="s">
        <v>9515</v>
      </c>
    </row>
    <row r="5710" spans="1:2" x14ac:dyDescent="0.25">
      <c r="A5710" s="81" t="s">
        <v>7909</v>
      </c>
      <c r="B5710" s="80" t="s">
        <v>9515</v>
      </c>
    </row>
    <row r="5711" spans="1:2" x14ac:dyDescent="0.25">
      <c r="A5711" s="81" t="s">
        <v>7910</v>
      </c>
      <c r="B5711" s="80" t="s">
        <v>9515</v>
      </c>
    </row>
    <row r="5712" spans="1:2" x14ac:dyDescent="0.25">
      <c r="A5712" s="81" t="s">
        <v>7911</v>
      </c>
      <c r="B5712" s="80" t="s">
        <v>9515</v>
      </c>
    </row>
    <row r="5713" spans="1:2" x14ac:dyDescent="0.25">
      <c r="A5713" s="81" t="s">
        <v>7912</v>
      </c>
      <c r="B5713" s="80" t="s">
        <v>9515</v>
      </c>
    </row>
    <row r="5714" spans="1:2" x14ac:dyDescent="0.25">
      <c r="A5714" s="81" t="s">
        <v>7913</v>
      </c>
      <c r="B5714" s="80" t="s">
        <v>9515</v>
      </c>
    </row>
    <row r="5715" spans="1:2" x14ac:dyDescent="0.25">
      <c r="A5715" s="81" t="s">
        <v>7914</v>
      </c>
      <c r="B5715" s="80" t="s">
        <v>9515</v>
      </c>
    </row>
    <row r="5716" spans="1:2" x14ac:dyDescent="0.25">
      <c r="A5716" s="81" t="s">
        <v>7915</v>
      </c>
      <c r="B5716" s="80" t="s">
        <v>9515</v>
      </c>
    </row>
    <row r="5717" spans="1:2" x14ac:dyDescent="0.25">
      <c r="A5717" s="81" t="s">
        <v>7916</v>
      </c>
      <c r="B5717" s="80" t="s">
        <v>9515</v>
      </c>
    </row>
    <row r="5718" spans="1:2" x14ac:dyDescent="0.25">
      <c r="A5718" s="81" t="s">
        <v>7917</v>
      </c>
      <c r="B5718" s="80" t="s">
        <v>9515</v>
      </c>
    </row>
    <row r="5719" spans="1:2" x14ac:dyDescent="0.25">
      <c r="A5719" s="81" t="s">
        <v>7918</v>
      </c>
      <c r="B5719" s="80" t="s">
        <v>9515</v>
      </c>
    </row>
    <row r="5720" spans="1:2" x14ac:dyDescent="0.25">
      <c r="A5720" s="81" t="s">
        <v>7919</v>
      </c>
      <c r="B5720" s="80" t="s">
        <v>9515</v>
      </c>
    </row>
    <row r="5721" spans="1:2" x14ac:dyDescent="0.25">
      <c r="A5721" s="81" t="s">
        <v>7920</v>
      </c>
      <c r="B5721" s="80" t="s">
        <v>9515</v>
      </c>
    </row>
    <row r="5722" spans="1:2" x14ac:dyDescent="0.25">
      <c r="A5722" s="81" t="s">
        <v>7921</v>
      </c>
      <c r="B5722" s="80" t="s">
        <v>9515</v>
      </c>
    </row>
    <row r="5723" spans="1:2" x14ac:dyDescent="0.25">
      <c r="A5723" s="81" t="s">
        <v>7922</v>
      </c>
      <c r="B5723" s="80" t="s">
        <v>9515</v>
      </c>
    </row>
    <row r="5724" spans="1:2" x14ac:dyDescent="0.25">
      <c r="A5724" s="81" t="s">
        <v>7923</v>
      </c>
      <c r="B5724" s="80" t="s">
        <v>9515</v>
      </c>
    </row>
    <row r="5725" spans="1:2" x14ac:dyDescent="0.25">
      <c r="A5725" s="81" t="s">
        <v>7924</v>
      </c>
      <c r="B5725" s="80" t="s">
        <v>9515</v>
      </c>
    </row>
    <row r="5726" spans="1:2" x14ac:dyDescent="0.25">
      <c r="A5726" s="81" t="s">
        <v>7925</v>
      </c>
      <c r="B5726" s="80" t="s">
        <v>9515</v>
      </c>
    </row>
    <row r="5727" spans="1:2" x14ac:dyDescent="0.25">
      <c r="A5727" s="81" t="s">
        <v>7926</v>
      </c>
      <c r="B5727" s="80" t="s">
        <v>9515</v>
      </c>
    </row>
    <row r="5728" spans="1:2" x14ac:dyDescent="0.25">
      <c r="A5728" s="81" t="s">
        <v>7927</v>
      </c>
      <c r="B5728" s="80" t="s">
        <v>9515</v>
      </c>
    </row>
    <row r="5729" spans="1:2" x14ac:dyDescent="0.25">
      <c r="A5729" s="81" t="s">
        <v>7928</v>
      </c>
      <c r="B5729" s="80" t="s">
        <v>9515</v>
      </c>
    </row>
    <row r="5730" spans="1:2" x14ac:dyDescent="0.25">
      <c r="A5730" s="81" t="s">
        <v>7929</v>
      </c>
      <c r="B5730" s="80" t="s">
        <v>9515</v>
      </c>
    </row>
    <row r="5731" spans="1:2" x14ac:dyDescent="0.25">
      <c r="A5731" s="81" t="s">
        <v>7930</v>
      </c>
      <c r="B5731" s="80" t="s">
        <v>9515</v>
      </c>
    </row>
    <row r="5732" spans="1:2" x14ac:dyDescent="0.25">
      <c r="A5732" s="81" t="s">
        <v>7931</v>
      </c>
      <c r="B5732" s="80" t="s">
        <v>9515</v>
      </c>
    </row>
    <row r="5733" spans="1:2" x14ac:dyDescent="0.25">
      <c r="A5733" s="81" t="s">
        <v>7932</v>
      </c>
      <c r="B5733" s="80" t="s">
        <v>9515</v>
      </c>
    </row>
    <row r="5734" spans="1:2" x14ac:dyDescent="0.25">
      <c r="A5734" s="81" t="s">
        <v>7933</v>
      </c>
      <c r="B5734" s="80" t="s">
        <v>9515</v>
      </c>
    </row>
    <row r="5735" spans="1:2" x14ac:dyDescent="0.25">
      <c r="A5735" s="81" t="s">
        <v>7934</v>
      </c>
      <c r="B5735" s="80" t="s">
        <v>9515</v>
      </c>
    </row>
    <row r="5736" spans="1:2" x14ac:dyDescent="0.25">
      <c r="A5736" s="81" t="s">
        <v>7935</v>
      </c>
      <c r="B5736" s="80" t="s">
        <v>9515</v>
      </c>
    </row>
    <row r="5737" spans="1:2" x14ac:dyDescent="0.25">
      <c r="A5737" s="81" t="s">
        <v>7936</v>
      </c>
      <c r="B5737" s="80" t="s">
        <v>9515</v>
      </c>
    </row>
    <row r="5738" spans="1:2" x14ac:dyDescent="0.25">
      <c r="A5738" s="81" t="s">
        <v>7937</v>
      </c>
      <c r="B5738" s="80" t="s">
        <v>9515</v>
      </c>
    </row>
    <row r="5739" spans="1:2" x14ac:dyDescent="0.25">
      <c r="A5739" s="81" t="s">
        <v>7938</v>
      </c>
      <c r="B5739" s="80" t="s">
        <v>9515</v>
      </c>
    </row>
    <row r="5740" spans="1:2" x14ac:dyDescent="0.25">
      <c r="A5740" s="81" t="s">
        <v>7939</v>
      </c>
      <c r="B5740" s="80" t="s">
        <v>9515</v>
      </c>
    </row>
    <row r="5741" spans="1:2" x14ac:dyDescent="0.25">
      <c r="A5741" s="81" t="s">
        <v>7940</v>
      </c>
      <c r="B5741" s="80" t="s">
        <v>9515</v>
      </c>
    </row>
    <row r="5742" spans="1:2" x14ac:dyDescent="0.25">
      <c r="A5742" s="81" t="s">
        <v>7941</v>
      </c>
      <c r="B5742" s="80" t="s">
        <v>9515</v>
      </c>
    </row>
    <row r="5743" spans="1:2" x14ac:dyDescent="0.25">
      <c r="A5743" s="81" t="s">
        <v>7942</v>
      </c>
      <c r="B5743" s="80" t="s">
        <v>9515</v>
      </c>
    </row>
    <row r="5744" spans="1:2" x14ac:dyDescent="0.25">
      <c r="A5744" s="81" t="s">
        <v>7943</v>
      </c>
      <c r="B5744" s="80" t="s">
        <v>9515</v>
      </c>
    </row>
    <row r="5745" spans="1:2" x14ac:dyDescent="0.25">
      <c r="A5745" s="81" t="s">
        <v>7944</v>
      </c>
      <c r="B5745" s="80" t="s">
        <v>9515</v>
      </c>
    </row>
    <row r="5746" spans="1:2" x14ac:dyDescent="0.25">
      <c r="A5746" s="81" t="s">
        <v>7945</v>
      </c>
      <c r="B5746" s="80" t="s">
        <v>9515</v>
      </c>
    </row>
    <row r="5747" spans="1:2" x14ac:dyDescent="0.25">
      <c r="A5747" s="81" t="s">
        <v>7946</v>
      </c>
      <c r="B5747" s="80" t="s">
        <v>9515</v>
      </c>
    </row>
    <row r="5748" spans="1:2" x14ac:dyDescent="0.25">
      <c r="A5748" s="81" t="s">
        <v>7947</v>
      </c>
      <c r="B5748" s="80" t="s">
        <v>9515</v>
      </c>
    </row>
    <row r="5749" spans="1:2" x14ac:dyDescent="0.25">
      <c r="A5749" s="81" t="s">
        <v>7948</v>
      </c>
      <c r="B5749" s="80" t="s">
        <v>9515</v>
      </c>
    </row>
    <row r="5750" spans="1:2" x14ac:dyDescent="0.25">
      <c r="A5750" s="81" t="s">
        <v>7949</v>
      </c>
      <c r="B5750" s="80" t="s">
        <v>9515</v>
      </c>
    </row>
    <row r="5751" spans="1:2" x14ac:dyDescent="0.25">
      <c r="A5751" s="81" t="s">
        <v>7950</v>
      </c>
      <c r="B5751" s="80" t="s">
        <v>9515</v>
      </c>
    </row>
    <row r="5752" spans="1:2" x14ac:dyDescent="0.25">
      <c r="A5752" s="81" t="s">
        <v>7951</v>
      </c>
      <c r="B5752" s="80" t="s">
        <v>9515</v>
      </c>
    </row>
    <row r="5753" spans="1:2" x14ac:dyDescent="0.25">
      <c r="A5753" s="81" t="s">
        <v>7952</v>
      </c>
      <c r="B5753" s="80" t="s">
        <v>9515</v>
      </c>
    </row>
    <row r="5754" spans="1:2" x14ac:dyDescent="0.25">
      <c r="A5754" s="81" t="s">
        <v>7953</v>
      </c>
      <c r="B5754" s="80" t="s">
        <v>9515</v>
      </c>
    </row>
    <row r="5755" spans="1:2" x14ac:dyDescent="0.25">
      <c r="A5755" s="81" t="s">
        <v>7954</v>
      </c>
      <c r="B5755" s="80" t="s">
        <v>9515</v>
      </c>
    </row>
    <row r="5756" spans="1:2" x14ac:dyDescent="0.25">
      <c r="A5756" s="81" t="s">
        <v>7955</v>
      </c>
      <c r="B5756" s="80" t="s">
        <v>9515</v>
      </c>
    </row>
    <row r="5757" spans="1:2" x14ac:dyDescent="0.25">
      <c r="A5757" s="81" t="s">
        <v>7956</v>
      </c>
      <c r="B5757" s="80" t="s">
        <v>9515</v>
      </c>
    </row>
    <row r="5758" spans="1:2" x14ac:dyDescent="0.25">
      <c r="A5758" s="81" t="s">
        <v>7957</v>
      </c>
      <c r="B5758" s="80" t="s">
        <v>9515</v>
      </c>
    </row>
    <row r="5759" spans="1:2" x14ac:dyDescent="0.25">
      <c r="A5759" s="81" t="s">
        <v>7958</v>
      </c>
      <c r="B5759" s="80" t="s">
        <v>9515</v>
      </c>
    </row>
    <row r="5760" spans="1:2" x14ac:dyDescent="0.25">
      <c r="A5760" s="81" t="s">
        <v>2126</v>
      </c>
      <c r="B5760" s="80" t="s">
        <v>9515</v>
      </c>
    </row>
    <row r="5761" spans="1:2" x14ac:dyDescent="0.25">
      <c r="A5761" s="81" t="s">
        <v>7959</v>
      </c>
      <c r="B5761" s="80" t="s">
        <v>9515</v>
      </c>
    </row>
    <row r="5762" spans="1:2" x14ac:dyDescent="0.25">
      <c r="A5762" s="81" t="s">
        <v>7960</v>
      </c>
      <c r="B5762" s="80" t="s">
        <v>9515</v>
      </c>
    </row>
    <row r="5763" spans="1:2" x14ac:dyDescent="0.25">
      <c r="A5763" s="81" t="s">
        <v>7961</v>
      </c>
      <c r="B5763" s="80" t="s">
        <v>9515</v>
      </c>
    </row>
    <row r="5764" spans="1:2" x14ac:dyDescent="0.25">
      <c r="A5764" s="81" t="s">
        <v>7962</v>
      </c>
      <c r="B5764" s="80" t="s">
        <v>9515</v>
      </c>
    </row>
    <row r="5765" spans="1:2" x14ac:dyDescent="0.25">
      <c r="A5765" s="81" t="s">
        <v>7963</v>
      </c>
      <c r="B5765" s="80" t="s">
        <v>9515</v>
      </c>
    </row>
    <row r="5766" spans="1:2" x14ac:dyDescent="0.25">
      <c r="A5766" s="81" t="s">
        <v>7964</v>
      </c>
      <c r="B5766" s="80" t="s">
        <v>9515</v>
      </c>
    </row>
    <row r="5767" spans="1:2" x14ac:dyDescent="0.25">
      <c r="A5767" s="81" t="s">
        <v>7965</v>
      </c>
      <c r="B5767" s="80" t="s">
        <v>9515</v>
      </c>
    </row>
    <row r="5768" spans="1:2" x14ac:dyDescent="0.25">
      <c r="A5768" s="81" t="s">
        <v>7966</v>
      </c>
      <c r="B5768" s="80" t="s">
        <v>9515</v>
      </c>
    </row>
    <row r="5769" spans="1:2" x14ac:dyDescent="0.25">
      <c r="A5769" s="81" t="s">
        <v>7967</v>
      </c>
      <c r="B5769" s="80" t="s">
        <v>9515</v>
      </c>
    </row>
    <row r="5770" spans="1:2" x14ac:dyDescent="0.25">
      <c r="A5770" s="81" t="s">
        <v>7968</v>
      </c>
      <c r="B5770" s="80" t="s">
        <v>9515</v>
      </c>
    </row>
    <row r="5771" spans="1:2" x14ac:dyDescent="0.25">
      <c r="A5771" s="81" t="s">
        <v>7969</v>
      </c>
      <c r="B5771" s="80" t="s">
        <v>9515</v>
      </c>
    </row>
    <row r="5772" spans="1:2" x14ac:dyDescent="0.25">
      <c r="A5772" s="81" t="s">
        <v>7970</v>
      </c>
      <c r="B5772" s="80" t="s">
        <v>9515</v>
      </c>
    </row>
    <row r="5773" spans="1:2" x14ac:dyDescent="0.25">
      <c r="A5773" s="81" t="s">
        <v>7971</v>
      </c>
      <c r="B5773" s="80" t="s">
        <v>9515</v>
      </c>
    </row>
    <row r="5774" spans="1:2" x14ac:dyDescent="0.25">
      <c r="A5774" s="81" t="s">
        <v>7972</v>
      </c>
      <c r="B5774" s="80" t="s">
        <v>9515</v>
      </c>
    </row>
    <row r="5775" spans="1:2" x14ac:dyDescent="0.25">
      <c r="A5775" s="81" t="s">
        <v>7973</v>
      </c>
      <c r="B5775" s="80" t="s">
        <v>9515</v>
      </c>
    </row>
    <row r="5776" spans="1:2" x14ac:dyDescent="0.25">
      <c r="A5776" s="81" t="s">
        <v>7974</v>
      </c>
      <c r="B5776" s="80" t="s">
        <v>9515</v>
      </c>
    </row>
    <row r="5777" spans="1:2" x14ac:dyDescent="0.25">
      <c r="A5777" s="81" t="s">
        <v>7975</v>
      </c>
      <c r="B5777" s="80" t="s">
        <v>9515</v>
      </c>
    </row>
    <row r="5778" spans="1:2" x14ac:dyDescent="0.25">
      <c r="A5778" s="81" t="s">
        <v>7976</v>
      </c>
      <c r="B5778" s="80" t="s">
        <v>9515</v>
      </c>
    </row>
    <row r="5779" spans="1:2" x14ac:dyDescent="0.25">
      <c r="A5779" s="81" t="s">
        <v>7977</v>
      </c>
      <c r="B5779" s="80" t="s">
        <v>9515</v>
      </c>
    </row>
    <row r="5780" spans="1:2" x14ac:dyDescent="0.25">
      <c r="A5780" s="81" t="s">
        <v>7978</v>
      </c>
      <c r="B5780" s="80" t="s">
        <v>9515</v>
      </c>
    </row>
    <row r="5781" spans="1:2" x14ac:dyDescent="0.25">
      <c r="A5781" s="81" t="s">
        <v>7979</v>
      </c>
      <c r="B5781" s="80" t="s">
        <v>9515</v>
      </c>
    </row>
    <row r="5782" spans="1:2" x14ac:dyDescent="0.25">
      <c r="A5782" s="81" t="s">
        <v>7980</v>
      </c>
      <c r="B5782" s="80" t="s">
        <v>9515</v>
      </c>
    </row>
    <row r="5783" spans="1:2" x14ac:dyDescent="0.25">
      <c r="A5783" s="81" t="s">
        <v>7981</v>
      </c>
      <c r="B5783" s="80" t="s">
        <v>9515</v>
      </c>
    </row>
    <row r="5784" spans="1:2" x14ac:dyDescent="0.25">
      <c r="A5784" s="81" t="s">
        <v>7982</v>
      </c>
      <c r="B5784" s="80" t="s">
        <v>9515</v>
      </c>
    </row>
    <row r="5785" spans="1:2" x14ac:dyDescent="0.25">
      <c r="A5785" s="81" t="s">
        <v>7983</v>
      </c>
      <c r="B5785" s="80" t="s">
        <v>9515</v>
      </c>
    </row>
    <row r="5786" spans="1:2" x14ac:dyDescent="0.25">
      <c r="A5786" s="81" t="s">
        <v>7984</v>
      </c>
      <c r="B5786" s="80" t="s">
        <v>9515</v>
      </c>
    </row>
    <row r="5787" spans="1:2" x14ac:dyDescent="0.25">
      <c r="A5787" s="81" t="s">
        <v>7985</v>
      </c>
      <c r="B5787" s="80" t="s">
        <v>9515</v>
      </c>
    </row>
    <row r="5788" spans="1:2" x14ac:dyDescent="0.25">
      <c r="A5788" s="81" t="s">
        <v>7986</v>
      </c>
      <c r="B5788" s="80" t="s">
        <v>9515</v>
      </c>
    </row>
    <row r="5789" spans="1:2" x14ac:dyDescent="0.25">
      <c r="A5789" s="81" t="s">
        <v>7987</v>
      </c>
      <c r="B5789" s="80" t="s">
        <v>9515</v>
      </c>
    </row>
    <row r="5790" spans="1:2" x14ac:dyDescent="0.25">
      <c r="A5790" s="81" t="s">
        <v>7988</v>
      </c>
      <c r="B5790" s="80" t="s">
        <v>9515</v>
      </c>
    </row>
    <row r="5791" spans="1:2" x14ac:dyDescent="0.25">
      <c r="A5791" s="81" t="s">
        <v>7989</v>
      </c>
      <c r="B5791" s="80" t="s">
        <v>9515</v>
      </c>
    </row>
    <row r="5792" spans="1:2" x14ac:dyDescent="0.25">
      <c r="A5792" s="81" t="s">
        <v>7990</v>
      </c>
      <c r="B5792" s="80" t="s">
        <v>9515</v>
      </c>
    </row>
    <row r="5793" spans="1:2" x14ac:dyDescent="0.25">
      <c r="A5793" s="81" t="s">
        <v>7991</v>
      </c>
      <c r="B5793" s="80" t="s">
        <v>9515</v>
      </c>
    </row>
    <row r="5794" spans="1:2" x14ac:dyDescent="0.25">
      <c r="A5794" s="81" t="s">
        <v>7992</v>
      </c>
      <c r="B5794" s="80" t="s">
        <v>9515</v>
      </c>
    </row>
    <row r="5795" spans="1:2" x14ac:dyDescent="0.25">
      <c r="A5795" s="81" t="s">
        <v>7993</v>
      </c>
      <c r="B5795" s="80" t="s">
        <v>9515</v>
      </c>
    </row>
    <row r="5796" spans="1:2" x14ac:dyDescent="0.25">
      <c r="A5796" s="81" t="s">
        <v>7994</v>
      </c>
      <c r="B5796" s="80" t="s">
        <v>9515</v>
      </c>
    </row>
    <row r="5797" spans="1:2" x14ac:dyDescent="0.25">
      <c r="A5797" s="81" t="s">
        <v>7995</v>
      </c>
      <c r="B5797" s="80" t="s">
        <v>9515</v>
      </c>
    </row>
    <row r="5798" spans="1:2" x14ac:dyDescent="0.25">
      <c r="A5798" s="81" t="s">
        <v>7996</v>
      </c>
      <c r="B5798" s="80" t="s">
        <v>9515</v>
      </c>
    </row>
    <row r="5799" spans="1:2" x14ac:dyDescent="0.25">
      <c r="A5799" s="81" t="s">
        <v>7997</v>
      </c>
      <c r="B5799" s="80" t="s">
        <v>9515</v>
      </c>
    </row>
    <row r="5800" spans="1:2" x14ac:dyDescent="0.25">
      <c r="A5800" s="81" t="s">
        <v>7998</v>
      </c>
      <c r="B5800" s="80" t="s">
        <v>9515</v>
      </c>
    </row>
    <row r="5801" spans="1:2" x14ac:dyDescent="0.25">
      <c r="A5801" s="81" t="s">
        <v>7999</v>
      </c>
      <c r="B5801" s="80" t="s">
        <v>9515</v>
      </c>
    </row>
    <row r="5802" spans="1:2" x14ac:dyDescent="0.25">
      <c r="A5802" s="81" t="s">
        <v>8000</v>
      </c>
      <c r="B5802" s="80" t="s">
        <v>9515</v>
      </c>
    </row>
    <row r="5803" spans="1:2" x14ac:dyDescent="0.25">
      <c r="A5803" s="81" t="s">
        <v>8001</v>
      </c>
      <c r="B5803" s="80" t="s">
        <v>9515</v>
      </c>
    </row>
    <row r="5804" spans="1:2" x14ac:dyDescent="0.25">
      <c r="A5804" s="81" t="s">
        <v>8002</v>
      </c>
      <c r="B5804" s="80" t="s">
        <v>9515</v>
      </c>
    </row>
    <row r="5805" spans="1:2" x14ac:dyDescent="0.25">
      <c r="A5805" s="81" t="s">
        <v>8003</v>
      </c>
      <c r="B5805" s="80" t="s">
        <v>9515</v>
      </c>
    </row>
    <row r="5806" spans="1:2" x14ac:dyDescent="0.25">
      <c r="A5806" s="81" t="s">
        <v>8004</v>
      </c>
      <c r="B5806" s="80" t="s">
        <v>9515</v>
      </c>
    </row>
    <row r="5807" spans="1:2" x14ac:dyDescent="0.25">
      <c r="A5807" s="81" t="s">
        <v>8005</v>
      </c>
      <c r="B5807" s="80" t="s">
        <v>9515</v>
      </c>
    </row>
    <row r="5808" spans="1:2" x14ac:dyDescent="0.25">
      <c r="A5808" s="81" t="s">
        <v>8006</v>
      </c>
      <c r="B5808" s="80" t="s">
        <v>9515</v>
      </c>
    </row>
    <row r="5809" spans="1:2" x14ac:dyDescent="0.25">
      <c r="A5809" s="81" t="s">
        <v>8007</v>
      </c>
      <c r="B5809" s="80" t="s">
        <v>9515</v>
      </c>
    </row>
    <row r="5810" spans="1:2" x14ac:dyDescent="0.25">
      <c r="A5810" s="81" t="s">
        <v>8008</v>
      </c>
      <c r="B5810" s="80" t="s">
        <v>9515</v>
      </c>
    </row>
    <row r="5811" spans="1:2" x14ac:dyDescent="0.25">
      <c r="A5811" s="81" t="s">
        <v>8009</v>
      </c>
      <c r="B5811" s="80" t="s">
        <v>9515</v>
      </c>
    </row>
    <row r="5812" spans="1:2" x14ac:dyDescent="0.25">
      <c r="A5812" s="81" t="s">
        <v>8010</v>
      </c>
      <c r="B5812" s="80" t="s">
        <v>9515</v>
      </c>
    </row>
    <row r="5813" spans="1:2" x14ac:dyDescent="0.25">
      <c r="A5813" s="81" t="s">
        <v>8011</v>
      </c>
      <c r="B5813" s="80" t="s">
        <v>9515</v>
      </c>
    </row>
    <row r="5814" spans="1:2" x14ac:dyDescent="0.25">
      <c r="A5814" s="81" t="s">
        <v>8012</v>
      </c>
      <c r="B5814" s="80" t="s">
        <v>9515</v>
      </c>
    </row>
    <row r="5815" spans="1:2" x14ac:dyDescent="0.25">
      <c r="A5815" s="81" t="s">
        <v>8013</v>
      </c>
      <c r="B5815" s="80" t="s">
        <v>9515</v>
      </c>
    </row>
    <row r="5816" spans="1:2" x14ac:dyDescent="0.25">
      <c r="A5816" s="81" t="s">
        <v>8014</v>
      </c>
      <c r="B5816" s="80" t="s">
        <v>9515</v>
      </c>
    </row>
    <row r="5817" spans="1:2" x14ac:dyDescent="0.25">
      <c r="A5817" s="81" t="s">
        <v>8015</v>
      </c>
      <c r="B5817" s="80" t="s">
        <v>9515</v>
      </c>
    </row>
    <row r="5818" spans="1:2" x14ac:dyDescent="0.25">
      <c r="A5818" s="81" t="s">
        <v>8016</v>
      </c>
      <c r="B5818" s="80" t="s">
        <v>9515</v>
      </c>
    </row>
    <row r="5819" spans="1:2" x14ac:dyDescent="0.25">
      <c r="A5819" s="81" t="s">
        <v>8017</v>
      </c>
      <c r="B5819" s="80" t="s">
        <v>9515</v>
      </c>
    </row>
    <row r="5820" spans="1:2" x14ac:dyDescent="0.25">
      <c r="A5820" s="81" t="s">
        <v>8018</v>
      </c>
      <c r="B5820" s="80" t="s">
        <v>9515</v>
      </c>
    </row>
    <row r="5821" spans="1:2" x14ac:dyDescent="0.25">
      <c r="A5821" s="81" t="s">
        <v>8019</v>
      </c>
      <c r="B5821" s="80" t="s">
        <v>9515</v>
      </c>
    </row>
    <row r="5822" spans="1:2" x14ac:dyDescent="0.25">
      <c r="A5822" s="81" t="s">
        <v>8020</v>
      </c>
      <c r="B5822" s="80" t="s">
        <v>9515</v>
      </c>
    </row>
    <row r="5823" spans="1:2" x14ac:dyDescent="0.25">
      <c r="A5823" s="81" t="s">
        <v>8021</v>
      </c>
      <c r="B5823" s="80" t="s">
        <v>9515</v>
      </c>
    </row>
    <row r="5824" spans="1:2" x14ac:dyDescent="0.25">
      <c r="A5824" s="81" t="s">
        <v>8022</v>
      </c>
      <c r="B5824" s="80" t="s">
        <v>9515</v>
      </c>
    </row>
    <row r="5825" spans="1:2" x14ac:dyDescent="0.25">
      <c r="A5825" s="81" t="s">
        <v>8023</v>
      </c>
      <c r="B5825" s="80" t="s">
        <v>9515</v>
      </c>
    </row>
    <row r="5826" spans="1:2" x14ac:dyDescent="0.25">
      <c r="A5826" s="81" t="s">
        <v>8024</v>
      </c>
      <c r="B5826" s="80" t="s">
        <v>9515</v>
      </c>
    </row>
    <row r="5827" spans="1:2" x14ac:dyDescent="0.25">
      <c r="A5827" s="81" t="s">
        <v>8025</v>
      </c>
      <c r="B5827" s="80" t="s">
        <v>9515</v>
      </c>
    </row>
    <row r="5828" spans="1:2" x14ac:dyDescent="0.25">
      <c r="A5828" s="81" t="s">
        <v>8026</v>
      </c>
      <c r="B5828" s="80" t="s">
        <v>9515</v>
      </c>
    </row>
    <row r="5829" spans="1:2" x14ac:dyDescent="0.25">
      <c r="A5829" s="81" t="s">
        <v>8027</v>
      </c>
      <c r="B5829" s="80" t="s">
        <v>9515</v>
      </c>
    </row>
    <row r="5830" spans="1:2" x14ac:dyDescent="0.25">
      <c r="A5830" s="81" t="s">
        <v>8028</v>
      </c>
      <c r="B5830" s="80" t="s">
        <v>9515</v>
      </c>
    </row>
    <row r="5831" spans="1:2" x14ac:dyDescent="0.25">
      <c r="A5831" s="81" t="s">
        <v>8029</v>
      </c>
      <c r="B5831" s="80" t="s">
        <v>9515</v>
      </c>
    </row>
    <row r="5832" spans="1:2" x14ac:dyDescent="0.25">
      <c r="A5832" s="81" t="s">
        <v>8030</v>
      </c>
      <c r="B5832" s="80" t="s">
        <v>9515</v>
      </c>
    </row>
    <row r="5833" spans="1:2" x14ac:dyDescent="0.25">
      <c r="A5833" s="81" t="s">
        <v>8031</v>
      </c>
      <c r="B5833" s="80" t="s">
        <v>9515</v>
      </c>
    </row>
    <row r="5834" spans="1:2" x14ac:dyDescent="0.25">
      <c r="A5834" s="81" t="s">
        <v>8032</v>
      </c>
      <c r="B5834" s="80" t="s">
        <v>9515</v>
      </c>
    </row>
    <row r="5835" spans="1:2" x14ac:dyDescent="0.25">
      <c r="A5835" s="81" t="s">
        <v>8033</v>
      </c>
      <c r="B5835" s="80" t="s">
        <v>9515</v>
      </c>
    </row>
    <row r="5836" spans="1:2" x14ac:dyDescent="0.25">
      <c r="A5836" s="81" t="s">
        <v>8034</v>
      </c>
      <c r="B5836" s="80" t="s">
        <v>9515</v>
      </c>
    </row>
    <row r="5837" spans="1:2" x14ac:dyDescent="0.25">
      <c r="A5837" s="81" t="s">
        <v>8035</v>
      </c>
      <c r="B5837" s="80" t="s">
        <v>9515</v>
      </c>
    </row>
    <row r="5838" spans="1:2" x14ac:dyDescent="0.25">
      <c r="A5838" s="81" t="s">
        <v>8036</v>
      </c>
      <c r="B5838" s="80" t="s">
        <v>9515</v>
      </c>
    </row>
    <row r="5839" spans="1:2" x14ac:dyDescent="0.25">
      <c r="A5839" s="81" t="s">
        <v>8037</v>
      </c>
      <c r="B5839" s="80" t="s">
        <v>9515</v>
      </c>
    </row>
    <row r="5840" spans="1:2" x14ac:dyDescent="0.25">
      <c r="A5840" s="81" t="s">
        <v>8038</v>
      </c>
      <c r="B5840" s="80" t="s">
        <v>9515</v>
      </c>
    </row>
    <row r="5841" spans="1:2" x14ac:dyDescent="0.25">
      <c r="A5841" s="81" t="s">
        <v>8039</v>
      </c>
      <c r="B5841" s="80" t="s">
        <v>9515</v>
      </c>
    </row>
    <row r="5842" spans="1:2" x14ac:dyDescent="0.25">
      <c r="A5842" s="81" t="s">
        <v>8040</v>
      </c>
      <c r="B5842" s="80" t="s">
        <v>9515</v>
      </c>
    </row>
    <row r="5843" spans="1:2" x14ac:dyDescent="0.25">
      <c r="A5843" s="81" t="s">
        <v>8041</v>
      </c>
      <c r="B5843" s="80" t="s">
        <v>9515</v>
      </c>
    </row>
    <row r="5844" spans="1:2" x14ac:dyDescent="0.25">
      <c r="A5844" s="81" t="s">
        <v>8042</v>
      </c>
      <c r="B5844" s="80" t="s">
        <v>9515</v>
      </c>
    </row>
    <row r="5845" spans="1:2" x14ac:dyDescent="0.25">
      <c r="A5845" s="81" t="s">
        <v>8043</v>
      </c>
      <c r="B5845" s="80" t="s">
        <v>9515</v>
      </c>
    </row>
    <row r="5846" spans="1:2" x14ac:dyDescent="0.25">
      <c r="A5846" s="81" t="s">
        <v>8044</v>
      </c>
      <c r="B5846" s="80" t="s">
        <v>9515</v>
      </c>
    </row>
    <row r="5847" spans="1:2" x14ac:dyDescent="0.25">
      <c r="A5847" s="81" t="s">
        <v>8045</v>
      </c>
      <c r="B5847" s="80" t="s">
        <v>9515</v>
      </c>
    </row>
    <row r="5848" spans="1:2" x14ac:dyDescent="0.25">
      <c r="A5848" s="81" t="s">
        <v>8046</v>
      </c>
      <c r="B5848" s="80" t="s">
        <v>9515</v>
      </c>
    </row>
    <row r="5849" spans="1:2" x14ac:dyDescent="0.25">
      <c r="A5849" s="81" t="s">
        <v>8047</v>
      </c>
      <c r="B5849" s="80" t="s">
        <v>9515</v>
      </c>
    </row>
    <row r="5850" spans="1:2" x14ac:dyDescent="0.25">
      <c r="A5850" s="81" t="s">
        <v>8048</v>
      </c>
      <c r="B5850" s="80" t="s">
        <v>9515</v>
      </c>
    </row>
    <row r="5851" spans="1:2" x14ac:dyDescent="0.25">
      <c r="A5851" s="81" t="s">
        <v>8049</v>
      </c>
      <c r="B5851" s="80" t="s">
        <v>9515</v>
      </c>
    </row>
    <row r="5852" spans="1:2" x14ac:dyDescent="0.25">
      <c r="A5852" s="81" t="s">
        <v>8050</v>
      </c>
      <c r="B5852" s="80" t="s">
        <v>9515</v>
      </c>
    </row>
    <row r="5853" spans="1:2" x14ac:dyDescent="0.25">
      <c r="A5853" s="81" t="s">
        <v>8051</v>
      </c>
      <c r="B5853" s="80" t="s">
        <v>9515</v>
      </c>
    </row>
    <row r="5854" spans="1:2" x14ac:dyDescent="0.25">
      <c r="A5854" s="81" t="s">
        <v>8052</v>
      </c>
      <c r="B5854" s="80" t="s">
        <v>9515</v>
      </c>
    </row>
    <row r="5855" spans="1:2" x14ac:dyDescent="0.25">
      <c r="A5855" s="81" t="s">
        <v>8053</v>
      </c>
      <c r="B5855" s="80" t="s">
        <v>9515</v>
      </c>
    </row>
    <row r="5856" spans="1:2" x14ac:dyDescent="0.25">
      <c r="A5856" s="81" t="s">
        <v>8054</v>
      </c>
      <c r="B5856" s="80" t="s">
        <v>9515</v>
      </c>
    </row>
    <row r="5857" spans="1:2" x14ac:dyDescent="0.25">
      <c r="A5857" s="81" t="s">
        <v>8055</v>
      </c>
      <c r="B5857" s="80" t="s">
        <v>9515</v>
      </c>
    </row>
    <row r="5858" spans="1:2" x14ac:dyDescent="0.25">
      <c r="A5858" s="81" t="s">
        <v>8056</v>
      </c>
      <c r="B5858" s="80" t="s">
        <v>9515</v>
      </c>
    </row>
    <row r="5859" spans="1:2" x14ac:dyDescent="0.25">
      <c r="A5859" s="81" t="s">
        <v>8057</v>
      </c>
      <c r="B5859" s="80" t="s">
        <v>9515</v>
      </c>
    </row>
    <row r="5860" spans="1:2" x14ac:dyDescent="0.25">
      <c r="A5860" s="81" t="s">
        <v>8058</v>
      </c>
      <c r="B5860" s="80" t="s">
        <v>9515</v>
      </c>
    </row>
    <row r="5861" spans="1:2" x14ac:dyDescent="0.25">
      <c r="A5861" s="81" t="s">
        <v>8059</v>
      </c>
      <c r="B5861" s="80" t="s">
        <v>9515</v>
      </c>
    </row>
    <row r="5862" spans="1:2" x14ac:dyDescent="0.25">
      <c r="A5862" s="81" t="s">
        <v>8060</v>
      </c>
      <c r="B5862" s="80" t="s">
        <v>9515</v>
      </c>
    </row>
    <row r="5863" spans="1:2" x14ac:dyDescent="0.25">
      <c r="A5863" s="81" t="s">
        <v>8061</v>
      </c>
      <c r="B5863" s="80" t="s">
        <v>9515</v>
      </c>
    </row>
    <row r="5864" spans="1:2" x14ac:dyDescent="0.25">
      <c r="A5864" s="81" t="s">
        <v>8062</v>
      </c>
      <c r="B5864" s="80" t="s">
        <v>9515</v>
      </c>
    </row>
    <row r="5865" spans="1:2" x14ac:dyDescent="0.25">
      <c r="A5865" s="81" t="s">
        <v>8063</v>
      </c>
      <c r="B5865" s="80" t="s">
        <v>9515</v>
      </c>
    </row>
    <row r="5866" spans="1:2" x14ac:dyDescent="0.25">
      <c r="A5866" s="81" t="s">
        <v>8064</v>
      </c>
      <c r="B5866" s="80" t="s">
        <v>9515</v>
      </c>
    </row>
    <row r="5867" spans="1:2" x14ac:dyDescent="0.25">
      <c r="A5867" s="81" t="s">
        <v>8065</v>
      </c>
      <c r="B5867" s="80" t="s">
        <v>9515</v>
      </c>
    </row>
    <row r="5868" spans="1:2" x14ac:dyDescent="0.25">
      <c r="A5868" s="81" t="s">
        <v>8066</v>
      </c>
      <c r="B5868" s="80" t="s">
        <v>9515</v>
      </c>
    </row>
    <row r="5869" spans="1:2" x14ac:dyDescent="0.25">
      <c r="A5869" s="81" t="s">
        <v>8067</v>
      </c>
      <c r="B5869" s="80" t="s">
        <v>9515</v>
      </c>
    </row>
    <row r="5870" spans="1:2" x14ac:dyDescent="0.25">
      <c r="A5870" s="81" t="s">
        <v>8068</v>
      </c>
      <c r="B5870" s="80" t="s">
        <v>9515</v>
      </c>
    </row>
    <row r="5871" spans="1:2" x14ac:dyDescent="0.25">
      <c r="A5871" s="81" t="s">
        <v>8069</v>
      </c>
      <c r="B5871" s="80" t="s">
        <v>9515</v>
      </c>
    </row>
    <row r="5872" spans="1:2" x14ac:dyDescent="0.25">
      <c r="A5872" s="81" t="s">
        <v>8070</v>
      </c>
      <c r="B5872" s="80" t="s">
        <v>9515</v>
      </c>
    </row>
    <row r="5873" spans="1:2" x14ac:dyDescent="0.25">
      <c r="A5873" s="81" t="s">
        <v>8071</v>
      </c>
      <c r="B5873" s="80" t="s">
        <v>9515</v>
      </c>
    </row>
    <row r="5874" spans="1:2" x14ac:dyDescent="0.25">
      <c r="A5874" s="81" t="s">
        <v>8072</v>
      </c>
      <c r="B5874" s="80" t="s">
        <v>9515</v>
      </c>
    </row>
    <row r="5875" spans="1:2" x14ac:dyDescent="0.25">
      <c r="A5875" s="81" t="s">
        <v>8073</v>
      </c>
      <c r="B5875" s="80" t="s">
        <v>9515</v>
      </c>
    </row>
    <row r="5876" spans="1:2" x14ac:dyDescent="0.25">
      <c r="A5876" s="81" t="s">
        <v>8074</v>
      </c>
      <c r="B5876" s="80" t="s">
        <v>9515</v>
      </c>
    </row>
    <row r="5877" spans="1:2" x14ac:dyDescent="0.25">
      <c r="A5877" s="81" t="s">
        <v>8075</v>
      </c>
      <c r="B5877" s="80" t="s">
        <v>9515</v>
      </c>
    </row>
    <row r="5878" spans="1:2" x14ac:dyDescent="0.25">
      <c r="A5878" s="81" t="s">
        <v>8076</v>
      </c>
      <c r="B5878" s="80" t="s">
        <v>9515</v>
      </c>
    </row>
    <row r="5879" spans="1:2" x14ac:dyDescent="0.25">
      <c r="A5879" s="81" t="s">
        <v>8077</v>
      </c>
      <c r="B5879" s="80" t="s">
        <v>9515</v>
      </c>
    </row>
    <row r="5880" spans="1:2" x14ac:dyDescent="0.25">
      <c r="A5880" s="81" t="s">
        <v>8078</v>
      </c>
      <c r="B5880" s="80" t="s">
        <v>9515</v>
      </c>
    </row>
    <row r="5881" spans="1:2" x14ac:dyDescent="0.25">
      <c r="A5881" s="81" t="s">
        <v>8079</v>
      </c>
      <c r="B5881" s="80" t="s">
        <v>9515</v>
      </c>
    </row>
    <row r="5882" spans="1:2" x14ac:dyDescent="0.25">
      <c r="A5882" s="81" t="s">
        <v>8080</v>
      </c>
      <c r="B5882" s="80" t="s">
        <v>9515</v>
      </c>
    </row>
    <row r="5883" spans="1:2" x14ac:dyDescent="0.25">
      <c r="A5883" s="81" t="s">
        <v>8081</v>
      </c>
      <c r="B5883" s="80" t="s">
        <v>9515</v>
      </c>
    </row>
    <row r="5884" spans="1:2" x14ac:dyDescent="0.25">
      <c r="A5884" s="81" t="s">
        <v>8082</v>
      </c>
      <c r="B5884" s="80" t="s">
        <v>9515</v>
      </c>
    </row>
    <row r="5885" spans="1:2" x14ac:dyDescent="0.25">
      <c r="A5885" s="81" t="s">
        <v>2005</v>
      </c>
      <c r="B5885" s="80" t="s">
        <v>9515</v>
      </c>
    </row>
    <row r="5886" spans="1:2" x14ac:dyDescent="0.25">
      <c r="A5886" s="81" t="s">
        <v>8083</v>
      </c>
      <c r="B5886" s="80" t="s">
        <v>9515</v>
      </c>
    </row>
    <row r="5887" spans="1:2" x14ac:dyDescent="0.25">
      <c r="A5887" s="81" t="s">
        <v>8084</v>
      </c>
      <c r="B5887" s="80" t="s">
        <v>9515</v>
      </c>
    </row>
    <row r="5888" spans="1:2" x14ac:dyDescent="0.25">
      <c r="A5888" s="81" t="s">
        <v>8085</v>
      </c>
      <c r="B5888" s="80" t="s">
        <v>9515</v>
      </c>
    </row>
    <row r="5889" spans="1:2" x14ac:dyDescent="0.25">
      <c r="A5889" s="81" t="s">
        <v>8086</v>
      </c>
      <c r="B5889" s="80" t="s">
        <v>9515</v>
      </c>
    </row>
    <row r="5890" spans="1:2" x14ac:dyDescent="0.25">
      <c r="A5890" s="81" t="s">
        <v>8087</v>
      </c>
      <c r="B5890" s="80" t="s">
        <v>9515</v>
      </c>
    </row>
    <row r="5891" spans="1:2" x14ac:dyDescent="0.25">
      <c r="A5891" s="81" t="s">
        <v>8088</v>
      </c>
      <c r="B5891" s="80" t="s">
        <v>9515</v>
      </c>
    </row>
    <row r="5892" spans="1:2" x14ac:dyDescent="0.25">
      <c r="A5892" s="81" t="s">
        <v>8089</v>
      </c>
      <c r="B5892" s="80" t="s">
        <v>9515</v>
      </c>
    </row>
    <row r="5893" spans="1:2" x14ac:dyDescent="0.25">
      <c r="A5893" s="81" t="s">
        <v>8090</v>
      </c>
      <c r="B5893" s="80" t="s">
        <v>9515</v>
      </c>
    </row>
    <row r="5894" spans="1:2" x14ac:dyDescent="0.25">
      <c r="A5894" s="81" t="s">
        <v>8091</v>
      </c>
      <c r="B5894" s="80" t="s">
        <v>9515</v>
      </c>
    </row>
    <row r="5895" spans="1:2" x14ac:dyDescent="0.25">
      <c r="A5895" s="81" t="s">
        <v>8092</v>
      </c>
      <c r="B5895" s="80" t="s">
        <v>9515</v>
      </c>
    </row>
    <row r="5896" spans="1:2" x14ac:dyDescent="0.25">
      <c r="A5896" s="81" t="s">
        <v>8093</v>
      </c>
      <c r="B5896" s="80" t="s">
        <v>9515</v>
      </c>
    </row>
    <row r="5897" spans="1:2" x14ac:dyDescent="0.25">
      <c r="A5897" s="81" t="s">
        <v>8094</v>
      </c>
      <c r="B5897" s="80" t="s">
        <v>9515</v>
      </c>
    </row>
    <row r="5898" spans="1:2" x14ac:dyDescent="0.25">
      <c r="A5898" s="81" t="s">
        <v>8095</v>
      </c>
      <c r="B5898" s="80" t="s">
        <v>9515</v>
      </c>
    </row>
    <row r="5899" spans="1:2" x14ac:dyDescent="0.25">
      <c r="A5899" s="81" t="s">
        <v>8096</v>
      </c>
      <c r="B5899" s="80" t="s">
        <v>9515</v>
      </c>
    </row>
    <row r="5900" spans="1:2" x14ac:dyDescent="0.25">
      <c r="A5900" s="81" t="s">
        <v>8097</v>
      </c>
      <c r="B5900" s="80" t="s">
        <v>9515</v>
      </c>
    </row>
    <row r="5901" spans="1:2" x14ac:dyDescent="0.25">
      <c r="A5901" s="81" t="s">
        <v>8098</v>
      </c>
      <c r="B5901" s="80" t="s">
        <v>9515</v>
      </c>
    </row>
    <row r="5902" spans="1:2" x14ac:dyDescent="0.25">
      <c r="A5902" s="81" t="s">
        <v>8099</v>
      </c>
      <c r="B5902" s="80" t="s">
        <v>9515</v>
      </c>
    </row>
    <row r="5903" spans="1:2" x14ac:dyDescent="0.25">
      <c r="A5903" s="81" t="s">
        <v>8100</v>
      </c>
      <c r="B5903" s="80" t="s">
        <v>9515</v>
      </c>
    </row>
    <row r="5904" spans="1:2" x14ac:dyDescent="0.25">
      <c r="A5904" s="81" t="s">
        <v>8101</v>
      </c>
      <c r="B5904" s="80" t="s">
        <v>9515</v>
      </c>
    </row>
    <row r="5905" spans="1:2" x14ac:dyDescent="0.25">
      <c r="A5905" s="81" t="s">
        <v>8102</v>
      </c>
      <c r="B5905" s="80" t="s">
        <v>9515</v>
      </c>
    </row>
    <row r="5906" spans="1:2" x14ac:dyDescent="0.25">
      <c r="A5906" s="81" t="s">
        <v>8103</v>
      </c>
      <c r="B5906" s="80" t="s">
        <v>9515</v>
      </c>
    </row>
    <row r="5907" spans="1:2" x14ac:dyDescent="0.25">
      <c r="A5907" s="81" t="s">
        <v>8104</v>
      </c>
      <c r="B5907" s="80" t="s">
        <v>9515</v>
      </c>
    </row>
    <row r="5908" spans="1:2" x14ac:dyDescent="0.25">
      <c r="A5908" s="81" t="s">
        <v>8105</v>
      </c>
      <c r="B5908" s="80" t="s">
        <v>9515</v>
      </c>
    </row>
    <row r="5909" spans="1:2" x14ac:dyDescent="0.25">
      <c r="A5909" s="81" t="s">
        <v>8106</v>
      </c>
      <c r="B5909" s="80" t="s">
        <v>9515</v>
      </c>
    </row>
    <row r="5910" spans="1:2" x14ac:dyDescent="0.25">
      <c r="A5910" s="81" t="s">
        <v>8107</v>
      </c>
      <c r="B5910" s="80" t="s">
        <v>9515</v>
      </c>
    </row>
    <row r="5911" spans="1:2" x14ac:dyDescent="0.25">
      <c r="A5911" s="81" t="s">
        <v>8108</v>
      </c>
      <c r="B5911" s="80" t="s">
        <v>9515</v>
      </c>
    </row>
    <row r="5912" spans="1:2" x14ac:dyDescent="0.25">
      <c r="A5912" s="81" t="s">
        <v>8109</v>
      </c>
      <c r="B5912" s="80" t="s">
        <v>9515</v>
      </c>
    </row>
    <row r="5913" spans="1:2" x14ac:dyDescent="0.25">
      <c r="A5913" s="81" t="s">
        <v>8110</v>
      </c>
      <c r="B5913" s="80" t="s">
        <v>9515</v>
      </c>
    </row>
    <row r="5914" spans="1:2" x14ac:dyDescent="0.25">
      <c r="A5914" s="81" t="s">
        <v>8111</v>
      </c>
      <c r="B5914" s="80" t="s">
        <v>9515</v>
      </c>
    </row>
    <row r="5915" spans="1:2" x14ac:dyDescent="0.25">
      <c r="A5915" s="81" t="s">
        <v>8112</v>
      </c>
      <c r="B5915" s="80" t="s">
        <v>9515</v>
      </c>
    </row>
    <row r="5916" spans="1:2" x14ac:dyDescent="0.25">
      <c r="A5916" s="81" t="s">
        <v>8113</v>
      </c>
      <c r="B5916" s="80" t="s">
        <v>9515</v>
      </c>
    </row>
    <row r="5917" spans="1:2" x14ac:dyDescent="0.25">
      <c r="A5917" s="81" t="s">
        <v>8114</v>
      </c>
      <c r="B5917" s="80" t="s">
        <v>9515</v>
      </c>
    </row>
    <row r="5918" spans="1:2" x14ac:dyDescent="0.25">
      <c r="A5918" s="81" t="s">
        <v>8115</v>
      </c>
      <c r="B5918" s="80" t="s">
        <v>9515</v>
      </c>
    </row>
    <row r="5919" spans="1:2" x14ac:dyDescent="0.25">
      <c r="A5919" s="81" t="s">
        <v>8116</v>
      </c>
      <c r="B5919" s="80" t="s">
        <v>9515</v>
      </c>
    </row>
    <row r="5920" spans="1:2" x14ac:dyDescent="0.25">
      <c r="A5920" s="81" t="s">
        <v>8117</v>
      </c>
      <c r="B5920" s="80" t="s">
        <v>9515</v>
      </c>
    </row>
    <row r="5921" spans="1:2" x14ac:dyDescent="0.25">
      <c r="A5921" s="81" t="s">
        <v>2020</v>
      </c>
      <c r="B5921" s="80" t="s">
        <v>9515</v>
      </c>
    </row>
    <row r="5922" spans="1:2" x14ac:dyDescent="0.25">
      <c r="A5922" s="81" t="s">
        <v>8118</v>
      </c>
      <c r="B5922" s="80" t="s">
        <v>9515</v>
      </c>
    </row>
    <row r="5923" spans="1:2" x14ac:dyDescent="0.25">
      <c r="A5923" s="81" t="s">
        <v>8119</v>
      </c>
      <c r="B5923" s="80" t="s">
        <v>9515</v>
      </c>
    </row>
    <row r="5924" spans="1:2" x14ac:dyDescent="0.25">
      <c r="A5924" s="81" t="s">
        <v>8120</v>
      </c>
      <c r="B5924" s="80" t="s">
        <v>9515</v>
      </c>
    </row>
    <row r="5925" spans="1:2" x14ac:dyDescent="0.25">
      <c r="A5925" s="81" t="s">
        <v>8121</v>
      </c>
      <c r="B5925" s="80" t="s">
        <v>9515</v>
      </c>
    </row>
    <row r="5926" spans="1:2" x14ac:dyDescent="0.25">
      <c r="A5926" s="81" t="s">
        <v>8122</v>
      </c>
      <c r="B5926" s="80" t="s">
        <v>9515</v>
      </c>
    </row>
    <row r="5927" spans="1:2" x14ac:dyDescent="0.25">
      <c r="A5927" s="81" t="s">
        <v>8123</v>
      </c>
      <c r="B5927" s="80" t="s">
        <v>9515</v>
      </c>
    </row>
    <row r="5928" spans="1:2" x14ac:dyDescent="0.25">
      <c r="A5928" s="81" t="s">
        <v>8124</v>
      </c>
      <c r="B5928" s="80" t="s">
        <v>9515</v>
      </c>
    </row>
    <row r="5929" spans="1:2" x14ac:dyDescent="0.25">
      <c r="A5929" s="81" t="s">
        <v>8125</v>
      </c>
      <c r="B5929" s="80" t="s">
        <v>9515</v>
      </c>
    </row>
    <row r="5930" spans="1:2" x14ac:dyDescent="0.25">
      <c r="A5930" s="81" t="s">
        <v>8126</v>
      </c>
      <c r="B5930" s="80" t="s">
        <v>9515</v>
      </c>
    </row>
    <row r="5931" spans="1:2" x14ac:dyDescent="0.25">
      <c r="A5931" s="81" t="s">
        <v>8127</v>
      </c>
      <c r="B5931" s="80" t="s">
        <v>9515</v>
      </c>
    </row>
    <row r="5932" spans="1:2" x14ac:dyDescent="0.25">
      <c r="A5932" s="81" t="s">
        <v>8128</v>
      </c>
      <c r="B5932" s="80" t="s">
        <v>9515</v>
      </c>
    </row>
    <row r="5933" spans="1:2" x14ac:dyDescent="0.25">
      <c r="A5933" s="81" t="s">
        <v>8129</v>
      </c>
      <c r="B5933" s="80" t="s">
        <v>9515</v>
      </c>
    </row>
    <row r="5934" spans="1:2" x14ac:dyDescent="0.25">
      <c r="A5934" s="81" t="s">
        <v>8130</v>
      </c>
      <c r="B5934" s="80" t="s">
        <v>9515</v>
      </c>
    </row>
    <row r="5935" spans="1:2" x14ac:dyDescent="0.25">
      <c r="A5935" s="81" t="s">
        <v>8131</v>
      </c>
      <c r="B5935" s="80" t="s">
        <v>9515</v>
      </c>
    </row>
    <row r="5936" spans="1:2" x14ac:dyDescent="0.25">
      <c r="A5936" s="81" t="s">
        <v>8132</v>
      </c>
      <c r="B5936" s="80" t="s">
        <v>9515</v>
      </c>
    </row>
    <row r="5937" spans="1:2" x14ac:dyDescent="0.25">
      <c r="A5937" s="81" t="s">
        <v>8133</v>
      </c>
      <c r="B5937" s="80" t="s">
        <v>9515</v>
      </c>
    </row>
    <row r="5938" spans="1:2" x14ac:dyDescent="0.25">
      <c r="A5938" s="81" t="s">
        <v>8134</v>
      </c>
      <c r="B5938" s="80" t="s">
        <v>9515</v>
      </c>
    </row>
    <row r="5939" spans="1:2" x14ac:dyDescent="0.25">
      <c r="A5939" s="81" t="s">
        <v>8135</v>
      </c>
      <c r="B5939" s="80" t="s">
        <v>9515</v>
      </c>
    </row>
    <row r="5940" spans="1:2" x14ac:dyDescent="0.25">
      <c r="A5940" s="81" t="s">
        <v>8136</v>
      </c>
      <c r="B5940" s="80" t="s">
        <v>9515</v>
      </c>
    </row>
    <row r="5941" spans="1:2" x14ac:dyDescent="0.25">
      <c r="A5941" s="81" t="s">
        <v>8137</v>
      </c>
      <c r="B5941" s="80" t="s">
        <v>9515</v>
      </c>
    </row>
    <row r="5942" spans="1:2" x14ac:dyDescent="0.25">
      <c r="A5942" s="81" t="s">
        <v>8138</v>
      </c>
      <c r="B5942" s="80" t="s">
        <v>9515</v>
      </c>
    </row>
    <row r="5943" spans="1:2" x14ac:dyDescent="0.25">
      <c r="A5943" s="81" t="s">
        <v>8139</v>
      </c>
      <c r="B5943" s="80" t="s">
        <v>9515</v>
      </c>
    </row>
    <row r="5944" spans="1:2" x14ac:dyDescent="0.25">
      <c r="A5944" s="81" t="s">
        <v>8140</v>
      </c>
      <c r="B5944" s="80" t="s">
        <v>9515</v>
      </c>
    </row>
    <row r="5945" spans="1:2" x14ac:dyDescent="0.25">
      <c r="A5945" s="81" t="s">
        <v>8141</v>
      </c>
      <c r="B5945" s="80" t="s">
        <v>9515</v>
      </c>
    </row>
    <row r="5946" spans="1:2" x14ac:dyDescent="0.25">
      <c r="A5946" s="81" t="s">
        <v>8142</v>
      </c>
      <c r="B5946" s="80" t="s">
        <v>9515</v>
      </c>
    </row>
    <row r="5947" spans="1:2" x14ac:dyDescent="0.25">
      <c r="A5947" s="81" t="s">
        <v>8143</v>
      </c>
      <c r="B5947" s="80" t="s">
        <v>9515</v>
      </c>
    </row>
    <row r="5948" spans="1:2" x14ac:dyDescent="0.25">
      <c r="A5948" s="81" t="s">
        <v>8144</v>
      </c>
      <c r="B5948" s="80" t="s">
        <v>9515</v>
      </c>
    </row>
    <row r="5949" spans="1:2" x14ac:dyDescent="0.25">
      <c r="A5949" s="81" t="s">
        <v>8145</v>
      </c>
      <c r="B5949" s="80" t="s">
        <v>9515</v>
      </c>
    </row>
    <row r="5950" spans="1:2" x14ac:dyDescent="0.25">
      <c r="A5950" s="81" t="s">
        <v>8146</v>
      </c>
      <c r="B5950" s="80" t="s">
        <v>9515</v>
      </c>
    </row>
    <row r="5951" spans="1:2" x14ac:dyDescent="0.25">
      <c r="A5951" s="81" t="s">
        <v>8147</v>
      </c>
      <c r="B5951" s="80" t="s">
        <v>9515</v>
      </c>
    </row>
    <row r="5952" spans="1:2" x14ac:dyDescent="0.25">
      <c r="A5952" s="81" t="s">
        <v>8148</v>
      </c>
      <c r="B5952" s="80" t="s">
        <v>9515</v>
      </c>
    </row>
    <row r="5953" spans="1:2" x14ac:dyDescent="0.25">
      <c r="A5953" s="81" t="s">
        <v>8149</v>
      </c>
      <c r="B5953" s="80" t="s">
        <v>9515</v>
      </c>
    </row>
    <row r="5954" spans="1:2" x14ac:dyDescent="0.25">
      <c r="A5954" s="81" t="s">
        <v>8150</v>
      </c>
      <c r="B5954" s="80" t="s">
        <v>9515</v>
      </c>
    </row>
    <row r="5955" spans="1:2" x14ac:dyDescent="0.25">
      <c r="A5955" s="81" t="s">
        <v>8151</v>
      </c>
      <c r="B5955" s="80" t="s">
        <v>9515</v>
      </c>
    </row>
    <row r="5956" spans="1:2" x14ac:dyDescent="0.25">
      <c r="A5956" s="81" t="s">
        <v>8152</v>
      </c>
      <c r="B5956" s="80" t="s">
        <v>9515</v>
      </c>
    </row>
    <row r="5957" spans="1:2" x14ac:dyDescent="0.25">
      <c r="A5957" s="81" t="s">
        <v>8153</v>
      </c>
      <c r="B5957" s="80" t="s">
        <v>9515</v>
      </c>
    </row>
    <row r="5958" spans="1:2" x14ac:dyDescent="0.25">
      <c r="A5958" s="81" t="s">
        <v>8154</v>
      </c>
      <c r="B5958" s="80" t="s">
        <v>9515</v>
      </c>
    </row>
    <row r="5959" spans="1:2" x14ac:dyDescent="0.25">
      <c r="A5959" s="81" t="s">
        <v>8155</v>
      </c>
      <c r="B5959" s="80" t="s">
        <v>9515</v>
      </c>
    </row>
    <row r="5960" spans="1:2" x14ac:dyDescent="0.25">
      <c r="A5960" s="81" t="s">
        <v>8156</v>
      </c>
      <c r="B5960" s="80" t="s">
        <v>9515</v>
      </c>
    </row>
    <row r="5961" spans="1:2" x14ac:dyDescent="0.25">
      <c r="A5961" s="81" t="s">
        <v>8157</v>
      </c>
      <c r="B5961" s="80" t="s">
        <v>9515</v>
      </c>
    </row>
    <row r="5962" spans="1:2" x14ac:dyDescent="0.25">
      <c r="A5962" s="81" t="s">
        <v>8158</v>
      </c>
      <c r="B5962" s="80" t="s">
        <v>9515</v>
      </c>
    </row>
    <row r="5963" spans="1:2" x14ac:dyDescent="0.25">
      <c r="A5963" s="81" t="s">
        <v>8159</v>
      </c>
      <c r="B5963" s="80" t="s">
        <v>9515</v>
      </c>
    </row>
    <row r="5964" spans="1:2" x14ac:dyDescent="0.25">
      <c r="A5964" s="81" t="s">
        <v>8160</v>
      </c>
      <c r="B5964" s="80" t="s">
        <v>9515</v>
      </c>
    </row>
    <row r="5965" spans="1:2" x14ac:dyDescent="0.25">
      <c r="A5965" s="81" t="s">
        <v>8161</v>
      </c>
      <c r="B5965" s="80" t="s">
        <v>9515</v>
      </c>
    </row>
    <row r="5966" spans="1:2" x14ac:dyDescent="0.25">
      <c r="A5966" s="81" t="s">
        <v>8162</v>
      </c>
      <c r="B5966" s="80" t="s">
        <v>9515</v>
      </c>
    </row>
    <row r="5967" spans="1:2" x14ac:dyDescent="0.25">
      <c r="A5967" s="81" t="s">
        <v>8163</v>
      </c>
      <c r="B5967" s="80" t="s">
        <v>9515</v>
      </c>
    </row>
    <row r="5968" spans="1:2" x14ac:dyDescent="0.25">
      <c r="A5968" s="81" t="s">
        <v>8164</v>
      </c>
      <c r="B5968" s="80" t="s">
        <v>9515</v>
      </c>
    </row>
    <row r="5969" spans="1:2" x14ac:dyDescent="0.25">
      <c r="A5969" s="81" t="s">
        <v>8165</v>
      </c>
      <c r="B5969" s="80" t="s">
        <v>9515</v>
      </c>
    </row>
    <row r="5970" spans="1:2" x14ac:dyDescent="0.25">
      <c r="A5970" s="81" t="s">
        <v>8166</v>
      </c>
      <c r="B5970" s="80" t="s">
        <v>9515</v>
      </c>
    </row>
    <row r="5971" spans="1:2" x14ac:dyDescent="0.25">
      <c r="A5971" s="81" t="s">
        <v>8167</v>
      </c>
      <c r="B5971" s="80" t="s">
        <v>9515</v>
      </c>
    </row>
    <row r="5972" spans="1:2" x14ac:dyDescent="0.25">
      <c r="A5972" s="81" t="s">
        <v>8168</v>
      </c>
      <c r="B5972" s="80" t="s">
        <v>9515</v>
      </c>
    </row>
    <row r="5973" spans="1:2" x14ac:dyDescent="0.25">
      <c r="A5973" s="81" t="s">
        <v>8169</v>
      </c>
      <c r="B5973" s="80" t="s">
        <v>9515</v>
      </c>
    </row>
    <row r="5974" spans="1:2" x14ac:dyDescent="0.25">
      <c r="A5974" s="81" t="s">
        <v>8170</v>
      </c>
      <c r="B5974" s="80" t="s">
        <v>9515</v>
      </c>
    </row>
    <row r="5975" spans="1:2" x14ac:dyDescent="0.25">
      <c r="A5975" s="81" t="s">
        <v>8171</v>
      </c>
      <c r="B5975" s="80" t="s">
        <v>9515</v>
      </c>
    </row>
    <row r="5976" spans="1:2" x14ac:dyDescent="0.25">
      <c r="A5976" s="81" t="s">
        <v>8172</v>
      </c>
      <c r="B5976" s="80" t="s">
        <v>9515</v>
      </c>
    </row>
    <row r="5977" spans="1:2" x14ac:dyDescent="0.25">
      <c r="A5977" s="81" t="s">
        <v>8173</v>
      </c>
      <c r="B5977" s="80" t="s">
        <v>9515</v>
      </c>
    </row>
    <row r="5978" spans="1:2" x14ac:dyDescent="0.25">
      <c r="A5978" s="81" t="s">
        <v>8174</v>
      </c>
      <c r="B5978" s="80" t="s">
        <v>9515</v>
      </c>
    </row>
    <row r="5979" spans="1:2" x14ac:dyDescent="0.25">
      <c r="A5979" s="81" t="s">
        <v>8175</v>
      </c>
      <c r="B5979" s="80" t="s">
        <v>9515</v>
      </c>
    </row>
    <row r="5980" spans="1:2" x14ac:dyDescent="0.25">
      <c r="A5980" s="81" t="s">
        <v>8176</v>
      </c>
      <c r="B5980" s="80" t="s">
        <v>9515</v>
      </c>
    </row>
    <row r="5981" spans="1:2" x14ac:dyDescent="0.25">
      <c r="A5981" s="81" t="s">
        <v>8177</v>
      </c>
      <c r="B5981" s="80" t="s">
        <v>9515</v>
      </c>
    </row>
    <row r="5982" spans="1:2" x14ac:dyDescent="0.25">
      <c r="A5982" s="81" t="s">
        <v>8178</v>
      </c>
      <c r="B5982" s="80" t="s">
        <v>9515</v>
      </c>
    </row>
    <row r="5983" spans="1:2" x14ac:dyDescent="0.25">
      <c r="A5983" s="81" t="s">
        <v>8179</v>
      </c>
      <c r="B5983" s="80" t="s">
        <v>9515</v>
      </c>
    </row>
    <row r="5984" spans="1:2" x14ac:dyDescent="0.25">
      <c r="A5984" s="81" t="s">
        <v>8180</v>
      </c>
      <c r="B5984" s="80" t="s">
        <v>9515</v>
      </c>
    </row>
    <row r="5985" spans="1:2" x14ac:dyDescent="0.25">
      <c r="A5985" s="81" t="s">
        <v>8181</v>
      </c>
      <c r="B5985" s="80" t="s">
        <v>9515</v>
      </c>
    </row>
    <row r="5986" spans="1:2" x14ac:dyDescent="0.25">
      <c r="A5986" s="81" t="s">
        <v>8182</v>
      </c>
      <c r="B5986" s="80" t="s">
        <v>9515</v>
      </c>
    </row>
    <row r="5987" spans="1:2" x14ac:dyDescent="0.25">
      <c r="A5987" s="81" t="s">
        <v>8183</v>
      </c>
      <c r="B5987" s="80" t="s">
        <v>9515</v>
      </c>
    </row>
    <row r="5988" spans="1:2" x14ac:dyDescent="0.25">
      <c r="A5988" s="81" t="s">
        <v>8184</v>
      </c>
      <c r="B5988" s="80" t="s">
        <v>9515</v>
      </c>
    </row>
    <row r="5989" spans="1:2" x14ac:dyDescent="0.25">
      <c r="A5989" s="81" t="s">
        <v>8185</v>
      </c>
      <c r="B5989" s="80" t="s">
        <v>9515</v>
      </c>
    </row>
    <row r="5990" spans="1:2" x14ac:dyDescent="0.25">
      <c r="A5990" s="81" t="s">
        <v>8186</v>
      </c>
      <c r="B5990" s="80" t="s">
        <v>9515</v>
      </c>
    </row>
    <row r="5991" spans="1:2" x14ac:dyDescent="0.25">
      <c r="A5991" s="81" t="s">
        <v>8187</v>
      </c>
      <c r="B5991" s="80" t="s">
        <v>9515</v>
      </c>
    </row>
    <row r="5992" spans="1:2" x14ac:dyDescent="0.25">
      <c r="A5992" s="81" t="s">
        <v>8188</v>
      </c>
      <c r="B5992" s="80" t="s">
        <v>9515</v>
      </c>
    </row>
    <row r="5993" spans="1:2" x14ac:dyDescent="0.25">
      <c r="A5993" s="81" t="s">
        <v>8189</v>
      </c>
      <c r="B5993" s="80" t="s">
        <v>9515</v>
      </c>
    </row>
    <row r="5994" spans="1:2" x14ac:dyDescent="0.25">
      <c r="A5994" s="81" t="s">
        <v>8190</v>
      </c>
      <c r="B5994" s="80" t="s">
        <v>9515</v>
      </c>
    </row>
    <row r="5995" spans="1:2" x14ac:dyDescent="0.25">
      <c r="A5995" s="81" t="s">
        <v>8191</v>
      </c>
      <c r="B5995" s="80" t="s">
        <v>9515</v>
      </c>
    </row>
    <row r="5996" spans="1:2" x14ac:dyDescent="0.25">
      <c r="A5996" s="81" t="s">
        <v>8192</v>
      </c>
      <c r="B5996" s="80" t="s">
        <v>9515</v>
      </c>
    </row>
    <row r="5997" spans="1:2" x14ac:dyDescent="0.25">
      <c r="A5997" s="81" t="s">
        <v>8193</v>
      </c>
      <c r="B5997" s="80" t="s">
        <v>9515</v>
      </c>
    </row>
    <row r="5998" spans="1:2" x14ac:dyDescent="0.25">
      <c r="A5998" s="81" t="s">
        <v>8194</v>
      </c>
      <c r="B5998" s="80" t="s">
        <v>9515</v>
      </c>
    </row>
    <row r="5999" spans="1:2" x14ac:dyDescent="0.25">
      <c r="A5999" s="81" t="s">
        <v>8195</v>
      </c>
      <c r="B5999" s="80" t="s">
        <v>9515</v>
      </c>
    </row>
    <row r="6000" spans="1:2" x14ac:dyDescent="0.25">
      <c r="A6000" s="81" t="s">
        <v>8196</v>
      </c>
      <c r="B6000" s="80" t="s">
        <v>9515</v>
      </c>
    </row>
    <row r="6001" spans="1:2" x14ac:dyDescent="0.25">
      <c r="A6001" s="81" t="s">
        <v>8197</v>
      </c>
      <c r="B6001" s="80" t="s">
        <v>9515</v>
      </c>
    </row>
    <row r="6002" spans="1:2" x14ac:dyDescent="0.25">
      <c r="A6002" s="81" t="s">
        <v>8198</v>
      </c>
      <c r="B6002" s="80" t="s">
        <v>9515</v>
      </c>
    </row>
    <row r="6003" spans="1:2" x14ac:dyDescent="0.25">
      <c r="A6003" s="81" t="s">
        <v>8199</v>
      </c>
      <c r="B6003" s="80" t="s">
        <v>9515</v>
      </c>
    </row>
    <row r="6004" spans="1:2" x14ac:dyDescent="0.25">
      <c r="A6004" s="81" t="s">
        <v>8200</v>
      </c>
      <c r="B6004" s="80" t="s">
        <v>9515</v>
      </c>
    </row>
    <row r="6005" spans="1:2" x14ac:dyDescent="0.25">
      <c r="A6005" s="81" t="s">
        <v>8201</v>
      </c>
      <c r="B6005" s="80" t="s">
        <v>9515</v>
      </c>
    </row>
    <row r="6006" spans="1:2" x14ac:dyDescent="0.25">
      <c r="A6006" s="81" t="s">
        <v>8202</v>
      </c>
      <c r="B6006" s="80" t="s">
        <v>9515</v>
      </c>
    </row>
    <row r="6007" spans="1:2" x14ac:dyDescent="0.25">
      <c r="A6007" s="81" t="s">
        <v>8203</v>
      </c>
      <c r="B6007" s="80" t="s">
        <v>9515</v>
      </c>
    </row>
    <row r="6008" spans="1:2" x14ac:dyDescent="0.25">
      <c r="A6008" s="81" t="s">
        <v>8204</v>
      </c>
      <c r="B6008" s="80" t="s">
        <v>9515</v>
      </c>
    </row>
    <row r="6009" spans="1:2" x14ac:dyDescent="0.25">
      <c r="A6009" s="81" t="s">
        <v>8205</v>
      </c>
      <c r="B6009" s="80" t="s">
        <v>9515</v>
      </c>
    </row>
    <row r="6010" spans="1:2" x14ac:dyDescent="0.25">
      <c r="A6010" s="81" t="s">
        <v>8206</v>
      </c>
      <c r="B6010" s="80" t="s">
        <v>9515</v>
      </c>
    </row>
    <row r="6011" spans="1:2" x14ac:dyDescent="0.25">
      <c r="A6011" s="81" t="s">
        <v>8207</v>
      </c>
      <c r="B6011" s="80" t="s">
        <v>9515</v>
      </c>
    </row>
    <row r="6012" spans="1:2" x14ac:dyDescent="0.25">
      <c r="A6012" s="81" t="s">
        <v>8208</v>
      </c>
      <c r="B6012" s="80" t="s">
        <v>9515</v>
      </c>
    </row>
    <row r="6013" spans="1:2" x14ac:dyDescent="0.25">
      <c r="A6013" s="81" t="s">
        <v>8209</v>
      </c>
      <c r="B6013" s="80" t="s">
        <v>9515</v>
      </c>
    </row>
    <row r="6014" spans="1:2" x14ac:dyDescent="0.25">
      <c r="A6014" s="81" t="s">
        <v>8210</v>
      </c>
      <c r="B6014" s="80" t="s">
        <v>9515</v>
      </c>
    </row>
    <row r="6015" spans="1:2" x14ac:dyDescent="0.25">
      <c r="A6015" s="81" t="s">
        <v>8211</v>
      </c>
      <c r="B6015" s="80" t="s">
        <v>9515</v>
      </c>
    </row>
    <row r="6016" spans="1:2" x14ac:dyDescent="0.25">
      <c r="A6016" s="81" t="s">
        <v>8212</v>
      </c>
      <c r="B6016" s="80" t="s">
        <v>9515</v>
      </c>
    </row>
    <row r="6017" spans="1:2" x14ac:dyDescent="0.25">
      <c r="A6017" s="81" t="s">
        <v>8213</v>
      </c>
      <c r="B6017" s="80" t="s">
        <v>9515</v>
      </c>
    </row>
    <row r="6018" spans="1:2" x14ac:dyDescent="0.25">
      <c r="A6018" s="81" t="s">
        <v>8214</v>
      </c>
      <c r="B6018" s="80" t="s">
        <v>9515</v>
      </c>
    </row>
    <row r="6019" spans="1:2" x14ac:dyDescent="0.25">
      <c r="A6019" s="81" t="s">
        <v>8215</v>
      </c>
      <c r="B6019" s="80" t="s">
        <v>9515</v>
      </c>
    </row>
    <row r="6020" spans="1:2" x14ac:dyDescent="0.25">
      <c r="A6020" s="81" t="s">
        <v>8216</v>
      </c>
      <c r="B6020" s="80" t="s">
        <v>9515</v>
      </c>
    </row>
    <row r="6021" spans="1:2" x14ac:dyDescent="0.25">
      <c r="A6021" s="81" t="s">
        <v>8217</v>
      </c>
      <c r="B6021" s="80" t="s">
        <v>9515</v>
      </c>
    </row>
    <row r="6022" spans="1:2" x14ac:dyDescent="0.25">
      <c r="A6022" s="81" t="s">
        <v>8218</v>
      </c>
      <c r="B6022" s="80" t="s">
        <v>9515</v>
      </c>
    </row>
    <row r="6023" spans="1:2" x14ac:dyDescent="0.25">
      <c r="A6023" s="81" t="s">
        <v>8219</v>
      </c>
      <c r="B6023" s="80" t="s">
        <v>9515</v>
      </c>
    </row>
    <row r="6024" spans="1:2" x14ac:dyDescent="0.25">
      <c r="A6024" s="81" t="s">
        <v>8220</v>
      </c>
      <c r="B6024" s="80" t="s">
        <v>9515</v>
      </c>
    </row>
    <row r="6025" spans="1:2" x14ac:dyDescent="0.25">
      <c r="A6025" s="81" t="s">
        <v>8221</v>
      </c>
      <c r="B6025" s="80" t="s">
        <v>9515</v>
      </c>
    </row>
    <row r="6026" spans="1:2" x14ac:dyDescent="0.25">
      <c r="A6026" s="81" t="s">
        <v>8222</v>
      </c>
      <c r="B6026" s="80" t="s">
        <v>9515</v>
      </c>
    </row>
    <row r="6027" spans="1:2" x14ac:dyDescent="0.25">
      <c r="A6027" s="81" t="s">
        <v>8223</v>
      </c>
      <c r="B6027" s="80" t="s">
        <v>9515</v>
      </c>
    </row>
    <row r="6028" spans="1:2" x14ac:dyDescent="0.25">
      <c r="A6028" s="81" t="s">
        <v>8224</v>
      </c>
      <c r="B6028" s="80" t="s">
        <v>9515</v>
      </c>
    </row>
    <row r="6029" spans="1:2" x14ac:dyDescent="0.25">
      <c r="A6029" s="81" t="s">
        <v>8225</v>
      </c>
      <c r="B6029" s="80" t="s">
        <v>9515</v>
      </c>
    </row>
    <row r="6030" spans="1:2" x14ac:dyDescent="0.25">
      <c r="A6030" s="81" t="s">
        <v>8226</v>
      </c>
      <c r="B6030" s="80" t="s">
        <v>9515</v>
      </c>
    </row>
    <row r="6031" spans="1:2" x14ac:dyDescent="0.25">
      <c r="A6031" s="81" t="s">
        <v>8227</v>
      </c>
      <c r="B6031" s="80" t="s">
        <v>9515</v>
      </c>
    </row>
    <row r="6032" spans="1:2" x14ac:dyDescent="0.25">
      <c r="A6032" s="81" t="s">
        <v>8228</v>
      </c>
      <c r="B6032" s="80" t="s">
        <v>9515</v>
      </c>
    </row>
    <row r="6033" spans="1:2" x14ac:dyDescent="0.25">
      <c r="A6033" s="81" t="s">
        <v>8229</v>
      </c>
      <c r="B6033" s="80" t="s">
        <v>9515</v>
      </c>
    </row>
    <row r="6034" spans="1:2" x14ac:dyDescent="0.25">
      <c r="A6034" s="81" t="s">
        <v>8230</v>
      </c>
      <c r="B6034" s="80" t="s">
        <v>9515</v>
      </c>
    </row>
    <row r="6035" spans="1:2" x14ac:dyDescent="0.25">
      <c r="A6035" s="81" t="s">
        <v>8231</v>
      </c>
      <c r="B6035" s="80" t="s">
        <v>9515</v>
      </c>
    </row>
    <row r="6036" spans="1:2" x14ac:dyDescent="0.25">
      <c r="A6036" s="81" t="s">
        <v>8232</v>
      </c>
      <c r="B6036" s="80" t="s">
        <v>9515</v>
      </c>
    </row>
    <row r="6037" spans="1:2" x14ac:dyDescent="0.25">
      <c r="A6037" s="81" t="s">
        <v>8233</v>
      </c>
      <c r="B6037" s="80" t="s">
        <v>9515</v>
      </c>
    </row>
    <row r="6038" spans="1:2" x14ac:dyDescent="0.25">
      <c r="A6038" s="81" t="s">
        <v>8234</v>
      </c>
      <c r="B6038" s="80" t="s">
        <v>9515</v>
      </c>
    </row>
    <row r="6039" spans="1:2" x14ac:dyDescent="0.25">
      <c r="A6039" s="81" t="s">
        <v>8235</v>
      </c>
      <c r="B6039" s="80" t="s">
        <v>9515</v>
      </c>
    </row>
    <row r="6040" spans="1:2" x14ac:dyDescent="0.25">
      <c r="A6040" s="81" t="s">
        <v>8236</v>
      </c>
      <c r="B6040" s="80" t="s">
        <v>9515</v>
      </c>
    </row>
    <row r="6041" spans="1:2" x14ac:dyDescent="0.25">
      <c r="A6041" s="81" t="s">
        <v>8237</v>
      </c>
      <c r="B6041" s="80" t="s">
        <v>9515</v>
      </c>
    </row>
    <row r="6042" spans="1:2" x14ac:dyDescent="0.25">
      <c r="A6042" s="81" t="s">
        <v>8238</v>
      </c>
      <c r="B6042" s="80" t="s">
        <v>9515</v>
      </c>
    </row>
    <row r="6043" spans="1:2" x14ac:dyDescent="0.25">
      <c r="A6043" s="81" t="s">
        <v>8239</v>
      </c>
      <c r="B6043" s="80" t="s">
        <v>9515</v>
      </c>
    </row>
    <row r="6044" spans="1:2" x14ac:dyDescent="0.25">
      <c r="A6044" s="81" t="s">
        <v>8240</v>
      </c>
      <c r="B6044" s="80" t="s">
        <v>9515</v>
      </c>
    </row>
    <row r="6045" spans="1:2" x14ac:dyDescent="0.25">
      <c r="A6045" s="81" t="s">
        <v>8241</v>
      </c>
      <c r="B6045" s="80" t="s">
        <v>9515</v>
      </c>
    </row>
    <row r="6046" spans="1:2" x14ac:dyDescent="0.25">
      <c r="A6046" s="81" t="s">
        <v>8242</v>
      </c>
      <c r="B6046" s="80" t="s">
        <v>9515</v>
      </c>
    </row>
    <row r="6047" spans="1:2" x14ac:dyDescent="0.25">
      <c r="A6047" s="81" t="s">
        <v>8243</v>
      </c>
      <c r="B6047" s="80" t="s">
        <v>9515</v>
      </c>
    </row>
    <row r="6048" spans="1:2" x14ac:dyDescent="0.25">
      <c r="A6048" s="81" t="s">
        <v>8244</v>
      </c>
      <c r="B6048" s="80" t="s">
        <v>9515</v>
      </c>
    </row>
    <row r="6049" spans="1:2" x14ac:dyDescent="0.25">
      <c r="A6049" s="81" t="s">
        <v>8245</v>
      </c>
      <c r="B6049" s="80" t="s">
        <v>9515</v>
      </c>
    </row>
    <row r="6050" spans="1:2" x14ac:dyDescent="0.25">
      <c r="A6050" s="81" t="s">
        <v>8246</v>
      </c>
      <c r="B6050" s="80" t="s">
        <v>9515</v>
      </c>
    </row>
    <row r="6051" spans="1:2" x14ac:dyDescent="0.25">
      <c r="A6051" s="81" t="s">
        <v>8247</v>
      </c>
      <c r="B6051" s="80" t="s">
        <v>9515</v>
      </c>
    </row>
    <row r="6052" spans="1:2" x14ac:dyDescent="0.25">
      <c r="A6052" s="81" t="s">
        <v>8248</v>
      </c>
      <c r="B6052" s="80" t="s">
        <v>9515</v>
      </c>
    </row>
    <row r="6053" spans="1:2" x14ac:dyDescent="0.25">
      <c r="A6053" s="81" t="s">
        <v>8249</v>
      </c>
      <c r="B6053" s="80" t="s">
        <v>9515</v>
      </c>
    </row>
    <row r="6054" spans="1:2" x14ac:dyDescent="0.25">
      <c r="A6054" s="81" t="s">
        <v>8250</v>
      </c>
      <c r="B6054" s="80" t="s">
        <v>9515</v>
      </c>
    </row>
    <row r="6055" spans="1:2" x14ac:dyDescent="0.25">
      <c r="A6055" s="81" t="s">
        <v>8251</v>
      </c>
      <c r="B6055" s="80" t="s">
        <v>9515</v>
      </c>
    </row>
    <row r="6056" spans="1:2" x14ac:dyDescent="0.25">
      <c r="A6056" s="81" t="s">
        <v>8252</v>
      </c>
      <c r="B6056" s="80" t="s">
        <v>9515</v>
      </c>
    </row>
    <row r="6057" spans="1:2" x14ac:dyDescent="0.25">
      <c r="A6057" s="81" t="s">
        <v>8253</v>
      </c>
      <c r="B6057" s="80" t="s">
        <v>9515</v>
      </c>
    </row>
    <row r="6058" spans="1:2" x14ac:dyDescent="0.25">
      <c r="A6058" s="81" t="s">
        <v>8254</v>
      </c>
      <c r="B6058" s="80" t="s">
        <v>9515</v>
      </c>
    </row>
    <row r="6059" spans="1:2" x14ac:dyDescent="0.25">
      <c r="A6059" s="81" t="s">
        <v>8255</v>
      </c>
      <c r="B6059" s="80" t="s">
        <v>9515</v>
      </c>
    </row>
    <row r="6060" spans="1:2" x14ac:dyDescent="0.25">
      <c r="A6060" s="81" t="s">
        <v>8256</v>
      </c>
      <c r="B6060" s="80" t="s">
        <v>9515</v>
      </c>
    </row>
    <row r="6061" spans="1:2" x14ac:dyDescent="0.25">
      <c r="A6061" s="81" t="s">
        <v>8257</v>
      </c>
      <c r="B6061" s="80" t="s">
        <v>9515</v>
      </c>
    </row>
    <row r="6062" spans="1:2" x14ac:dyDescent="0.25">
      <c r="A6062" s="81" t="s">
        <v>8258</v>
      </c>
      <c r="B6062" s="80" t="s">
        <v>9515</v>
      </c>
    </row>
    <row r="6063" spans="1:2" x14ac:dyDescent="0.25">
      <c r="A6063" s="81" t="s">
        <v>8259</v>
      </c>
      <c r="B6063" s="80" t="s">
        <v>9515</v>
      </c>
    </row>
    <row r="6064" spans="1:2" x14ac:dyDescent="0.25">
      <c r="A6064" s="81" t="s">
        <v>8260</v>
      </c>
      <c r="B6064" s="80" t="s">
        <v>9515</v>
      </c>
    </row>
    <row r="6065" spans="1:2" x14ac:dyDescent="0.25">
      <c r="A6065" s="81" t="s">
        <v>8261</v>
      </c>
      <c r="B6065" s="80" t="s">
        <v>9515</v>
      </c>
    </row>
    <row r="6066" spans="1:2" x14ac:dyDescent="0.25">
      <c r="A6066" s="81" t="s">
        <v>8262</v>
      </c>
      <c r="B6066" s="80" t="s">
        <v>9515</v>
      </c>
    </row>
    <row r="6067" spans="1:2" x14ac:dyDescent="0.25">
      <c r="A6067" s="81" t="s">
        <v>8263</v>
      </c>
      <c r="B6067" s="80" t="s">
        <v>9515</v>
      </c>
    </row>
    <row r="6068" spans="1:2" x14ac:dyDescent="0.25">
      <c r="A6068" s="81" t="s">
        <v>8264</v>
      </c>
      <c r="B6068" s="80" t="s">
        <v>9515</v>
      </c>
    </row>
    <row r="6069" spans="1:2" x14ac:dyDescent="0.25">
      <c r="A6069" s="81" t="s">
        <v>8265</v>
      </c>
      <c r="B6069" s="80" t="s">
        <v>9515</v>
      </c>
    </row>
    <row r="6070" spans="1:2" x14ac:dyDescent="0.25">
      <c r="A6070" s="81" t="s">
        <v>8266</v>
      </c>
      <c r="B6070" s="80" t="s">
        <v>9515</v>
      </c>
    </row>
    <row r="6071" spans="1:2" x14ac:dyDescent="0.25">
      <c r="A6071" s="81" t="s">
        <v>8267</v>
      </c>
      <c r="B6071" s="80" t="s">
        <v>9515</v>
      </c>
    </row>
    <row r="6072" spans="1:2" x14ac:dyDescent="0.25">
      <c r="A6072" s="81" t="s">
        <v>8268</v>
      </c>
      <c r="B6072" s="80" t="s">
        <v>9515</v>
      </c>
    </row>
    <row r="6073" spans="1:2" x14ac:dyDescent="0.25">
      <c r="A6073" s="81" t="s">
        <v>8269</v>
      </c>
      <c r="B6073" s="80" t="s">
        <v>9515</v>
      </c>
    </row>
    <row r="6074" spans="1:2" x14ac:dyDescent="0.25">
      <c r="A6074" s="81" t="s">
        <v>8270</v>
      </c>
      <c r="B6074" s="80" t="s">
        <v>9515</v>
      </c>
    </row>
    <row r="6075" spans="1:2" x14ac:dyDescent="0.25">
      <c r="A6075" s="81" t="s">
        <v>8271</v>
      </c>
      <c r="B6075" s="80" t="s">
        <v>9515</v>
      </c>
    </row>
    <row r="6076" spans="1:2" x14ac:dyDescent="0.25">
      <c r="A6076" s="81" t="s">
        <v>8272</v>
      </c>
      <c r="B6076" s="80" t="s">
        <v>9515</v>
      </c>
    </row>
    <row r="6077" spans="1:2" x14ac:dyDescent="0.25">
      <c r="A6077" s="81" t="s">
        <v>8273</v>
      </c>
      <c r="B6077" s="80" t="s">
        <v>9515</v>
      </c>
    </row>
    <row r="6078" spans="1:2" x14ac:dyDescent="0.25">
      <c r="A6078" s="81" t="s">
        <v>8274</v>
      </c>
      <c r="B6078" s="80" t="s">
        <v>9515</v>
      </c>
    </row>
    <row r="6079" spans="1:2" x14ac:dyDescent="0.25">
      <c r="A6079" s="81" t="s">
        <v>8275</v>
      </c>
      <c r="B6079" s="80" t="s">
        <v>9515</v>
      </c>
    </row>
    <row r="6080" spans="1:2" x14ac:dyDescent="0.25">
      <c r="A6080" s="81" t="s">
        <v>8276</v>
      </c>
      <c r="B6080" s="80" t="s">
        <v>9515</v>
      </c>
    </row>
    <row r="6081" spans="1:2" x14ac:dyDescent="0.25">
      <c r="A6081" s="81" t="s">
        <v>8277</v>
      </c>
      <c r="B6081" s="80" t="s">
        <v>9515</v>
      </c>
    </row>
    <row r="6082" spans="1:2" x14ac:dyDescent="0.25">
      <c r="A6082" s="81" t="s">
        <v>8278</v>
      </c>
      <c r="B6082" s="80" t="s">
        <v>9515</v>
      </c>
    </row>
    <row r="6083" spans="1:2" x14ac:dyDescent="0.25">
      <c r="A6083" s="81" t="s">
        <v>8279</v>
      </c>
      <c r="B6083" s="80" t="s">
        <v>9515</v>
      </c>
    </row>
    <row r="6084" spans="1:2" x14ac:dyDescent="0.25">
      <c r="A6084" s="81" t="s">
        <v>8280</v>
      </c>
      <c r="B6084" s="80" t="s">
        <v>9515</v>
      </c>
    </row>
    <row r="6085" spans="1:2" x14ac:dyDescent="0.25">
      <c r="A6085" s="81" t="s">
        <v>8281</v>
      </c>
      <c r="B6085" s="80" t="s">
        <v>9515</v>
      </c>
    </row>
    <row r="6086" spans="1:2" x14ac:dyDescent="0.25">
      <c r="A6086" s="81" t="s">
        <v>8282</v>
      </c>
      <c r="B6086" s="80" t="s">
        <v>9515</v>
      </c>
    </row>
    <row r="6087" spans="1:2" x14ac:dyDescent="0.25">
      <c r="A6087" s="81" t="s">
        <v>8283</v>
      </c>
      <c r="B6087" s="80" t="s">
        <v>9515</v>
      </c>
    </row>
    <row r="6088" spans="1:2" x14ac:dyDescent="0.25">
      <c r="A6088" s="81" t="s">
        <v>8284</v>
      </c>
      <c r="B6088" s="80" t="s">
        <v>9515</v>
      </c>
    </row>
    <row r="6089" spans="1:2" x14ac:dyDescent="0.25">
      <c r="A6089" s="81" t="s">
        <v>8285</v>
      </c>
      <c r="B6089" s="80" t="s">
        <v>9515</v>
      </c>
    </row>
    <row r="6090" spans="1:2" x14ac:dyDescent="0.25">
      <c r="A6090" s="81" t="s">
        <v>8286</v>
      </c>
      <c r="B6090" s="80" t="s">
        <v>9515</v>
      </c>
    </row>
    <row r="6091" spans="1:2" x14ac:dyDescent="0.25">
      <c r="A6091" s="81" t="s">
        <v>8287</v>
      </c>
      <c r="B6091" s="80" t="s">
        <v>9515</v>
      </c>
    </row>
    <row r="6092" spans="1:2" x14ac:dyDescent="0.25">
      <c r="A6092" s="81" t="s">
        <v>8288</v>
      </c>
      <c r="B6092" s="80" t="s">
        <v>9515</v>
      </c>
    </row>
    <row r="6093" spans="1:2" x14ac:dyDescent="0.25">
      <c r="A6093" s="81" t="s">
        <v>8289</v>
      </c>
      <c r="B6093" s="80" t="s">
        <v>9515</v>
      </c>
    </row>
    <row r="6094" spans="1:2" x14ac:dyDescent="0.25">
      <c r="A6094" s="81" t="s">
        <v>8290</v>
      </c>
      <c r="B6094" s="80" t="s">
        <v>9515</v>
      </c>
    </row>
    <row r="6095" spans="1:2" x14ac:dyDescent="0.25">
      <c r="A6095" s="81" t="s">
        <v>8291</v>
      </c>
      <c r="B6095" s="80" t="s">
        <v>9515</v>
      </c>
    </row>
    <row r="6096" spans="1:2" x14ac:dyDescent="0.25">
      <c r="A6096" s="81" t="s">
        <v>8292</v>
      </c>
      <c r="B6096" s="80" t="s">
        <v>9515</v>
      </c>
    </row>
    <row r="6097" spans="1:2" x14ac:dyDescent="0.25">
      <c r="A6097" s="81" t="s">
        <v>8293</v>
      </c>
      <c r="B6097" s="80" t="s">
        <v>9515</v>
      </c>
    </row>
    <row r="6098" spans="1:2" x14ac:dyDescent="0.25">
      <c r="A6098" s="81" t="s">
        <v>8294</v>
      </c>
      <c r="B6098" s="80" t="s">
        <v>9515</v>
      </c>
    </row>
    <row r="6099" spans="1:2" x14ac:dyDescent="0.25">
      <c r="A6099" s="81" t="s">
        <v>8295</v>
      </c>
      <c r="B6099" s="80" t="s">
        <v>9515</v>
      </c>
    </row>
    <row r="6100" spans="1:2" x14ac:dyDescent="0.25">
      <c r="A6100" s="81" t="s">
        <v>8296</v>
      </c>
      <c r="B6100" s="80" t="s">
        <v>9515</v>
      </c>
    </row>
    <row r="6101" spans="1:2" x14ac:dyDescent="0.25">
      <c r="A6101" s="81" t="s">
        <v>8297</v>
      </c>
      <c r="B6101" s="80" t="s">
        <v>9515</v>
      </c>
    </row>
    <row r="6102" spans="1:2" x14ac:dyDescent="0.25">
      <c r="A6102" s="81" t="s">
        <v>8298</v>
      </c>
      <c r="B6102" s="80" t="s">
        <v>9515</v>
      </c>
    </row>
    <row r="6103" spans="1:2" x14ac:dyDescent="0.25">
      <c r="A6103" s="81" t="s">
        <v>8299</v>
      </c>
      <c r="B6103" s="80" t="s">
        <v>9515</v>
      </c>
    </row>
    <row r="6104" spans="1:2" x14ac:dyDescent="0.25">
      <c r="A6104" s="81" t="s">
        <v>8300</v>
      </c>
      <c r="B6104" s="80" t="s">
        <v>9515</v>
      </c>
    </row>
    <row r="6105" spans="1:2" x14ac:dyDescent="0.25">
      <c r="A6105" s="81" t="s">
        <v>8301</v>
      </c>
      <c r="B6105" s="80" t="s">
        <v>9515</v>
      </c>
    </row>
    <row r="6106" spans="1:2" x14ac:dyDescent="0.25">
      <c r="A6106" s="81" t="s">
        <v>8302</v>
      </c>
      <c r="B6106" s="80" t="s">
        <v>9515</v>
      </c>
    </row>
    <row r="6107" spans="1:2" x14ac:dyDescent="0.25">
      <c r="A6107" s="81" t="s">
        <v>8303</v>
      </c>
      <c r="B6107" s="80" t="s">
        <v>9515</v>
      </c>
    </row>
    <row r="6108" spans="1:2" x14ac:dyDescent="0.25">
      <c r="A6108" s="81" t="s">
        <v>8304</v>
      </c>
      <c r="B6108" s="80" t="s">
        <v>9515</v>
      </c>
    </row>
    <row r="6109" spans="1:2" x14ac:dyDescent="0.25">
      <c r="A6109" s="81" t="s">
        <v>8305</v>
      </c>
      <c r="B6109" s="80" t="s">
        <v>9515</v>
      </c>
    </row>
    <row r="6110" spans="1:2" x14ac:dyDescent="0.25">
      <c r="A6110" s="81" t="s">
        <v>8306</v>
      </c>
      <c r="B6110" s="80" t="s">
        <v>9515</v>
      </c>
    </row>
    <row r="6111" spans="1:2" x14ac:dyDescent="0.25">
      <c r="A6111" s="81" t="s">
        <v>8307</v>
      </c>
      <c r="B6111" s="80" t="s">
        <v>9515</v>
      </c>
    </row>
    <row r="6112" spans="1:2" x14ac:dyDescent="0.25">
      <c r="A6112" s="81" t="s">
        <v>8308</v>
      </c>
      <c r="B6112" s="80" t="s">
        <v>9515</v>
      </c>
    </row>
    <row r="6113" spans="1:2" x14ac:dyDescent="0.25">
      <c r="A6113" s="81" t="s">
        <v>8309</v>
      </c>
      <c r="B6113" s="80" t="s">
        <v>9515</v>
      </c>
    </row>
    <row r="6114" spans="1:2" x14ac:dyDescent="0.25">
      <c r="A6114" s="81" t="s">
        <v>8310</v>
      </c>
      <c r="B6114" s="80" t="s">
        <v>9515</v>
      </c>
    </row>
    <row r="6115" spans="1:2" x14ac:dyDescent="0.25">
      <c r="A6115" s="81" t="s">
        <v>8311</v>
      </c>
      <c r="B6115" s="80" t="s">
        <v>9515</v>
      </c>
    </row>
    <row r="6116" spans="1:2" x14ac:dyDescent="0.25">
      <c r="A6116" s="81" t="s">
        <v>8312</v>
      </c>
      <c r="B6116" s="80" t="s">
        <v>9515</v>
      </c>
    </row>
    <row r="6117" spans="1:2" x14ac:dyDescent="0.25">
      <c r="A6117" s="81" t="s">
        <v>8313</v>
      </c>
      <c r="B6117" s="80" t="s">
        <v>9515</v>
      </c>
    </row>
    <row r="6118" spans="1:2" x14ac:dyDescent="0.25">
      <c r="A6118" s="81" t="s">
        <v>8314</v>
      </c>
      <c r="B6118" s="80" t="s">
        <v>9515</v>
      </c>
    </row>
    <row r="6119" spans="1:2" x14ac:dyDescent="0.25">
      <c r="A6119" s="81" t="s">
        <v>8315</v>
      </c>
      <c r="B6119" s="80" t="s">
        <v>9515</v>
      </c>
    </row>
    <row r="6120" spans="1:2" x14ac:dyDescent="0.25">
      <c r="A6120" s="81" t="s">
        <v>8316</v>
      </c>
      <c r="B6120" s="80" t="s">
        <v>9515</v>
      </c>
    </row>
    <row r="6121" spans="1:2" x14ac:dyDescent="0.25">
      <c r="A6121" s="81" t="s">
        <v>8317</v>
      </c>
      <c r="B6121" s="80" t="s">
        <v>9515</v>
      </c>
    </row>
    <row r="6122" spans="1:2" x14ac:dyDescent="0.25">
      <c r="A6122" s="81" t="s">
        <v>8318</v>
      </c>
      <c r="B6122" s="80" t="s">
        <v>9515</v>
      </c>
    </row>
    <row r="6123" spans="1:2" x14ac:dyDescent="0.25">
      <c r="A6123" s="81" t="s">
        <v>8319</v>
      </c>
      <c r="B6123" s="80" t="s">
        <v>9515</v>
      </c>
    </row>
    <row r="6124" spans="1:2" x14ac:dyDescent="0.25">
      <c r="A6124" s="81" t="s">
        <v>8320</v>
      </c>
      <c r="B6124" s="80" t="s">
        <v>9515</v>
      </c>
    </row>
    <row r="6125" spans="1:2" x14ac:dyDescent="0.25">
      <c r="A6125" s="81" t="s">
        <v>8321</v>
      </c>
      <c r="B6125" s="80" t="s">
        <v>9515</v>
      </c>
    </row>
    <row r="6126" spans="1:2" x14ac:dyDescent="0.25">
      <c r="A6126" s="81" t="s">
        <v>8322</v>
      </c>
      <c r="B6126" s="80" t="s">
        <v>9515</v>
      </c>
    </row>
    <row r="6127" spans="1:2" x14ac:dyDescent="0.25">
      <c r="A6127" s="81" t="s">
        <v>8323</v>
      </c>
      <c r="B6127" s="80" t="s">
        <v>9515</v>
      </c>
    </row>
    <row r="6128" spans="1:2" x14ac:dyDescent="0.25">
      <c r="A6128" s="81" t="s">
        <v>8324</v>
      </c>
      <c r="B6128" s="80" t="s">
        <v>9515</v>
      </c>
    </row>
    <row r="6129" spans="1:2" x14ac:dyDescent="0.25">
      <c r="A6129" s="81" t="s">
        <v>8325</v>
      </c>
      <c r="B6129" s="80" t="s">
        <v>9515</v>
      </c>
    </row>
    <row r="6130" spans="1:2" x14ac:dyDescent="0.25">
      <c r="A6130" s="81" t="s">
        <v>8326</v>
      </c>
      <c r="B6130" s="80" t="s">
        <v>9515</v>
      </c>
    </row>
    <row r="6131" spans="1:2" x14ac:dyDescent="0.25">
      <c r="A6131" s="81" t="s">
        <v>8327</v>
      </c>
      <c r="B6131" s="80" t="s">
        <v>9515</v>
      </c>
    </row>
    <row r="6132" spans="1:2" x14ac:dyDescent="0.25">
      <c r="A6132" s="81" t="s">
        <v>8328</v>
      </c>
      <c r="B6132" s="80" t="s">
        <v>9515</v>
      </c>
    </row>
    <row r="6133" spans="1:2" x14ac:dyDescent="0.25">
      <c r="A6133" s="81" t="s">
        <v>8329</v>
      </c>
      <c r="B6133" s="80" t="s">
        <v>9515</v>
      </c>
    </row>
    <row r="6134" spans="1:2" x14ac:dyDescent="0.25">
      <c r="A6134" s="81" t="s">
        <v>8330</v>
      </c>
      <c r="B6134" s="80" t="s">
        <v>9515</v>
      </c>
    </row>
    <row r="6135" spans="1:2" x14ac:dyDescent="0.25">
      <c r="A6135" s="81" t="s">
        <v>8331</v>
      </c>
      <c r="B6135" s="80" t="s">
        <v>9515</v>
      </c>
    </row>
    <row r="6136" spans="1:2" x14ac:dyDescent="0.25">
      <c r="A6136" s="81" t="s">
        <v>8332</v>
      </c>
      <c r="B6136" s="80" t="s">
        <v>9515</v>
      </c>
    </row>
    <row r="6137" spans="1:2" x14ac:dyDescent="0.25">
      <c r="A6137" s="81" t="s">
        <v>8333</v>
      </c>
      <c r="B6137" s="80" t="s">
        <v>9515</v>
      </c>
    </row>
    <row r="6138" spans="1:2" x14ac:dyDescent="0.25">
      <c r="A6138" s="81" t="s">
        <v>8334</v>
      </c>
      <c r="B6138" s="80" t="s">
        <v>9515</v>
      </c>
    </row>
    <row r="6139" spans="1:2" x14ac:dyDescent="0.25">
      <c r="A6139" s="81" t="s">
        <v>8335</v>
      </c>
      <c r="B6139" s="80" t="s">
        <v>9515</v>
      </c>
    </row>
    <row r="6140" spans="1:2" x14ac:dyDescent="0.25">
      <c r="A6140" s="81" t="s">
        <v>8336</v>
      </c>
      <c r="B6140" s="80" t="s">
        <v>9515</v>
      </c>
    </row>
    <row r="6141" spans="1:2" x14ac:dyDescent="0.25">
      <c r="A6141" s="81" t="s">
        <v>8337</v>
      </c>
      <c r="B6141" s="80" t="s">
        <v>9515</v>
      </c>
    </row>
    <row r="6142" spans="1:2" x14ac:dyDescent="0.25">
      <c r="A6142" s="81" t="s">
        <v>8338</v>
      </c>
      <c r="B6142" s="80" t="s">
        <v>9515</v>
      </c>
    </row>
    <row r="6143" spans="1:2" x14ac:dyDescent="0.25">
      <c r="A6143" s="81" t="s">
        <v>8339</v>
      </c>
      <c r="B6143" s="80" t="s">
        <v>9515</v>
      </c>
    </row>
    <row r="6144" spans="1:2" x14ac:dyDescent="0.25">
      <c r="A6144" s="81" t="s">
        <v>8340</v>
      </c>
      <c r="B6144" s="80" t="s">
        <v>9515</v>
      </c>
    </row>
    <row r="6145" spans="1:2" x14ac:dyDescent="0.25">
      <c r="A6145" s="81" t="s">
        <v>8341</v>
      </c>
      <c r="B6145" s="80" t="s">
        <v>9515</v>
      </c>
    </row>
    <row r="6146" spans="1:2" x14ac:dyDescent="0.25">
      <c r="A6146" s="81" t="s">
        <v>8342</v>
      </c>
      <c r="B6146" s="80" t="s">
        <v>9515</v>
      </c>
    </row>
    <row r="6147" spans="1:2" x14ac:dyDescent="0.25">
      <c r="A6147" s="81" t="s">
        <v>8343</v>
      </c>
      <c r="B6147" s="80" t="s">
        <v>9515</v>
      </c>
    </row>
    <row r="6148" spans="1:2" x14ac:dyDescent="0.25">
      <c r="A6148" s="81" t="s">
        <v>8344</v>
      </c>
      <c r="B6148" s="80" t="s">
        <v>9515</v>
      </c>
    </row>
    <row r="6149" spans="1:2" x14ac:dyDescent="0.25">
      <c r="A6149" s="81" t="s">
        <v>8345</v>
      </c>
      <c r="B6149" s="80" t="s">
        <v>9515</v>
      </c>
    </row>
    <row r="6150" spans="1:2" x14ac:dyDescent="0.25">
      <c r="A6150" s="81" t="s">
        <v>8346</v>
      </c>
      <c r="B6150" s="80" t="s">
        <v>9515</v>
      </c>
    </row>
    <row r="6151" spans="1:2" x14ac:dyDescent="0.25">
      <c r="A6151" s="81" t="s">
        <v>8347</v>
      </c>
      <c r="B6151" s="80" t="s">
        <v>9515</v>
      </c>
    </row>
    <row r="6152" spans="1:2" x14ac:dyDescent="0.25">
      <c r="A6152" s="81" t="s">
        <v>8348</v>
      </c>
      <c r="B6152" s="80" t="s">
        <v>9515</v>
      </c>
    </row>
    <row r="6153" spans="1:2" x14ac:dyDescent="0.25">
      <c r="A6153" s="81" t="s">
        <v>8349</v>
      </c>
      <c r="B6153" s="80" t="s">
        <v>9515</v>
      </c>
    </row>
    <row r="6154" spans="1:2" x14ac:dyDescent="0.25">
      <c r="A6154" s="81" t="s">
        <v>8350</v>
      </c>
      <c r="B6154" s="80" t="s">
        <v>9515</v>
      </c>
    </row>
    <row r="6155" spans="1:2" x14ac:dyDescent="0.25">
      <c r="A6155" s="81" t="s">
        <v>8351</v>
      </c>
      <c r="B6155" s="80" t="s">
        <v>9515</v>
      </c>
    </row>
    <row r="6156" spans="1:2" x14ac:dyDescent="0.25">
      <c r="A6156" s="81" t="s">
        <v>8352</v>
      </c>
      <c r="B6156" s="80" t="s">
        <v>9515</v>
      </c>
    </row>
    <row r="6157" spans="1:2" x14ac:dyDescent="0.25">
      <c r="A6157" s="81" t="s">
        <v>8353</v>
      </c>
      <c r="B6157" s="80" t="s">
        <v>9515</v>
      </c>
    </row>
    <row r="6158" spans="1:2" x14ac:dyDescent="0.25">
      <c r="A6158" s="81" t="s">
        <v>8354</v>
      </c>
      <c r="B6158" s="80" t="s">
        <v>9515</v>
      </c>
    </row>
    <row r="6159" spans="1:2" x14ac:dyDescent="0.25">
      <c r="A6159" s="81" t="s">
        <v>8355</v>
      </c>
      <c r="B6159" s="80" t="s">
        <v>9515</v>
      </c>
    </row>
    <row r="6160" spans="1:2" x14ac:dyDescent="0.25">
      <c r="A6160" s="81" t="s">
        <v>8356</v>
      </c>
      <c r="B6160" s="80" t="s">
        <v>9515</v>
      </c>
    </row>
    <row r="6161" spans="1:2" x14ac:dyDescent="0.25">
      <c r="A6161" s="81" t="s">
        <v>8357</v>
      </c>
      <c r="B6161" s="80" t="s">
        <v>9515</v>
      </c>
    </row>
    <row r="6162" spans="1:2" x14ac:dyDescent="0.25">
      <c r="A6162" s="81" t="s">
        <v>8358</v>
      </c>
      <c r="B6162" s="80" t="s">
        <v>9515</v>
      </c>
    </row>
    <row r="6163" spans="1:2" x14ac:dyDescent="0.25">
      <c r="A6163" s="81" t="s">
        <v>8359</v>
      </c>
      <c r="B6163" s="80" t="s">
        <v>9515</v>
      </c>
    </row>
    <row r="6164" spans="1:2" x14ac:dyDescent="0.25">
      <c r="A6164" s="81" t="s">
        <v>8360</v>
      </c>
      <c r="B6164" s="80" t="s">
        <v>9515</v>
      </c>
    </row>
    <row r="6165" spans="1:2" x14ac:dyDescent="0.25">
      <c r="A6165" s="81" t="s">
        <v>8361</v>
      </c>
      <c r="B6165" s="80" t="s">
        <v>9515</v>
      </c>
    </row>
    <row r="6166" spans="1:2" x14ac:dyDescent="0.25">
      <c r="A6166" s="81" t="s">
        <v>8362</v>
      </c>
      <c r="B6166" s="80" t="s">
        <v>9515</v>
      </c>
    </row>
    <row r="6167" spans="1:2" x14ac:dyDescent="0.25">
      <c r="A6167" s="81" t="s">
        <v>8363</v>
      </c>
      <c r="B6167" s="80" t="s">
        <v>9515</v>
      </c>
    </row>
    <row r="6168" spans="1:2" x14ac:dyDescent="0.25">
      <c r="A6168" s="81" t="s">
        <v>8364</v>
      </c>
      <c r="B6168" s="80" t="s">
        <v>9515</v>
      </c>
    </row>
    <row r="6169" spans="1:2" x14ac:dyDescent="0.25">
      <c r="A6169" s="81" t="s">
        <v>8365</v>
      </c>
      <c r="B6169" s="80" t="s">
        <v>9515</v>
      </c>
    </row>
    <row r="6170" spans="1:2" x14ac:dyDescent="0.25">
      <c r="A6170" s="81" t="s">
        <v>8366</v>
      </c>
      <c r="B6170" s="80" t="s">
        <v>9515</v>
      </c>
    </row>
    <row r="6171" spans="1:2" x14ac:dyDescent="0.25">
      <c r="A6171" s="81" t="s">
        <v>8367</v>
      </c>
      <c r="B6171" s="80" t="s">
        <v>9515</v>
      </c>
    </row>
    <row r="6172" spans="1:2" x14ac:dyDescent="0.25">
      <c r="A6172" s="81" t="s">
        <v>8368</v>
      </c>
      <c r="B6172" s="80" t="s">
        <v>9515</v>
      </c>
    </row>
    <row r="6173" spans="1:2" x14ac:dyDescent="0.25">
      <c r="A6173" s="81" t="s">
        <v>8369</v>
      </c>
      <c r="B6173" s="80" t="s">
        <v>9515</v>
      </c>
    </row>
    <row r="6174" spans="1:2" x14ac:dyDescent="0.25">
      <c r="A6174" s="81" t="s">
        <v>8370</v>
      </c>
      <c r="B6174" s="80" t="s">
        <v>9515</v>
      </c>
    </row>
    <row r="6175" spans="1:2" x14ac:dyDescent="0.25">
      <c r="A6175" s="81" t="s">
        <v>8371</v>
      </c>
      <c r="B6175" s="80" t="s">
        <v>9515</v>
      </c>
    </row>
    <row r="6176" spans="1:2" x14ac:dyDescent="0.25">
      <c r="A6176" s="81" t="s">
        <v>8372</v>
      </c>
      <c r="B6176" s="80" t="s">
        <v>9515</v>
      </c>
    </row>
    <row r="6177" spans="1:2" x14ac:dyDescent="0.25">
      <c r="A6177" s="81" t="s">
        <v>8373</v>
      </c>
      <c r="B6177" s="80" t="s">
        <v>9515</v>
      </c>
    </row>
    <row r="6178" spans="1:2" x14ac:dyDescent="0.25">
      <c r="A6178" s="81" t="s">
        <v>8374</v>
      </c>
      <c r="B6178" s="80" t="s">
        <v>9515</v>
      </c>
    </row>
    <row r="6179" spans="1:2" x14ac:dyDescent="0.25">
      <c r="A6179" s="81" t="s">
        <v>8375</v>
      </c>
      <c r="B6179" s="80" t="s">
        <v>9515</v>
      </c>
    </row>
    <row r="6180" spans="1:2" x14ac:dyDescent="0.25">
      <c r="A6180" s="81" t="s">
        <v>8376</v>
      </c>
      <c r="B6180" s="80" t="s">
        <v>9515</v>
      </c>
    </row>
    <row r="6181" spans="1:2" x14ac:dyDescent="0.25">
      <c r="A6181" s="81" t="s">
        <v>8377</v>
      </c>
      <c r="B6181" s="80" t="s">
        <v>9515</v>
      </c>
    </row>
    <row r="6182" spans="1:2" x14ac:dyDescent="0.25">
      <c r="A6182" s="81" t="s">
        <v>8378</v>
      </c>
      <c r="B6182" s="80" t="s">
        <v>9515</v>
      </c>
    </row>
    <row r="6183" spans="1:2" x14ac:dyDescent="0.25">
      <c r="A6183" s="81" t="s">
        <v>8379</v>
      </c>
      <c r="B6183" s="80" t="s">
        <v>9515</v>
      </c>
    </row>
    <row r="6184" spans="1:2" x14ac:dyDescent="0.25">
      <c r="A6184" s="81" t="s">
        <v>8380</v>
      </c>
      <c r="B6184" s="80" t="s">
        <v>9515</v>
      </c>
    </row>
    <row r="6185" spans="1:2" x14ac:dyDescent="0.25">
      <c r="A6185" s="81" t="s">
        <v>8381</v>
      </c>
      <c r="B6185" s="80" t="s">
        <v>9515</v>
      </c>
    </row>
    <row r="6186" spans="1:2" x14ac:dyDescent="0.25">
      <c r="A6186" s="81" t="s">
        <v>8382</v>
      </c>
      <c r="B6186" s="80" t="s">
        <v>9515</v>
      </c>
    </row>
    <row r="6187" spans="1:2" x14ac:dyDescent="0.25">
      <c r="A6187" s="81" t="s">
        <v>8383</v>
      </c>
      <c r="B6187" s="80" t="s">
        <v>9515</v>
      </c>
    </row>
    <row r="6188" spans="1:2" x14ac:dyDescent="0.25">
      <c r="A6188" s="81" t="s">
        <v>8384</v>
      </c>
      <c r="B6188" s="80" t="s">
        <v>9515</v>
      </c>
    </row>
    <row r="6189" spans="1:2" x14ac:dyDescent="0.25">
      <c r="A6189" s="81" t="s">
        <v>8385</v>
      </c>
      <c r="B6189" s="80" t="s">
        <v>9515</v>
      </c>
    </row>
    <row r="6190" spans="1:2" x14ac:dyDescent="0.25">
      <c r="A6190" s="81" t="s">
        <v>8386</v>
      </c>
      <c r="B6190" s="80" t="s">
        <v>9515</v>
      </c>
    </row>
    <row r="6191" spans="1:2" x14ac:dyDescent="0.25">
      <c r="A6191" s="81" t="s">
        <v>8387</v>
      </c>
      <c r="B6191" s="80" t="s">
        <v>9515</v>
      </c>
    </row>
    <row r="6192" spans="1:2" x14ac:dyDescent="0.25">
      <c r="A6192" s="81" t="s">
        <v>8388</v>
      </c>
      <c r="B6192" s="80" t="s">
        <v>9515</v>
      </c>
    </row>
    <row r="6193" spans="1:2" x14ac:dyDescent="0.25">
      <c r="A6193" s="81" t="s">
        <v>8389</v>
      </c>
      <c r="B6193" s="80" t="s">
        <v>9515</v>
      </c>
    </row>
    <row r="6194" spans="1:2" x14ac:dyDescent="0.25">
      <c r="A6194" s="81" t="s">
        <v>8390</v>
      </c>
      <c r="B6194" s="80" t="s">
        <v>9515</v>
      </c>
    </row>
    <row r="6195" spans="1:2" x14ac:dyDescent="0.25">
      <c r="A6195" s="81" t="s">
        <v>8391</v>
      </c>
      <c r="B6195" s="80" t="s">
        <v>9515</v>
      </c>
    </row>
    <row r="6196" spans="1:2" x14ac:dyDescent="0.25">
      <c r="A6196" s="81" t="s">
        <v>8392</v>
      </c>
      <c r="B6196" s="80" t="s">
        <v>9515</v>
      </c>
    </row>
    <row r="6197" spans="1:2" x14ac:dyDescent="0.25">
      <c r="A6197" s="81" t="s">
        <v>8393</v>
      </c>
      <c r="B6197" s="80" t="s">
        <v>9515</v>
      </c>
    </row>
    <row r="6198" spans="1:2" x14ac:dyDescent="0.25">
      <c r="A6198" s="81" t="s">
        <v>8394</v>
      </c>
      <c r="B6198" s="80" t="s">
        <v>9515</v>
      </c>
    </row>
    <row r="6199" spans="1:2" x14ac:dyDescent="0.25">
      <c r="A6199" s="81" t="s">
        <v>8395</v>
      </c>
      <c r="B6199" s="80" t="s">
        <v>9515</v>
      </c>
    </row>
    <row r="6200" spans="1:2" x14ac:dyDescent="0.25">
      <c r="A6200" s="81" t="s">
        <v>8396</v>
      </c>
      <c r="B6200" s="80" t="s">
        <v>9515</v>
      </c>
    </row>
    <row r="6201" spans="1:2" x14ac:dyDescent="0.25">
      <c r="A6201" s="81" t="s">
        <v>8397</v>
      </c>
      <c r="B6201" s="80" t="s">
        <v>9515</v>
      </c>
    </row>
    <row r="6202" spans="1:2" x14ac:dyDescent="0.25">
      <c r="A6202" s="81" t="s">
        <v>8398</v>
      </c>
      <c r="B6202" s="80" t="s">
        <v>9515</v>
      </c>
    </row>
    <row r="6203" spans="1:2" x14ac:dyDescent="0.25">
      <c r="A6203" s="81" t="s">
        <v>8399</v>
      </c>
      <c r="B6203" s="80" t="s">
        <v>9515</v>
      </c>
    </row>
    <row r="6204" spans="1:2" x14ac:dyDescent="0.25">
      <c r="A6204" s="81" t="s">
        <v>8400</v>
      </c>
      <c r="B6204" s="80" t="s">
        <v>9515</v>
      </c>
    </row>
    <row r="6205" spans="1:2" x14ac:dyDescent="0.25">
      <c r="A6205" s="81" t="s">
        <v>8401</v>
      </c>
      <c r="B6205" s="80" t="s">
        <v>9515</v>
      </c>
    </row>
    <row r="6206" spans="1:2" x14ac:dyDescent="0.25">
      <c r="A6206" s="81" t="s">
        <v>8402</v>
      </c>
      <c r="B6206" s="80" t="s">
        <v>9515</v>
      </c>
    </row>
    <row r="6207" spans="1:2" x14ac:dyDescent="0.25">
      <c r="A6207" s="81" t="s">
        <v>8403</v>
      </c>
      <c r="B6207" s="80" t="s">
        <v>9515</v>
      </c>
    </row>
    <row r="6208" spans="1:2" x14ac:dyDescent="0.25">
      <c r="A6208" s="81" t="s">
        <v>8404</v>
      </c>
      <c r="B6208" s="80" t="s">
        <v>9515</v>
      </c>
    </row>
    <row r="6209" spans="1:2" x14ac:dyDescent="0.25">
      <c r="A6209" s="81" t="s">
        <v>8405</v>
      </c>
      <c r="B6209" s="80" t="s">
        <v>9515</v>
      </c>
    </row>
    <row r="6210" spans="1:2" x14ac:dyDescent="0.25">
      <c r="A6210" s="81" t="s">
        <v>8406</v>
      </c>
      <c r="B6210" s="80" t="s">
        <v>9515</v>
      </c>
    </row>
    <row r="6211" spans="1:2" x14ac:dyDescent="0.25">
      <c r="A6211" s="81" t="s">
        <v>8407</v>
      </c>
      <c r="B6211" s="80" t="s">
        <v>9515</v>
      </c>
    </row>
    <row r="6212" spans="1:2" x14ac:dyDescent="0.25">
      <c r="A6212" s="81" t="s">
        <v>8408</v>
      </c>
      <c r="B6212" s="80" t="s">
        <v>9515</v>
      </c>
    </row>
    <row r="6213" spans="1:2" x14ac:dyDescent="0.25">
      <c r="A6213" s="81" t="s">
        <v>8409</v>
      </c>
      <c r="B6213" s="80" t="s">
        <v>9515</v>
      </c>
    </row>
    <row r="6214" spans="1:2" x14ac:dyDescent="0.25">
      <c r="A6214" s="81" t="s">
        <v>8410</v>
      </c>
      <c r="B6214" s="80" t="s">
        <v>9515</v>
      </c>
    </row>
    <row r="6215" spans="1:2" x14ac:dyDescent="0.25">
      <c r="A6215" s="81" t="s">
        <v>8411</v>
      </c>
      <c r="B6215" s="80" t="s">
        <v>9515</v>
      </c>
    </row>
    <row r="6216" spans="1:2" x14ac:dyDescent="0.25">
      <c r="A6216" s="81" t="s">
        <v>8412</v>
      </c>
      <c r="B6216" s="80" t="s">
        <v>9515</v>
      </c>
    </row>
    <row r="6217" spans="1:2" x14ac:dyDescent="0.25">
      <c r="A6217" s="81" t="s">
        <v>8413</v>
      </c>
      <c r="B6217" s="80" t="s">
        <v>9515</v>
      </c>
    </row>
    <row r="6218" spans="1:2" x14ac:dyDescent="0.25">
      <c r="A6218" s="81" t="s">
        <v>8414</v>
      </c>
      <c r="B6218" s="80" t="s">
        <v>9515</v>
      </c>
    </row>
    <row r="6219" spans="1:2" x14ac:dyDescent="0.25">
      <c r="A6219" s="81" t="s">
        <v>8415</v>
      </c>
      <c r="B6219" s="80" t="s">
        <v>9515</v>
      </c>
    </row>
    <row r="6220" spans="1:2" x14ac:dyDescent="0.25">
      <c r="A6220" s="81" t="s">
        <v>8416</v>
      </c>
      <c r="B6220" s="80" t="s">
        <v>9515</v>
      </c>
    </row>
    <row r="6221" spans="1:2" x14ac:dyDescent="0.25">
      <c r="A6221" s="81" t="s">
        <v>8417</v>
      </c>
      <c r="B6221" s="80" t="s">
        <v>9515</v>
      </c>
    </row>
    <row r="6222" spans="1:2" x14ac:dyDescent="0.25">
      <c r="A6222" s="81" t="s">
        <v>8418</v>
      </c>
      <c r="B6222" s="80" t="s">
        <v>9515</v>
      </c>
    </row>
    <row r="6223" spans="1:2" x14ac:dyDescent="0.25">
      <c r="A6223" s="81" t="s">
        <v>8419</v>
      </c>
      <c r="B6223" s="80" t="s">
        <v>9515</v>
      </c>
    </row>
    <row r="6224" spans="1:2" x14ac:dyDescent="0.25">
      <c r="A6224" s="81" t="s">
        <v>8420</v>
      </c>
      <c r="B6224" s="80" t="s">
        <v>9515</v>
      </c>
    </row>
    <row r="6225" spans="1:2" x14ac:dyDescent="0.25">
      <c r="A6225" s="81" t="s">
        <v>8421</v>
      </c>
      <c r="B6225" s="80" t="s">
        <v>9515</v>
      </c>
    </row>
    <row r="6226" spans="1:2" x14ac:dyDescent="0.25">
      <c r="A6226" s="81" t="s">
        <v>8422</v>
      </c>
      <c r="B6226" s="80" t="s">
        <v>9515</v>
      </c>
    </row>
    <row r="6227" spans="1:2" x14ac:dyDescent="0.25">
      <c r="A6227" s="81" t="s">
        <v>8423</v>
      </c>
      <c r="B6227" s="80" t="s">
        <v>9515</v>
      </c>
    </row>
    <row r="6228" spans="1:2" x14ac:dyDescent="0.25">
      <c r="A6228" s="81" t="s">
        <v>8424</v>
      </c>
      <c r="B6228" s="80" t="s">
        <v>9515</v>
      </c>
    </row>
    <row r="6229" spans="1:2" x14ac:dyDescent="0.25">
      <c r="A6229" s="81" t="s">
        <v>8425</v>
      </c>
      <c r="B6229" s="80" t="s">
        <v>9515</v>
      </c>
    </row>
    <row r="6230" spans="1:2" x14ac:dyDescent="0.25">
      <c r="A6230" s="81" t="s">
        <v>8426</v>
      </c>
      <c r="B6230" s="80" t="s">
        <v>9515</v>
      </c>
    </row>
    <row r="6231" spans="1:2" x14ac:dyDescent="0.25">
      <c r="A6231" s="81" t="s">
        <v>8427</v>
      </c>
      <c r="B6231" s="80" t="s">
        <v>9515</v>
      </c>
    </row>
    <row r="6232" spans="1:2" x14ac:dyDescent="0.25">
      <c r="A6232" s="81" t="s">
        <v>8428</v>
      </c>
      <c r="B6232" s="80" t="s">
        <v>9515</v>
      </c>
    </row>
    <row r="6233" spans="1:2" x14ac:dyDescent="0.25">
      <c r="A6233" s="81" t="s">
        <v>8429</v>
      </c>
      <c r="B6233" s="80" t="s">
        <v>9515</v>
      </c>
    </row>
    <row r="6234" spans="1:2" x14ac:dyDescent="0.25">
      <c r="A6234" s="81" t="s">
        <v>8430</v>
      </c>
      <c r="B6234" s="80" t="s">
        <v>9515</v>
      </c>
    </row>
    <row r="6235" spans="1:2" x14ac:dyDescent="0.25">
      <c r="A6235" s="81" t="s">
        <v>8431</v>
      </c>
      <c r="B6235" s="80" t="s">
        <v>9515</v>
      </c>
    </row>
    <row r="6236" spans="1:2" x14ac:dyDescent="0.25">
      <c r="A6236" s="81" t="s">
        <v>8432</v>
      </c>
      <c r="B6236" s="80" t="s">
        <v>9515</v>
      </c>
    </row>
    <row r="6237" spans="1:2" x14ac:dyDescent="0.25">
      <c r="A6237" s="81" t="s">
        <v>8433</v>
      </c>
      <c r="B6237" s="80" t="s">
        <v>9515</v>
      </c>
    </row>
    <row r="6238" spans="1:2" x14ac:dyDescent="0.25">
      <c r="A6238" s="81" t="s">
        <v>8434</v>
      </c>
      <c r="B6238" s="80" t="s">
        <v>9515</v>
      </c>
    </row>
    <row r="6239" spans="1:2" x14ac:dyDescent="0.25">
      <c r="A6239" s="81" t="s">
        <v>8435</v>
      </c>
      <c r="B6239" s="80" t="s">
        <v>9515</v>
      </c>
    </row>
    <row r="6240" spans="1:2" x14ac:dyDescent="0.25">
      <c r="A6240" s="81" t="s">
        <v>8436</v>
      </c>
      <c r="B6240" s="80" t="s">
        <v>9515</v>
      </c>
    </row>
    <row r="6241" spans="1:2" x14ac:dyDescent="0.25">
      <c r="A6241" s="81" t="s">
        <v>8437</v>
      </c>
      <c r="B6241" s="80" t="s">
        <v>9515</v>
      </c>
    </row>
    <row r="6242" spans="1:2" x14ac:dyDescent="0.25">
      <c r="A6242" s="81" t="s">
        <v>8438</v>
      </c>
      <c r="B6242" s="80" t="s">
        <v>9515</v>
      </c>
    </row>
    <row r="6243" spans="1:2" x14ac:dyDescent="0.25">
      <c r="A6243" s="81" t="s">
        <v>8439</v>
      </c>
      <c r="B6243" s="80" t="s">
        <v>9515</v>
      </c>
    </row>
    <row r="6244" spans="1:2" x14ac:dyDescent="0.25">
      <c r="A6244" s="81" t="s">
        <v>8440</v>
      </c>
      <c r="B6244" s="80" t="s">
        <v>9515</v>
      </c>
    </row>
    <row r="6245" spans="1:2" x14ac:dyDescent="0.25">
      <c r="A6245" s="81" t="s">
        <v>8441</v>
      </c>
      <c r="B6245" s="80" t="s">
        <v>9515</v>
      </c>
    </row>
    <row r="6246" spans="1:2" x14ac:dyDescent="0.25">
      <c r="A6246" s="81" t="s">
        <v>8442</v>
      </c>
      <c r="B6246" s="80" t="s">
        <v>9515</v>
      </c>
    </row>
    <row r="6247" spans="1:2" x14ac:dyDescent="0.25">
      <c r="A6247" s="81" t="s">
        <v>8443</v>
      </c>
      <c r="B6247" s="80" t="s">
        <v>9515</v>
      </c>
    </row>
    <row r="6248" spans="1:2" x14ac:dyDescent="0.25">
      <c r="A6248" s="81" t="s">
        <v>8444</v>
      </c>
      <c r="B6248" s="80" t="s">
        <v>9515</v>
      </c>
    </row>
    <row r="6249" spans="1:2" x14ac:dyDescent="0.25">
      <c r="A6249" s="81" t="s">
        <v>8445</v>
      </c>
      <c r="B6249" s="80" t="s">
        <v>9515</v>
      </c>
    </row>
    <row r="6250" spans="1:2" x14ac:dyDescent="0.25">
      <c r="A6250" s="81" t="s">
        <v>8446</v>
      </c>
      <c r="B6250" s="80" t="s">
        <v>9515</v>
      </c>
    </row>
    <row r="6251" spans="1:2" x14ac:dyDescent="0.25">
      <c r="A6251" s="81" t="s">
        <v>8447</v>
      </c>
      <c r="B6251" s="80" t="s">
        <v>9515</v>
      </c>
    </row>
    <row r="6252" spans="1:2" x14ac:dyDescent="0.25">
      <c r="A6252" s="81" t="s">
        <v>8448</v>
      </c>
      <c r="B6252" s="80" t="s">
        <v>9515</v>
      </c>
    </row>
    <row r="6253" spans="1:2" x14ac:dyDescent="0.25">
      <c r="A6253" s="81" t="s">
        <v>8449</v>
      </c>
      <c r="B6253" s="80" t="s">
        <v>9515</v>
      </c>
    </row>
    <row r="6254" spans="1:2" x14ac:dyDescent="0.25">
      <c r="A6254" s="81" t="s">
        <v>8450</v>
      </c>
      <c r="B6254" s="80" t="s">
        <v>9515</v>
      </c>
    </row>
    <row r="6255" spans="1:2" x14ac:dyDescent="0.25">
      <c r="A6255" s="81" t="s">
        <v>8451</v>
      </c>
      <c r="B6255" s="80" t="s">
        <v>9515</v>
      </c>
    </row>
    <row r="6256" spans="1:2" x14ac:dyDescent="0.25">
      <c r="A6256" s="81" t="s">
        <v>8452</v>
      </c>
      <c r="B6256" s="80" t="s">
        <v>9515</v>
      </c>
    </row>
    <row r="6257" spans="1:2" x14ac:dyDescent="0.25">
      <c r="A6257" s="81" t="s">
        <v>8453</v>
      </c>
      <c r="B6257" s="80" t="s">
        <v>9515</v>
      </c>
    </row>
    <row r="6258" spans="1:2" x14ac:dyDescent="0.25">
      <c r="A6258" s="81" t="s">
        <v>8454</v>
      </c>
      <c r="B6258" s="80" t="s">
        <v>9515</v>
      </c>
    </row>
    <row r="6259" spans="1:2" x14ac:dyDescent="0.25">
      <c r="A6259" s="81" t="s">
        <v>8455</v>
      </c>
      <c r="B6259" s="80" t="s">
        <v>9515</v>
      </c>
    </row>
    <row r="6260" spans="1:2" x14ac:dyDescent="0.25">
      <c r="A6260" s="81" t="s">
        <v>8456</v>
      </c>
      <c r="B6260" s="80" t="s">
        <v>9515</v>
      </c>
    </row>
    <row r="6261" spans="1:2" x14ac:dyDescent="0.25">
      <c r="A6261" s="81" t="s">
        <v>8457</v>
      </c>
      <c r="B6261" s="80" t="s">
        <v>9515</v>
      </c>
    </row>
    <row r="6262" spans="1:2" x14ac:dyDescent="0.25">
      <c r="A6262" s="81" t="s">
        <v>8458</v>
      </c>
      <c r="B6262" s="80" t="s">
        <v>9515</v>
      </c>
    </row>
    <row r="6263" spans="1:2" x14ac:dyDescent="0.25">
      <c r="A6263" s="81" t="s">
        <v>8459</v>
      </c>
      <c r="B6263" s="80" t="s">
        <v>9515</v>
      </c>
    </row>
    <row r="6264" spans="1:2" x14ac:dyDescent="0.25">
      <c r="A6264" s="81" t="s">
        <v>8460</v>
      </c>
      <c r="B6264" s="80" t="s">
        <v>9515</v>
      </c>
    </row>
    <row r="6265" spans="1:2" x14ac:dyDescent="0.25">
      <c r="A6265" s="81" t="s">
        <v>8461</v>
      </c>
      <c r="B6265" s="80" t="s">
        <v>9515</v>
      </c>
    </row>
    <row r="6266" spans="1:2" x14ac:dyDescent="0.25">
      <c r="A6266" s="81" t="s">
        <v>8462</v>
      </c>
      <c r="B6266" s="80" t="s">
        <v>9515</v>
      </c>
    </row>
    <row r="6267" spans="1:2" x14ac:dyDescent="0.25">
      <c r="A6267" s="81" t="s">
        <v>8463</v>
      </c>
      <c r="B6267" s="80" t="s">
        <v>9515</v>
      </c>
    </row>
    <row r="6268" spans="1:2" x14ac:dyDescent="0.25">
      <c r="A6268" s="81" t="s">
        <v>8464</v>
      </c>
      <c r="B6268" s="80" t="s">
        <v>9515</v>
      </c>
    </row>
    <row r="6269" spans="1:2" x14ac:dyDescent="0.25">
      <c r="A6269" s="81" t="s">
        <v>8465</v>
      </c>
      <c r="B6269" s="80" t="s">
        <v>9515</v>
      </c>
    </row>
    <row r="6270" spans="1:2" x14ac:dyDescent="0.25">
      <c r="A6270" s="81" t="s">
        <v>8466</v>
      </c>
      <c r="B6270" s="80" t="s">
        <v>9515</v>
      </c>
    </row>
    <row r="6271" spans="1:2" x14ac:dyDescent="0.25">
      <c r="A6271" s="81" t="s">
        <v>8467</v>
      </c>
      <c r="B6271" s="80" t="s">
        <v>9515</v>
      </c>
    </row>
    <row r="6272" spans="1:2" x14ac:dyDescent="0.25">
      <c r="A6272" s="81" t="s">
        <v>8468</v>
      </c>
      <c r="B6272" s="80" t="s">
        <v>9515</v>
      </c>
    </row>
    <row r="6273" spans="1:2" x14ac:dyDescent="0.25">
      <c r="A6273" s="81" t="s">
        <v>8469</v>
      </c>
      <c r="B6273" s="80" t="s">
        <v>9515</v>
      </c>
    </row>
    <row r="6274" spans="1:2" x14ac:dyDescent="0.25">
      <c r="A6274" s="81" t="s">
        <v>8470</v>
      </c>
      <c r="B6274" s="80" t="s">
        <v>9515</v>
      </c>
    </row>
    <row r="6275" spans="1:2" x14ac:dyDescent="0.25">
      <c r="A6275" s="81" t="s">
        <v>8471</v>
      </c>
      <c r="B6275" s="80" t="s">
        <v>9515</v>
      </c>
    </row>
    <row r="6276" spans="1:2" x14ac:dyDescent="0.25">
      <c r="A6276" s="81" t="s">
        <v>8472</v>
      </c>
      <c r="B6276" s="80" t="s">
        <v>9515</v>
      </c>
    </row>
    <row r="6277" spans="1:2" x14ac:dyDescent="0.25">
      <c r="A6277" s="81" t="s">
        <v>8473</v>
      </c>
      <c r="B6277" s="80" t="s">
        <v>9515</v>
      </c>
    </row>
    <row r="6278" spans="1:2" x14ac:dyDescent="0.25">
      <c r="A6278" s="81" t="s">
        <v>8474</v>
      </c>
      <c r="B6278" s="80" t="s">
        <v>9515</v>
      </c>
    </row>
    <row r="6279" spans="1:2" x14ac:dyDescent="0.25">
      <c r="A6279" s="81" t="s">
        <v>8475</v>
      </c>
      <c r="B6279" s="80" t="s">
        <v>9515</v>
      </c>
    </row>
    <row r="6280" spans="1:2" x14ac:dyDescent="0.25">
      <c r="A6280" s="81" t="s">
        <v>8476</v>
      </c>
      <c r="B6280" s="80" t="s">
        <v>9515</v>
      </c>
    </row>
    <row r="6281" spans="1:2" x14ac:dyDescent="0.25">
      <c r="A6281" s="81" t="s">
        <v>8477</v>
      </c>
      <c r="B6281" s="80" t="s">
        <v>9515</v>
      </c>
    </row>
    <row r="6282" spans="1:2" x14ac:dyDescent="0.25">
      <c r="A6282" s="81" t="s">
        <v>8478</v>
      </c>
      <c r="B6282" s="80" t="s">
        <v>9515</v>
      </c>
    </row>
    <row r="6283" spans="1:2" x14ac:dyDescent="0.25">
      <c r="A6283" s="81" t="s">
        <v>8479</v>
      </c>
      <c r="B6283" s="80" t="s">
        <v>9515</v>
      </c>
    </row>
    <row r="6284" spans="1:2" x14ac:dyDescent="0.25">
      <c r="A6284" s="81" t="s">
        <v>8480</v>
      </c>
      <c r="B6284" s="80" t="s">
        <v>9515</v>
      </c>
    </row>
    <row r="6285" spans="1:2" x14ac:dyDescent="0.25">
      <c r="A6285" s="81" t="s">
        <v>8481</v>
      </c>
      <c r="B6285" s="80" t="s">
        <v>9515</v>
      </c>
    </row>
    <row r="6286" spans="1:2" x14ac:dyDescent="0.25">
      <c r="A6286" s="81" t="s">
        <v>8482</v>
      </c>
      <c r="B6286" s="80" t="s">
        <v>9515</v>
      </c>
    </row>
    <row r="6287" spans="1:2" x14ac:dyDescent="0.25">
      <c r="A6287" s="81" t="s">
        <v>8483</v>
      </c>
      <c r="B6287" s="80" t="s">
        <v>9515</v>
      </c>
    </row>
    <row r="6288" spans="1:2" x14ac:dyDescent="0.25">
      <c r="A6288" s="81" t="s">
        <v>8484</v>
      </c>
      <c r="B6288" s="80" t="s">
        <v>9515</v>
      </c>
    </row>
    <row r="6289" spans="1:2" x14ac:dyDescent="0.25">
      <c r="A6289" s="81" t="s">
        <v>8485</v>
      </c>
      <c r="B6289" s="80" t="s">
        <v>9515</v>
      </c>
    </row>
    <row r="6290" spans="1:2" x14ac:dyDescent="0.25">
      <c r="A6290" s="81" t="s">
        <v>8486</v>
      </c>
      <c r="B6290" s="80" t="s">
        <v>9515</v>
      </c>
    </row>
    <row r="6291" spans="1:2" x14ac:dyDescent="0.25">
      <c r="A6291" s="81" t="s">
        <v>8487</v>
      </c>
      <c r="B6291" s="80" t="s">
        <v>9515</v>
      </c>
    </row>
    <row r="6292" spans="1:2" x14ac:dyDescent="0.25">
      <c r="A6292" s="81" t="s">
        <v>8488</v>
      </c>
      <c r="B6292" s="80" t="s">
        <v>9515</v>
      </c>
    </row>
    <row r="6293" spans="1:2" x14ac:dyDescent="0.25">
      <c r="A6293" s="81" t="s">
        <v>8489</v>
      </c>
      <c r="B6293" s="80" t="s">
        <v>9515</v>
      </c>
    </row>
    <row r="6294" spans="1:2" x14ac:dyDescent="0.25">
      <c r="A6294" s="81" t="s">
        <v>8490</v>
      </c>
      <c r="B6294" s="80" t="s">
        <v>9515</v>
      </c>
    </row>
    <row r="6295" spans="1:2" x14ac:dyDescent="0.25">
      <c r="A6295" s="81" t="s">
        <v>8491</v>
      </c>
      <c r="B6295" s="80" t="s">
        <v>9515</v>
      </c>
    </row>
    <row r="6296" spans="1:2" x14ac:dyDescent="0.25">
      <c r="A6296" s="81" t="s">
        <v>8492</v>
      </c>
      <c r="B6296" s="80" t="s">
        <v>9515</v>
      </c>
    </row>
    <row r="6297" spans="1:2" x14ac:dyDescent="0.25">
      <c r="A6297" s="81" t="s">
        <v>8493</v>
      </c>
      <c r="B6297" s="80" t="s">
        <v>9515</v>
      </c>
    </row>
    <row r="6298" spans="1:2" x14ac:dyDescent="0.25">
      <c r="A6298" s="81" t="s">
        <v>8494</v>
      </c>
      <c r="B6298" s="80" t="s">
        <v>9515</v>
      </c>
    </row>
    <row r="6299" spans="1:2" x14ac:dyDescent="0.25">
      <c r="A6299" s="81" t="s">
        <v>8495</v>
      </c>
      <c r="B6299" s="80" t="s">
        <v>9515</v>
      </c>
    </row>
    <row r="6300" spans="1:2" x14ac:dyDescent="0.25">
      <c r="A6300" s="81" t="s">
        <v>8496</v>
      </c>
      <c r="B6300" s="80" t="s">
        <v>9515</v>
      </c>
    </row>
    <row r="6301" spans="1:2" x14ac:dyDescent="0.25">
      <c r="A6301" s="81" t="s">
        <v>8497</v>
      </c>
      <c r="B6301" s="80" t="s">
        <v>9515</v>
      </c>
    </row>
    <row r="6302" spans="1:2" x14ac:dyDescent="0.25">
      <c r="A6302" s="81" t="s">
        <v>8498</v>
      </c>
      <c r="B6302" s="80" t="s">
        <v>9515</v>
      </c>
    </row>
    <row r="6303" spans="1:2" x14ac:dyDescent="0.25">
      <c r="A6303" s="81" t="s">
        <v>8499</v>
      </c>
      <c r="B6303" s="80" t="s">
        <v>9515</v>
      </c>
    </row>
    <row r="6304" spans="1:2" x14ac:dyDescent="0.25">
      <c r="A6304" s="81" t="s">
        <v>8500</v>
      </c>
      <c r="B6304" s="80" t="s">
        <v>9515</v>
      </c>
    </row>
    <row r="6305" spans="1:2" x14ac:dyDescent="0.25">
      <c r="A6305" s="81" t="s">
        <v>8501</v>
      </c>
      <c r="B6305" s="80" t="s">
        <v>9515</v>
      </c>
    </row>
    <row r="6306" spans="1:2" x14ac:dyDescent="0.25">
      <c r="A6306" s="81" t="s">
        <v>8502</v>
      </c>
      <c r="B6306" s="80" t="s">
        <v>9515</v>
      </c>
    </row>
    <row r="6307" spans="1:2" x14ac:dyDescent="0.25">
      <c r="A6307" s="81" t="s">
        <v>8503</v>
      </c>
      <c r="B6307" s="80" t="s">
        <v>9515</v>
      </c>
    </row>
    <row r="6308" spans="1:2" x14ac:dyDescent="0.25">
      <c r="A6308" s="81" t="s">
        <v>8504</v>
      </c>
      <c r="B6308" s="80" t="s">
        <v>9515</v>
      </c>
    </row>
    <row r="6309" spans="1:2" x14ac:dyDescent="0.25">
      <c r="A6309" s="81" t="s">
        <v>8505</v>
      </c>
      <c r="B6309" s="80" t="s">
        <v>9515</v>
      </c>
    </row>
    <row r="6310" spans="1:2" x14ac:dyDescent="0.25">
      <c r="A6310" s="81" t="s">
        <v>8506</v>
      </c>
      <c r="B6310" s="80" t="s">
        <v>9515</v>
      </c>
    </row>
    <row r="6311" spans="1:2" x14ac:dyDescent="0.25">
      <c r="A6311" s="81" t="s">
        <v>8507</v>
      </c>
      <c r="B6311" s="80" t="s">
        <v>9515</v>
      </c>
    </row>
    <row r="6312" spans="1:2" x14ac:dyDescent="0.25">
      <c r="A6312" s="81" t="s">
        <v>8508</v>
      </c>
      <c r="B6312" s="80" t="s">
        <v>9515</v>
      </c>
    </row>
    <row r="6313" spans="1:2" x14ac:dyDescent="0.25">
      <c r="A6313" s="81" t="s">
        <v>8509</v>
      </c>
      <c r="B6313" s="80" t="s">
        <v>9515</v>
      </c>
    </row>
    <row r="6314" spans="1:2" x14ac:dyDescent="0.25">
      <c r="A6314" s="81" t="s">
        <v>8510</v>
      </c>
      <c r="B6314" s="80" t="s">
        <v>9515</v>
      </c>
    </row>
    <row r="6315" spans="1:2" x14ac:dyDescent="0.25">
      <c r="A6315" s="81" t="s">
        <v>8511</v>
      </c>
      <c r="B6315" s="80" t="s">
        <v>9515</v>
      </c>
    </row>
    <row r="6316" spans="1:2" x14ac:dyDescent="0.25">
      <c r="A6316" s="81" t="s">
        <v>8512</v>
      </c>
      <c r="B6316" s="80" t="s">
        <v>9515</v>
      </c>
    </row>
    <row r="6317" spans="1:2" x14ac:dyDescent="0.25">
      <c r="A6317" s="81" t="s">
        <v>8513</v>
      </c>
      <c r="B6317" s="80" t="s">
        <v>9515</v>
      </c>
    </row>
    <row r="6318" spans="1:2" x14ac:dyDescent="0.25">
      <c r="A6318" s="81" t="s">
        <v>8514</v>
      </c>
      <c r="B6318" s="80" t="s">
        <v>9515</v>
      </c>
    </row>
    <row r="6319" spans="1:2" x14ac:dyDescent="0.25">
      <c r="A6319" s="81" t="s">
        <v>8515</v>
      </c>
      <c r="B6319" s="80" t="s">
        <v>9515</v>
      </c>
    </row>
    <row r="6320" spans="1:2" x14ac:dyDescent="0.25">
      <c r="A6320" s="81" t="s">
        <v>8516</v>
      </c>
      <c r="B6320" s="80" t="s">
        <v>9515</v>
      </c>
    </row>
    <row r="6321" spans="1:2" x14ac:dyDescent="0.25">
      <c r="A6321" s="81" t="s">
        <v>8517</v>
      </c>
      <c r="B6321" s="80" t="s">
        <v>9515</v>
      </c>
    </row>
    <row r="6322" spans="1:2" x14ac:dyDescent="0.25">
      <c r="A6322" s="81" t="s">
        <v>8518</v>
      </c>
      <c r="B6322" s="80" t="s">
        <v>9515</v>
      </c>
    </row>
    <row r="6323" spans="1:2" x14ac:dyDescent="0.25">
      <c r="A6323" s="81" t="s">
        <v>8519</v>
      </c>
      <c r="B6323" s="80" t="s">
        <v>9515</v>
      </c>
    </row>
    <row r="6324" spans="1:2" x14ac:dyDescent="0.25">
      <c r="A6324" s="81" t="s">
        <v>8520</v>
      </c>
      <c r="B6324" s="80" t="s">
        <v>9515</v>
      </c>
    </row>
    <row r="6325" spans="1:2" x14ac:dyDescent="0.25">
      <c r="A6325" s="81" t="s">
        <v>8521</v>
      </c>
      <c r="B6325" s="80" t="s">
        <v>9515</v>
      </c>
    </row>
    <row r="6326" spans="1:2" x14ac:dyDescent="0.25">
      <c r="A6326" s="81" t="s">
        <v>8522</v>
      </c>
      <c r="B6326" s="80" t="s">
        <v>9515</v>
      </c>
    </row>
    <row r="6327" spans="1:2" x14ac:dyDescent="0.25">
      <c r="A6327" s="81" t="s">
        <v>8523</v>
      </c>
      <c r="B6327" s="80" t="s">
        <v>9515</v>
      </c>
    </row>
    <row r="6328" spans="1:2" x14ac:dyDescent="0.25">
      <c r="A6328" s="81" t="s">
        <v>8524</v>
      </c>
      <c r="B6328" s="80" t="s">
        <v>9515</v>
      </c>
    </row>
    <row r="6329" spans="1:2" x14ac:dyDescent="0.25">
      <c r="A6329" s="81" t="s">
        <v>8525</v>
      </c>
      <c r="B6329" s="80" t="s">
        <v>9515</v>
      </c>
    </row>
    <row r="6330" spans="1:2" x14ac:dyDescent="0.25">
      <c r="A6330" s="81" t="s">
        <v>8526</v>
      </c>
      <c r="B6330" s="80" t="s">
        <v>9515</v>
      </c>
    </row>
    <row r="6331" spans="1:2" x14ac:dyDescent="0.25">
      <c r="A6331" s="81" t="s">
        <v>8527</v>
      </c>
      <c r="B6331" s="80" t="s">
        <v>9515</v>
      </c>
    </row>
    <row r="6332" spans="1:2" x14ac:dyDescent="0.25">
      <c r="A6332" s="81" t="s">
        <v>8528</v>
      </c>
      <c r="B6332" s="80" t="s">
        <v>9515</v>
      </c>
    </row>
    <row r="6333" spans="1:2" x14ac:dyDescent="0.25">
      <c r="A6333" s="81" t="s">
        <v>8529</v>
      </c>
      <c r="B6333" s="80" t="s">
        <v>9515</v>
      </c>
    </row>
    <row r="6334" spans="1:2" x14ac:dyDescent="0.25">
      <c r="A6334" s="81" t="s">
        <v>8530</v>
      </c>
      <c r="B6334" s="80" t="s">
        <v>9515</v>
      </c>
    </row>
    <row r="6335" spans="1:2" x14ac:dyDescent="0.25">
      <c r="A6335" s="81" t="s">
        <v>8531</v>
      </c>
      <c r="B6335" s="80" t="s">
        <v>9515</v>
      </c>
    </row>
    <row r="6336" spans="1:2" x14ac:dyDescent="0.25">
      <c r="A6336" s="81" t="s">
        <v>8532</v>
      </c>
      <c r="B6336" s="80" t="s">
        <v>9515</v>
      </c>
    </row>
    <row r="6337" spans="1:2" x14ac:dyDescent="0.25">
      <c r="A6337" s="81" t="s">
        <v>8533</v>
      </c>
      <c r="B6337" s="80" t="s">
        <v>9515</v>
      </c>
    </row>
    <row r="6338" spans="1:2" x14ac:dyDescent="0.25">
      <c r="A6338" s="81" t="s">
        <v>8534</v>
      </c>
      <c r="B6338" s="80" t="s">
        <v>9515</v>
      </c>
    </row>
    <row r="6339" spans="1:2" x14ac:dyDescent="0.25">
      <c r="A6339" s="81" t="s">
        <v>8535</v>
      </c>
      <c r="B6339" s="80" t="s">
        <v>9515</v>
      </c>
    </row>
    <row r="6340" spans="1:2" x14ac:dyDescent="0.25">
      <c r="A6340" s="81" t="s">
        <v>8536</v>
      </c>
      <c r="B6340" s="80" t="s">
        <v>9515</v>
      </c>
    </row>
    <row r="6341" spans="1:2" x14ac:dyDescent="0.25">
      <c r="A6341" s="81" t="s">
        <v>8537</v>
      </c>
      <c r="B6341" s="80" t="s">
        <v>9515</v>
      </c>
    </row>
    <row r="6342" spans="1:2" x14ac:dyDescent="0.25">
      <c r="A6342" s="81" t="s">
        <v>8538</v>
      </c>
      <c r="B6342" s="80" t="s">
        <v>9515</v>
      </c>
    </row>
    <row r="6343" spans="1:2" x14ac:dyDescent="0.25">
      <c r="A6343" s="81" t="s">
        <v>8539</v>
      </c>
      <c r="B6343" s="80" t="s">
        <v>9515</v>
      </c>
    </row>
    <row r="6344" spans="1:2" x14ac:dyDescent="0.25">
      <c r="A6344" s="81" t="s">
        <v>8540</v>
      </c>
      <c r="B6344" s="80" t="s">
        <v>9515</v>
      </c>
    </row>
    <row r="6345" spans="1:2" x14ac:dyDescent="0.25">
      <c r="A6345" s="81" t="s">
        <v>8541</v>
      </c>
      <c r="B6345" s="80" t="s">
        <v>9515</v>
      </c>
    </row>
    <row r="6346" spans="1:2" x14ac:dyDescent="0.25">
      <c r="A6346" s="81" t="s">
        <v>8542</v>
      </c>
      <c r="B6346" s="80" t="s">
        <v>9515</v>
      </c>
    </row>
    <row r="6347" spans="1:2" x14ac:dyDescent="0.25">
      <c r="A6347" s="81" t="s">
        <v>8543</v>
      </c>
      <c r="B6347" s="80" t="s">
        <v>9515</v>
      </c>
    </row>
    <row r="6348" spans="1:2" x14ac:dyDescent="0.25">
      <c r="A6348" s="81" t="s">
        <v>8544</v>
      </c>
      <c r="B6348" s="80" t="s">
        <v>9515</v>
      </c>
    </row>
    <row r="6349" spans="1:2" x14ac:dyDescent="0.25">
      <c r="A6349" s="81" t="s">
        <v>8545</v>
      </c>
      <c r="B6349" s="80" t="s">
        <v>9515</v>
      </c>
    </row>
    <row r="6350" spans="1:2" x14ac:dyDescent="0.25">
      <c r="A6350" s="81" t="s">
        <v>8546</v>
      </c>
      <c r="B6350" s="80" t="s">
        <v>9515</v>
      </c>
    </row>
    <row r="6351" spans="1:2" x14ac:dyDescent="0.25">
      <c r="A6351" s="81" t="s">
        <v>8547</v>
      </c>
      <c r="B6351" s="80" t="s">
        <v>9515</v>
      </c>
    </row>
    <row r="6352" spans="1:2" x14ac:dyDescent="0.25">
      <c r="A6352" s="81" t="s">
        <v>8548</v>
      </c>
      <c r="B6352" s="80" t="s">
        <v>9515</v>
      </c>
    </row>
    <row r="6353" spans="1:2" x14ac:dyDescent="0.25">
      <c r="A6353" s="81" t="s">
        <v>8549</v>
      </c>
      <c r="B6353" s="80" t="s">
        <v>9515</v>
      </c>
    </row>
    <row r="6354" spans="1:2" x14ac:dyDescent="0.25">
      <c r="A6354" s="81" t="s">
        <v>8550</v>
      </c>
      <c r="B6354" s="80" t="s">
        <v>9515</v>
      </c>
    </row>
    <row r="6355" spans="1:2" x14ac:dyDescent="0.25">
      <c r="A6355" s="81" t="s">
        <v>8551</v>
      </c>
      <c r="B6355" s="80" t="s">
        <v>9515</v>
      </c>
    </row>
    <row r="6356" spans="1:2" x14ac:dyDescent="0.25">
      <c r="A6356" s="81" t="s">
        <v>8552</v>
      </c>
      <c r="B6356" s="80" t="s">
        <v>9515</v>
      </c>
    </row>
    <row r="6357" spans="1:2" x14ac:dyDescent="0.25">
      <c r="A6357" s="81" t="s">
        <v>8553</v>
      </c>
      <c r="B6357" s="80" t="s">
        <v>9515</v>
      </c>
    </row>
    <row r="6358" spans="1:2" x14ac:dyDescent="0.25">
      <c r="A6358" s="81" t="s">
        <v>8554</v>
      </c>
      <c r="B6358" s="80" t="s">
        <v>9515</v>
      </c>
    </row>
    <row r="6359" spans="1:2" x14ac:dyDescent="0.25">
      <c r="A6359" s="81" t="s">
        <v>8555</v>
      </c>
      <c r="B6359" s="80" t="s">
        <v>9515</v>
      </c>
    </row>
    <row r="6360" spans="1:2" x14ac:dyDescent="0.25">
      <c r="A6360" s="81" t="s">
        <v>8556</v>
      </c>
      <c r="B6360" s="80" t="s">
        <v>9515</v>
      </c>
    </row>
    <row r="6361" spans="1:2" x14ac:dyDescent="0.25">
      <c r="A6361" s="81" t="s">
        <v>8557</v>
      </c>
      <c r="B6361" s="80" t="s">
        <v>9515</v>
      </c>
    </row>
    <row r="6362" spans="1:2" x14ac:dyDescent="0.25">
      <c r="A6362" s="81" t="s">
        <v>8558</v>
      </c>
      <c r="B6362" s="80" t="s">
        <v>9515</v>
      </c>
    </row>
    <row r="6363" spans="1:2" x14ac:dyDescent="0.25">
      <c r="A6363" s="81" t="s">
        <v>8559</v>
      </c>
      <c r="B6363" s="80" t="s">
        <v>9515</v>
      </c>
    </row>
    <row r="6364" spans="1:2" x14ac:dyDescent="0.25">
      <c r="A6364" s="81" t="s">
        <v>8560</v>
      </c>
      <c r="B6364" s="80" t="s">
        <v>9515</v>
      </c>
    </row>
    <row r="6365" spans="1:2" x14ac:dyDescent="0.25">
      <c r="A6365" s="81" t="s">
        <v>8561</v>
      </c>
      <c r="B6365" s="80" t="s">
        <v>9515</v>
      </c>
    </row>
    <row r="6366" spans="1:2" x14ac:dyDescent="0.25">
      <c r="A6366" s="81" t="s">
        <v>8562</v>
      </c>
      <c r="B6366" s="80" t="s">
        <v>9515</v>
      </c>
    </row>
    <row r="6367" spans="1:2" x14ac:dyDescent="0.25">
      <c r="A6367" s="81" t="s">
        <v>8563</v>
      </c>
      <c r="B6367" s="80" t="s">
        <v>9515</v>
      </c>
    </row>
    <row r="6368" spans="1:2" x14ac:dyDescent="0.25">
      <c r="A6368" s="81" t="s">
        <v>8564</v>
      </c>
      <c r="B6368" s="80" t="s">
        <v>9515</v>
      </c>
    </row>
    <row r="6369" spans="1:2" x14ac:dyDescent="0.25">
      <c r="A6369" s="81" t="s">
        <v>8565</v>
      </c>
      <c r="B6369" s="80" t="s">
        <v>9515</v>
      </c>
    </row>
    <row r="6370" spans="1:2" x14ac:dyDescent="0.25">
      <c r="A6370" s="81" t="s">
        <v>8566</v>
      </c>
      <c r="B6370" s="80" t="s">
        <v>9515</v>
      </c>
    </row>
    <row r="6371" spans="1:2" x14ac:dyDescent="0.25">
      <c r="A6371" s="81" t="s">
        <v>8567</v>
      </c>
      <c r="B6371" s="80" t="s">
        <v>9515</v>
      </c>
    </row>
    <row r="6372" spans="1:2" x14ac:dyDescent="0.25">
      <c r="A6372" s="81" t="s">
        <v>8568</v>
      </c>
      <c r="B6372" s="80" t="s">
        <v>9515</v>
      </c>
    </row>
    <row r="6373" spans="1:2" x14ac:dyDescent="0.25">
      <c r="A6373" s="81" t="s">
        <v>8569</v>
      </c>
      <c r="B6373" s="80" t="s">
        <v>9515</v>
      </c>
    </row>
    <row r="6374" spans="1:2" x14ac:dyDescent="0.25">
      <c r="A6374" s="81" t="s">
        <v>8570</v>
      </c>
      <c r="B6374" s="80" t="s">
        <v>9515</v>
      </c>
    </row>
    <row r="6375" spans="1:2" x14ac:dyDescent="0.25">
      <c r="A6375" s="81" t="s">
        <v>8571</v>
      </c>
      <c r="B6375" s="80" t="s">
        <v>9515</v>
      </c>
    </row>
    <row r="6376" spans="1:2" x14ac:dyDescent="0.25">
      <c r="A6376" s="81" t="s">
        <v>8572</v>
      </c>
      <c r="B6376" s="80" t="s">
        <v>9515</v>
      </c>
    </row>
    <row r="6377" spans="1:2" x14ac:dyDescent="0.25">
      <c r="A6377" s="81" t="s">
        <v>8573</v>
      </c>
      <c r="B6377" s="80" t="s">
        <v>9515</v>
      </c>
    </row>
    <row r="6378" spans="1:2" x14ac:dyDescent="0.25">
      <c r="A6378" s="81" t="s">
        <v>8574</v>
      </c>
      <c r="B6378" s="80" t="s">
        <v>9515</v>
      </c>
    </row>
    <row r="6379" spans="1:2" x14ac:dyDescent="0.25">
      <c r="A6379" s="81" t="s">
        <v>8575</v>
      </c>
      <c r="B6379" s="80" t="s">
        <v>9515</v>
      </c>
    </row>
    <row r="6380" spans="1:2" x14ac:dyDescent="0.25">
      <c r="A6380" s="81" t="s">
        <v>8576</v>
      </c>
      <c r="B6380" s="80" t="s">
        <v>9515</v>
      </c>
    </row>
    <row r="6381" spans="1:2" x14ac:dyDescent="0.25">
      <c r="A6381" s="81" t="s">
        <v>8577</v>
      </c>
      <c r="B6381" s="80" t="s">
        <v>9515</v>
      </c>
    </row>
    <row r="6382" spans="1:2" x14ac:dyDescent="0.25">
      <c r="A6382" s="81" t="s">
        <v>8578</v>
      </c>
      <c r="B6382" s="80" t="s">
        <v>9515</v>
      </c>
    </row>
    <row r="6383" spans="1:2" x14ac:dyDescent="0.25">
      <c r="A6383" s="81" t="s">
        <v>8579</v>
      </c>
      <c r="B6383" s="80" t="s">
        <v>9515</v>
      </c>
    </row>
    <row r="6384" spans="1:2" x14ac:dyDescent="0.25">
      <c r="A6384" s="81" t="s">
        <v>8580</v>
      </c>
      <c r="B6384" s="80" t="s">
        <v>9515</v>
      </c>
    </row>
    <row r="6385" spans="1:2" x14ac:dyDescent="0.25">
      <c r="A6385" s="81" t="s">
        <v>8581</v>
      </c>
      <c r="B6385" s="80" t="s">
        <v>9515</v>
      </c>
    </row>
    <row r="6386" spans="1:2" x14ac:dyDescent="0.25">
      <c r="A6386" s="81" t="s">
        <v>8582</v>
      </c>
      <c r="B6386" s="80" t="s">
        <v>9515</v>
      </c>
    </row>
    <row r="6387" spans="1:2" x14ac:dyDescent="0.25">
      <c r="A6387" s="81" t="s">
        <v>8583</v>
      </c>
      <c r="B6387" s="80" t="s">
        <v>9515</v>
      </c>
    </row>
    <row r="6388" spans="1:2" x14ac:dyDescent="0.25">
      <c r="A6388" s="81" t="s">
        <v>8584</v>
      </c>
      <c r="B6388" s="80" t="s">
        <v>9515</v>
      </c>
    </row>
    <row r="6389" spans="1:2" x14ac:dyDescent="0.25">
      <c r="A6389" s="81" t="s">
        <v>8585</v>
      </c>
      <c r="B6389" s="80" t="s">
        <v>9515</v>
      </c>
    </row>
    <row r="6390" spans="1:2" x14ac:dyDescent="0.25">
      <c r="A6390" s="81" t="s">
        <v>8586</v>
      </c>
      <c r="B6390" s="80" t="s">
        <v>9515</v>
      </c>
    </row>
    <row r="6391" spans="1:2" x14ac:dyDescent="0.25">
      <c r="A6391" s="81" t="s">
        <v>8587</v>
      </c>
      <c r="B6391" s="80" t="s">
        <v>9515</v>
      </c>
    </row>
    <row r="6392" spans="1:2" x14ac:dyDescent="0.25">
      <c r="A6392" s="81" t="s">
        <v>8588</v>
      </c>
      <c r="B6392" s="80" t="s">
        <v>9515</v>
      </c>
    </row>
    <row r="6393" spans="1:2" x14ac:dyDescent="0.25">
      <c r="A6393" s="81" t="s">
        <v>8589</v>
      </c>
      <c r="B6393" s="80" t="s">
        <v>9515</v>
      </c>
    </row>
    <row r="6394" spans="1:2" x14ac:dyDescent="0.25">
      <c r="A6394" s="81" t="s">
        <v>8590</v>
      </c>
      <c r="B6394" s="80" t="s">
        <v>9515</v>
      </c>
    </row>
    <row r="6395" spans="1:2" x14ac:dyDescent="0.25">
      <c r="A6395" s="81" t="s">
        <v>8591</v>
      </c>
      <c r="B6395" s="80" t="s">
        <v>9515</v>
      </c>
    </row>
    <row r="6396" spans="1:2" x14ac:dyDescent="0.25">
      <c r="A6396" s="81" t="s">
        <v>8592</v>
      </c>
      <c r="B6396" s="80" t="s">
        <v>9515</v>
      </c>
    </row>
    <row r="6397" spans="1:2" x14ac:dyDescent="0.25">
      <c r="A6397" s="81" t="s">
        <v>8593</v>
      </c>
      <c r="B6397" s="80" t="s">
        <v>9515</v>
      </c>
    </row>
    <row r="6398" spans="1:2" x14ac:dyDescent="0.25">
      <c r="A6398" s="81" t="s">
        <v>8594</v>
      </c>
      <c r="B6398" s="80" t="s">
        <v>9515</v>
      </c>
    </row>
    <row r="6399" spans="1:2" x14ac:dyDescent="0.25">
      <c r="A6399" s="81" t="s">
        <v>8595</v>
      </c>
      <c r="B6399" s="80" t="s">
        <v>9515</v>
      </c>
    </row>
    <row r="6400" spans="1:2" x14ac:dyDescent="0.25">
      <c r="A6400" s="81" t="s">
        <v>8596</v>
      </c>
      <c r="B6400" s="80" t="s">
        <v>9515</v>
      </c>
    </row>
    <row r="6401" spans="1:2" x14ac:dyDescent="0.25">
      <c r="A6401" s="81" t="s">
        <v>8597</v>
      </c>
      <c r="B6401" s="80" t="s">
        <v>9515</v>
      </c>
    </row>
    <row r="6402" spans="1:2" x14ac:dyDescent="0.25">
      <c r="A6402" s="81" t="s">
        <v>8598</v>
      </c>
      <c r="B6402" s="80" t="s">
        <v>9515</v>
      </c>
    </row>
    <row r="6403" spans="1:2" x14ac:dyDescent="0.25">
      <c r="A6403" s="81" t="s">
        <v>8599</v>
      </c>
      <c r="B6403" s="80" t="s">
        <v>9515</v>
      </c>
    </row>
    <row r="6404" spans="1:2" x14ac:dyDescent="0.25">
      <c r="A6404" s="81" t="s">
        <v>8600</v>
      </c>
      <c r="B6404" s="80" t="s">
        <v>9515</v>
      </c>
    </row>
    <row r="6405" spans="1:2" x14ac:dyDescent="0.25">
      <c r="A6405" s="81" t="s">
        <v>8601</v>
      </c>
      <c r="B6405" s="80" t="s">
        <v>9515</v>
      </c>
    </row>
    <row r="6406" spans="1:2" x14ac:dyDescent="0.25">
      <c r="A6406" s="81" t="s">
        <v>8602</v>
      </c>
      <c r="B6406" s="80" t="s">
        <v>9515</v>
      </c>
    </row>
    <row r="6407" spans="1:2" x14ac:dyDescent="0.25">
      <c r="A6407" s="81" t="s">
        <v>8603</v>
      </c>
      <c r="B6407" s="80" t="s">
        <v>9515</v>
      </c>
    </row>
    <row r="6408" spans="1:2" x14ac:dyDescent="0.25">
      <c r="A6408" s="81" t="s">
        <v>8604</v>
      </c>
      <c r="B6408" s="80" t="s">
        <v>9515</v>
      </c>
    </row>
    <row r="6409" spans="1:2" x14ac:dyDescent="0.25">
      <c r="A6409" s="81" t="s">
        <v>8605</v>
      </c>
      <c r="B6409" s="80" t="s">
        <v>9515</v>
      </c>
    </row>
    <row r="6410" spans="1:2" x14ac:dyDescent="0.25">
      <c r="A6410" s="81" t="s">
        <v>8606</v>
      </c>
      <c r="B6410" s="80" t="s">
        <v>9515</v>
      </c>
    </row>
    <row r="6411" spans="1:2" x14ac:dyDescent="0.25">
      <c r="A6411" s="81" t="s">
        <v>8607</v>
      </c>
      <c r="B6411" s="80" t="s">
        <v>9515</v>
      </c>
    </row>
    <row r="6412" spans="1:2" x14ac:dyDescent="0.25">
      <c r="A6412" s="81" t="s">
        <v>8608</v>
      </c>
      <c r="B6412" s="80" t="s">
        <v>9515</v>
      </c>
    </row>
    <row r="6413" spans="1:2" x14ac:dyDescent="0.25">
      <c r="A6413" s="81" t="s">
        <v>8609</v>
      </c>
      <c r="B6413" s="80" t="s">
        <v>9515</v>
      </c>
    </row>
    <row r="6414" spans="1:2" x14ac:dyDescent="0.25">
      <c r="A6414" s="81" t="s">
        <v>8610</v>
      </c>
      <c r="B6414" s="80" t="s">
        <v>9515</v>
      </c>
    </row>
    <row r="6415" spans="1:2" x14ac:dyDescent="0.25">
      <c r="A6415" s="81" t="s">
        <v>8611</v>
      </c>
      <c r="B6415" s="80" t="s">
        <v>9515</v>
      </c>
    </row>
    <row r="6416" spans="1:2" x14ac:dyDescent="0.25">
      <c r="A6416" s="81" t="s">
        <v>8612</v>
      </c>
      <c r="B6416" s="80" t="s">
        <v>9515</v>
      </c>
    </row>
    <row r="6417" spans="1:2" x14ac:dyDescent="0.25">
      <c r="A6417" s="81" t="s">
        <v>8613</v>
      </c>
      <c r="B6417" s="80" t="s">
        <v>9515</v>
      </c>
    </row>
    <row r="6418" spans="1:2" x14ac:dyDescent="0.25">
      <c r="A6418" s="81" t="s">
        <v>8614</v>
      </c>
      <c r="B6418" s="80" t="s">
        <v>9515</v>
      </c>
    </row>
    <row r="6419" spans="1:2" x14ac:dyDescent="0.25">
      <c r="A6419" s="81" t="s">
        <v>8615</v>
      </c>
      <c r="B6419" s="80" t="s">
        <v>9515</v>
      </c>
    </row>
    <row r="6420" spans="1:2" x14ac:dyDescent="0.25">
      <c r="A6420" s="81" t="s">
        <v>8616</v>
      </c>
      <c r="B6420" s="80" t="s">
        <v>9515</v>
      </c>
    </row>
    <row r="6421" spans="1:2" x14ac:dyDescent="0.25">
      <c r="A6421" s="81" t="s">
        <v>8617</v>
      </c>
      <c r="B6421" s="80" t="s">
        <v>9515</v>
      </c>
    </row>
    <row r="6422" spans="1:2" x14ac:dyDescent="0.25">
      <c r="A6422" s="81" t="s">
        <v>8618</v>
      </c>
      <c r="B6422" s="80" t="s">
        <v>9515</v>
      </c>
    </row>
    <row r="6423" spans="1:2" x14ac:dyDescent="0.25">
      <c r="A6423" s="81" t="s">
        <v>8619</v>
      </c>
      <c r="B6423" s="80" t="s">
        <v>9515</v>
      </c>
    </row>
    <row r="6424" spans="1:2" x14ac:dyDescent="0.25">
      <c r="A6424" s="81" t="s">
        <v>8620</v>
      </c>
      <c r="B6424" s="80" t="s">
        <v>9515</v>
      </c>
    </row>
    <row r="6425" spans="1:2" x14ac:dyDescent="0.25">
      <c r="A6425" s="81" t="s">
        <v>8621</v>
      </c>
      <c r="B6425" s="80" t="s">
        <v>9515</v>
      </c>
    </row>
    <row r="6426" spans="1:2" x14ac:dyDescent="0.25">
      <c r="A6426" s="81" t="s">
        <v>8622</v>
      </c>
      <c r="B6426" s="80" t="s">
        <v>9515</v>
      </c>
    </row>
    <row r="6427" spans="1:2" x14ac:dyDescent="0.25">
      <c r="A6427" s="81" t="s">
        <v>8623</v>
      </c>
      <c r="B6427" s="80" t="s">
        <v>9515</v>
      </c>
    </row>
    <row r="6428" spans="1:2" x14ac:dyDescent="0.25">
      <c r="A6428" s="81" t="s">
        <v>8624</v>
      </c>
      <c r="B6428" s="80" t="s">
        <v>9515</v>
      </c>
    </row>
    <row r="6429" spans="1:2" x14ac:dyDescent="0.25">
      <c r="A6429" s="81" t="s">
        <v>8625</v>
      </c>
      <c r="B6429" s="80" t="s">
        <v>9515</v>
      </c>
    </row>
    <row r="6430" spans="1:2" x14ac:dyDescent="0.25">
      <c r="A6430" s="81" t="s">
        <v>8626</v>
      </c>
      <c r="B6430" s="80" t="s">
        <v>9515</v>
      </c>
    </row>
    <row r="6431" spans="1:2" x14ac:dyDescent="0.25">
      <c r="A6431" s="81" t="s">
        <v>8627</v>
      </c>
      <c r="B6431" s="80" t="s">
        <v>9515</v>
      </c>
    </row>
    <row r="6432" spans="1:2" x14ac:dyDescent="0.25">
      <c r="A6432" s="81" t="s">
        <v>8628</v>
      </c>
      <c r="B6432" s="80" t="s">
        <v>9515</v>
      </c>
    </row>
    <row r="6433" spans="1:2" x14ac:dyDescent="0.25">
      <c r="A6433" s="81" t="s">
        <v>8629</v>
      </c>
      <c r="B6433" s="80" t="s">
        <v>9515</v>
      </c>
    </row>
    <row r="6434" spans="1:2" x14ac:dyDescent="0.25">
      <c r="A6434" s="81" t="s">
        <v>8630</v>
      </c>
      <c r="B6434" s="80" t="s">
        <v>9515</v>
      </c>
    </row>
    <row r="6435" spans="1:2" x14ac:dyDescent="0.25">
      <c r="A6435" s="81" t="s">
        <v>8631</v>
      </c>
      <c r="B6435" s="80" t="s">
        <v>9515</v>
      </c>
    </row>
    <row r="6436" spans="1:2" x14ac:dyDescent="0.25">
      <c r="A6436" s="81" t="s">
        <v>8632</v>
      </c>
      <c r="B6436" s="80" t="s">
        <v>9515</v>
      </c>
    </row>
    <row r="6437" spans="1:2" x14ac:dyDescent="0.25">
      <c r="A6437" s="81" t="s">
        <v>8633</v>
      </c>
      <c r="B6437" s="80" t="s">
        <v>9515</v>
      </c>
    </row>
    <row r="6438" spans="1:2" x14ac:dyDescent="0.25">
      <c r="A6438" s="81" t="s">
        <v>8634</v>
      </c>
      <c r="B6438" s="80" t="s">
        <v>9515</v>
      </c>
    </row>
    <row r="6439" spans="1:2" x14ac:dyDescent="0.25">
      <c r="A6439" s="81" t="s">
        <v>8635</v>
      </c>
      <c r="B6439" s="80" t="s">
        <v>9515</v>
      </c>
    </row>
    <row r="6440" spans="1:2" x14ac:dyDescent="0.25">
      <c r="A6440" s="81" t="s">
        <v>8636</v>
      </c>
      <c r="B6440" s="80" t="s">
        <v>9515</v>
      </c>
    </row>
    <row r="6441" spans="1:2" x14ac:dyDescent="0.25">
      <c r="A6441" s="81" t="s">
        <v>8637</v>
      </c>
      <c r="B6441" s="80" t="s">
        <v>9515</v>
      </c>
    </row>
    <row r="6442" spans="1:2" x14ac:dyDescent="0.25">
      <c r="A6442" s="81" t="s">
        <v>8638</v>
      </c>
      <c r="B6442" s="80" t="s">
        <v>9515</v>
      </c>
    </row>
    <row r="6443" spans="1:2" x14ac:dyDescent="0.25">
      <c r="A6443" s="81" t="s">
        <v>8639</v>
      </c>
      <c r="B6443" s="80" t="s">
        <v>9515</v>
      </c>
    </row>
    <row r="6444" spans="1:2" x14ac:dyDescent="0.25">
      <c r="A6444" s="81" t="s">
        <v>8640</v>
      </c>
      <c r="B6444" s="80" t="s">
        <v>9515</v>
      </c>
    </row>
    <row r="6445" spans="1:2" x14ac:dyDescent="0.25">
      <c r="A6445" s="81" t="s">
        <v>8641</v>
      </c>
      <c r="B6445" s="80" t="s">
        <v>9515</v>
      </c>
    </row>
    <row r="6446" spans="1:2" x14ac:dyDescent="0.25">
      <c r="A6446" s="81" t="s">
        <v>8642</v>
      </c>
      <c r="B6446" s="80" t="s">
        <v>9515</v>
      </c>
    </row>
    <row r="6447" spans="1:2" x14ac:dyDescent="0.25">
      <c r="A6447" s="81" t="s">
        <v>8643</v>
      </c>
      <c r="B6447" s="80" t="s">
        <v>9515</v>
      </c>
    </row>
    <row r="6448" spans="1:2" x14ac:dyDescent="0.25">
      <c r="A6448" s="81" t="s">
        <v>8644</v>
      </c>
      <c r="B6448" s="80" t="s">
        <v>9515</v>
      </c>
    </row>
    <row r="6449" spans="1:2" x14ac:dyDescent="0.25">
      <c r="A6449" s="81" t="s">
        <v>8645</v>
      </c>
      <c r="B6449" s="80" t="s">
        <v>9515</v>
      </c>
    </row>
    <row r="6450" spans="1:2" x14ac:dyDescent="0.25">
      <c r="A6450" s="81" t="s">
        <v>8646</v>
      </c>
      <c r="B6450" s="80" t="s">
        <v>9515</v>
      </c>
    </row>
    <row r="6451" spans="1:2" x14ac:dyDescent="0.25">
      <c r="A6451" s="81" t="s">
        <v>8647</v>
      </c>
      <c r="B6451" s="80" t="s">
        <v>9515</v>
      </c>
    </row>
    <row r="6452" spans="1:2" x14ac:dyDescent="0.25">
      <c r="A6452" s="81" t="s">
        <v>8648</v>
      </c>
      <c r="B6452" s="80" t="s">
        <v>9515</v>
      </c>
    </row>
    <row r="6453" spans="1:2" x14ac:dyDescent="0.25">
      <c r="A6453" s="81" t="s">
        <v>8649</v>
      </c>
      <c r="B6453" s="80" t="s">
        <v>9515</v>
      </c>
    </row>
    <row r="6454" spans="1:2" x14ac:dyDescent="0.25">
      <c r="A6454" s="81" t="s">
        <v>8650</v>
      </c>
      <c r="B6454" s="80" t="s">
        <v>9515</v>
      </c>
    </row>
    <row r="6455" spans="1:2" x14ac:dyDescent="0.25">
      <c r="A6455" s="81" t="s">
        <v>8651</v>
      </c>
      <c r="B6455" s="80" t="s">
        <v>9515</v>
      </c>
    </row>
    <row r="6456" spans="1:2" x14ac:dyDescent="0.25">
      <c r="A6456" s="81" t="s">
        <v>8652</v>
      </c>
      <c r="B6456" s="80" t="s">
        <v>9515</v>
      </c>
    </row>
    <row r="6457" spans="1:2" x14ac:dyDescent="0.25">
      <c r="A6457" s="81" t="s">
        <v>8653</v>
      </c>
      <c r="B6457" s="80" t="s">
        <v>9515</v>
      </c>
    </row>
    <row r="6458" spans="1:2" x14ac:dyDescent="0.25">
      <c r="A6458" s="81" t="s">
        <v>8654</v>
      </c>
      <c r="B6458" s="80" t="s">
        <v>9515</v>
      </c>
    </row>
    <row r="6459" spans="1:2" x14ac:dyDescent="0.25">
      <c r="A6459" s="81" t="s">
        <v>8655</v>
      </c>
      <c r="B6459" s="80" t="s">
        <v>9515</v>
      </c>
    </row>
    <row r="6460" spans="1:2" x14ac:dyDescent="0.25">
      <c r="A6460" s="81" t="s">
        <v>8656</v>
      </c>
      <c r="B6460" s="80" t="s">
        <v>9515</v>
      </c>
    </row>
    <row r="6461" spans="1:2" x14ac:dyDescent="0.25">
      <c r="A6461" s="81" t="s">
        <v>8657</v>
      </c>
      <c r="B6461" s="80" t="s">
        <v>9515</v>
      </c>
    </row>
    <row r="6462" spans="1:2" x14ac:dyDescent="0.25">
      <c r="A6462" s="81" t="s">
        <v>8658</v>
      </c>
      <c r="B6462" s="80" t="s">
        <v>9515</v>
      </c>
    </row>
    <row r="6463" spans="1:2" x14ac:dyDescent="0.25">
      <c r="A6463" s="81" t="s">
        <v>8659</v>
      </c>
      <c r="B6463" s="80" t="s">
        <v>9515</v>
      </c>
    </row>
    <row r="6464" spans="1:2" x14ac:dyDescent="0.25">
      <c r="A6464" s="81" t="s">
        <v>8660</v>
      </c>
      <c r="B6464" s="80" t="s">
        <v>9515</v>
      </c>
    </row>
    <row r="6465" spans="1:2" x14ac:dyDescent="0.25">
      <c r="A6465" s="81" t="s">
        <v>8661</v>
      </c>
      <c r="B6465" s="80" t="s">
        <v>9515</v>
      </c>
    </row>
    <row r="6466" spans="1:2" x14ac:dyDescent="0.25">
      <c r="A6466" s="81" t="s">
        <v>8662</v>
      </c>
      <c r="B6466" s="80" t="s">
        <v>9515</v>
      </c>
    </row>
    <row r="6467" spans="1:2" x14ac:dyDescent="0.25">
      <c r="A6467" s="81" t="s">
        <v>8663</v>
      </c>
      <c r="B6467" s="80" t="s">
        <v>9515</v>
      </c>
    </row>
    <row r="6468" spans="1:2" x14ac:dyDescent="0.25">
      <c r="A6468" s="81" t="s">
        <v>8664</v>
      </c>
      <c r="B6468" s="80" t="s">
        <v>9515</v>
      </c>
    </row>
    <row r="6469" spans="1:2" x14ac:dyDescent="0.25">
      <c r="A6469" s="81" t="s">
        <v>8665</v>
      </c>
      <c r="B6469" s="80" t="s">
        <v>9515</v>
      </c>
    </row>
    <row r="6470" spans="1:2" x14ac:dyDescent="0.25">
      <c r="A6470" s="81" t="s">
        <v>8666</v>
      </c>
      <c r="B6470" s="80" t="s">
        <v>9515</v>
      </c>
    </row>
    <row r="6471" spans="1:2" x14ac:dyDescent="0.25">
      <c r="A6471" s="81" t="s">
        <v>8667</v>
      </c>
      <c r="B6471" s="80" t="s">
        <v>9515</v>
      </c>
    </row>
    <row r="6472" spans="1:2" x14ac:dyDescent="0.25">
      <c r="A6472" s="81" t="s">
        <v>8668</v>
      </c>
      <c r="B6472" s="80" t="s">
        <v>9515</v>
      </c>
    </row>
    <row r="6473" spans="1:2" x14ac:dyDescent="0.25">
      <c r="A6473" s="81" t="s">
        <v>8669</v>
      </c>
      <c r="B6473" s="80" t="s">
        <v>9515</v>
      </c>
    </row>
    <row r="6474" spans="1:2" x14ac:dyDescent="0.25">
      <c r="A6474" s="81" t="s">
        <v>8670</v>
      </c>
      <c r="B6474" s="80" t="s">
        <v>9515</v>
      </c>
    </row>
    <row r="6475" spans="1:2" x14ac:dyDescent="0.25">
      <c r="A6475" s="81" t="s">
        <v>8671</v>
      </c>
      <c r="B6475" s="80" t="s">
        <v>9515</v>
      </c>
    </row>
    <row r="6476" spans="1:2" x14ac:dyDescent="0.25">
      <c r="A6476" s="81" t="s">
        <v>8672</v>
      </c>
      <c r="B6476" s="80" t="s">
        <v>9515</v>
      </c>
    </row>
    <row r="6477" spans="1:2" x14ac:dyDescent="0.25">
      <c r="A6477" s="81" t="s">
        <v>8673</v>
      </c>
      <c r="B6477" s="80" t="s">
        <v>9515</v>
      </c>
    </row>
    <row r="6478" spans="1:2" x14ac:dyDescent="0.25">
      <c r="A6478" s="81" t="s">
        <v>8674</v>
      </c>
      <c r="B6478" s="80" t="s">
        <v>9515</v>
      </c>
    </row>
    <row r="6479" spans="1:2" x14ac:dyDescent="0.25">
      <c r="A6479" s="81" t="s">
        <v>8675</v>
      </c>
      <c r="B6479" s="80" t="s">
        <v>9515</v>
      </c>
    </row>
    <row r="6480" spans="1:2" x14ac:dyDescent="0.25">
      <c r="A6480" s="81" t="s">
        <v>8676</v>
      </c>
      <c r="B6480" s="80" t="s">
        <v>9515</v>
      </c>
    </row>
    <row r="6481" spans="1:2" x14ac:dyDescent="0.25">
      <c r="A6481" s="81" t="s">
        <v>8677</v>
      </c>
      <c r="B6481" s="80" t="s">
        <v>9515</v>
      </c>
    </row>
    <row r="6482" spans="1:2" x14ac:dyDescent="0.25">
      <c r="A6482" s="81" t="s">
        <v>8678</v>
      </c>
      <c r="B6482" s="80" t="s">
        <v>9515</v>
      </c>
    </row>
    <row r="6483" spans="1:2" x14ac:dyDescent="0.25">
      <c r="A6483" s="81" t="s">
        <v>8679</v>
      </c>
      <c r="B6483" s="80" t="s">
        <v>9515</v>
      </c>
    </row>
    <row r="6484" spans="1:2" x14ac:dyDescent="0.25">
      <c r="A6484" s="81" t="s">
        <v>8680</v>
      </c>
      <c r="B6484" s="80" t="s">
        <v>9515</v>
      </c>
    </row>
    <row r="6485" spans="1:2" x14ac:dyDescent="0.25">
      <c r="A6485" s="81" t="s">
        <v>8681</v>
      </c>
      <c r="B6485" s="80" t="s">
        <v>9515</v>
      </c>
    </row>
    <row r="6486" spans="1:2" x14ac:dyDescent="0.25">
      <c r="A6486" s="81" t="s">
        <v>8682</v>
      </c>
      <c r="B6486" s="80" t="s">
        <v>9515</v>
      </c>
    </row>
    <row r="6487" spans="1:2" x14ac:dyDescent="0.25">
      <c r="A6487" s="81" t="s">
        <v>8683</v>
      </c>
      <c r="B6487" s="80" t="s">
        <v>9515</v>
      </c>
    </row>
    <row r="6488" spans="1:2" x14ac:dyDescent="0.25">
      <c r="A6488" s="81" t="s">
        <v>8684</v>
      </c>
      <c r="B6488" s="80" t="s">
        <v>9515</v>
      </c>
    </row>
    <row r="6489" spans="1:2" x14ac:dyDescent="0.25">
      <c r="A6489" s="81" t="s">
        <v>8685</v>
      </c>
      <c r="B6489" s="80" t="s">
        <v>9515</v>
      </c>
    </row>
    <row r="6490" spans="1:2" x14ac:dyDescent="0.25">
      <c r="A6490" s="81" t="s">
        <v>8686</v>
      </c>
      <c r="B6490" s="80" t="s">
        <v>9515</v>
      </c>
    </row>
    <row r="6491" spans="1:2" x14ac:dyDescent="0.25">
      <c r="A6491" s="81" t="s">
        <v>8687</v>
      </c>
      <c r="B6491" s="80" t="s">
        <v>9515</v>
      </c>
    </row>
    <row r="6492" spans="1:2" x14ac:dyDescent="0.25">
      <c r="A6492" s="81" t="s">
        <v>8688</v>
      </c>
      <c r="B6492" s="80" t="s">
        <v>9515</v>
      </c>
    </row>
    <row r="6493" spans="1:2" x14ac:dyDescent="0.25">
      <c r="A6493" s="81" t="s">
        <v>8689</v>
      </c>
      <c r="B6493" s="80" t="s">
        <v>9515</v>
      </c>
    </row>
    <row r="6494" spans="1:2" x14ac:dyDescent="0.25">
      <c r="A6494" s="81" t="s">
        <v>8690</v>
      </c>
      <c r="B6494" s="80" t="s">
        <v>9515</v>
      </c>
    </row>
    <row r="6495" spans="1:2" x14ac:dyDescent="0.25">
      <c r="A6495" s="81" t="s">
        <v>8691</v>
      </c>
      <c r="B6495" s="80" t="s">
        <v>9515</v>
      </c>
    </row>
    <row r="6496" spans="1:2" x14ac:dyDescent="0.25">
      <c r="A6496" s="81" t="s">
        <v>8692</v>
      </c>
      <c r="B6496" s="80" t="s">
        <v>9515</v>
      </c>
    </row>
    <row r="6497" spans="1:2" x14ac:dyDescent="0.25">
      <c r="A6497" s="81" t="s">
        <v>8693</v>
      </c>
      <c r="B6497" s="80" t="s">
        <v>9515</v>
      </c>
    </row>
    <row r="6498" spans="1:2" x14ac:dyDescent="0.25">
      <c r="A6498" s="81" t="s">
        <v>8694</v>
      </c>
      <c r="B6498" s="80" t="s">
        <v>9515</v>
      </c>
    </row>
    <row r="6499" spans="1:2" x14ac:dyDescent="0.25">
      <c r="A6499" s="81" t="s">
        <v>8695</v>
      </c>
      <c r="B6499" s="80" t="s">
        <v>9515</v>
      </c>
    </row>
    <row r="6500" spans="1:2" x14ac:dyDescent="0.25">
      <c r="A6500" s="81" t="s">
        <v>8696</v>
      </c>
      <c r="B6500" s="80" t="s">
        <v>9515</v>
      </c>
    </row>
    <row r="6501" spans="1:2" x14ac:dyDescent="0.25">
      <c r="A6501" s="81" t="s">
        <v>8697</v>
      </c>
      <c r="B6501" s="80" t="s">
        <v>9515</v>
      </c>
    </row>
    <row r="6502" spans="1:2" x14ac:dyDescent="0.25">
      <c r="A6502" s="81" t="s">
        <v>8698</v>
      </c>
      <c r="B6502" s="80" t="s">
        <v>9515</v>
      </c>
    </row>
    <row r="6503" spans="1:2" x14ac:dyDescent="0.25">
      <c r="A6503" s="81" t="s">
        <v>8699</v>
      </c>
      <c r="B6503" s="80" t="s">
        <v>9515</v>
      </c>
    </row>
    <row r="6504" spans="1:2" x14ac:dyDescent="0.25">
      <c r="A6504" s="81" t="s">
        <v>8700</v>
      </c>
      <c r="B6504" s="80" t="s">
        <v>9515</v>
      </c>
    </row>
    <row r="6505" spans="1:2" x14ac:dyDescent="0.25">
      <c r="A6505" s="81" t="s">
        <v>8701</v>
      </c>
      <c r="B6505" s="80" t="s">
        <v>9515</v>
      </c>
    </row>
    <row r="6506" spans="1:2" x14ac:dyDescent="0.25">
      <c r="A6506" s="81" t="s">
        <v>8702</v>
      </c>
      <c r="B6506" s="80" t="s">
        <v>9515</v>
      </c>
    </row>
    <row r="6507" spans="1:2" x14ac:dyDescent="0.25">
      <c r="A6507" s="81" t="s">
        <v>8703</v>
      </c>
      <c r="B6507" s="80" t="s">
        <v>9515</v>
      </c>
    </row>
    <row r="6508" spans="1:2" x14ac:dyDescent="0.25">
      <c r="A6508" s="81" t="s">
        <v>8704</v>
      </c>
      <c r="B6508" s="80" t="s">
        <v>9515</v>
      </c>
    </row>
    <row r="6509" spans="1:2" x14ac:dyDescent="0.25">
      <c r="A6509" s="81" t="s">
        <v>8705</v>
      </c>
      <c r="B6509" s="80" t="s">
        <v>9515</v>
      </c>
    </row>
    <row r="6510" spans="1:2" x14ac:dyDescent="0.25">
      <c r="A6510" s="81" t="s">
        <v>8706</v>
      </c>
      <c r="B6510" s="80" t="s">
        <v>9515</v>
      </c>
    </row>
    <row r="6511" spans="1:2" x14ac:dyDescent="0.25">
      <c r="A6511" s="81" t="s">
        <v>8707</v>
      </c>
      <c r="B6511" s="80" t="s">
        <v>9515</v>
      </c>
    </row>
    <row r="6512" spans="1:2" x14ac:dyDescent="0.25">
      <c r="A6512" s="81" t="s">
        <v>8708</v>
      </c>
      <c r="B6512" s="80" t="s">
        <v>9515</v>
      </c>
    </row>
    <row r="6513" spans="1:2" x14ac:dyDescent="0.25">
      <c r="A6513" s="81" t="s">
        <v>8709</v>
      </c>
      <c r="B6513" s="80" t="s">
        <v>9515</v>
      </c>
    </row>
    <row r="6514" spans="1:2" x14ac:dyDescent="0.25">
      <c r="A6514" s="81" t="s">
        <v>8710</v>
      </c>
      <c r="B6514" s="80" t="s">
        <v>9515</v>
      </c>
    </row>
    <row r="6515" spans="1:2" x14ac:dyDescent="0.25">
      <c r="A6515" s="81" t="s">
        <v>8711</v>
      </c>
      <c r="B6515" s="80" t="s">
        <v>9515</v>
      </c>
    </row>
    <row r="6516" spans="1:2" x14ac:dyDescent="0.25">
      <c r="A6516" s="81" t="s">
        <v>8712</v>
      </c>
      <c r="B6516" s="80" t="s">
        <v>9515</v>
      </c>
    </row>
    <row r="6517" spans="1:2" x14ac:dyDescent="0.25">
      <c r="A6517" s="81" t="s">
        <v>8713</v>
      </c>
      <c r="B6517" s="80" t="s">
        <v>9515</v>
      </c>
    </row>
    <row r="6518" spans="1:2" x14ac:dyDescent="0.25">
      <c r="A6518" s="81" t="s">
        <v>8714</v>
      </c>
      <c r="B6518" s="80" t="s">
        <v>9515</v>
      </c>
    </row>
    <row r="6519" spans="1:2" x14ac:dyDescent="0.25">
      <c r="A6519" s="81" t="s">
        <v>8715</v>
      </c>
      <c r="B6519" s="80" t="s">
        <v>9515</v>
      </c>
    </row>
    <row r="6520" spans="1:2" x14ac:dyDescent="0.25">
      <c r="A6520" s="81" t="s">
        <v>8716</v>
      </c>
      <c r="B6520" s="80" t="s">
        <v>9515</v>
      </c>
    </row>
    <row r="6521" spans="1:2" x14ac:dyDescent="0.25">
      <c r="A6521" s="81" t="s">
        <v>8717</v>
      </c>
      <c r="B6521" s="80" t="s">
        <v>9515</v>
      </c>
    </row>
    <row r="6522" spans="1:2" x14ac:dyDescent="0.25">
      <c r="A6522" s="81" t="s">
        <v>8718</v>
      </c>
      <c r="B6522" s="80" t="s">
        <v>9515</v>
      </c>
    </row>
    <row r="6523" spans="1:2" x14ac:dyDescent="0.25">
      <c r="A6523" s="81" t="s">
        <v>8719</v>
      </c>
      <c r="B6523" s="80" t="s">
        <v>9515</v>
      </c>
    </row>
    <row r="6524" spans="1:2" x14ac:dyDescent="0.25">
      <c r="A6524" s="81" t="s">
        <v>8720</v>
      </c>
      <c r="B6524" s="80" t="s">
        <v>9515</v>
      </c>
    </row>
    <row r="6525" spans="1:2" x14ac:dyDescent="0.25">
      <c r="A6525" s="81" t="s">
        <v>8721</v>
      </c>
      <c r="B6525" s="80" t="s">
        <v>9515</v>
      </c>
    </row>
    <row r="6526" spans="1:2" x14ac:dyDescent="0.25">
      <c r="A6526" s="81" t="s">
        <v>8722</v>
      </c>
      <c r="B6526" s="80" t="s">
        <v>9515</v>
      </c>
    </row>
    <row r="6527" spans="1:2" x14ac:dyDescent="0.25">
      <c r="A6527" s="81" t="s">
        <v>8723</v>
      </c>
      <c r="B6527" s="80" t="s">
        <v>9515</v>
      </c>
    </row>
    <row r="6528" spans="1:2" x14ac:dyDescent="0.25">
      <c r="A6528" s="81" t="s">
        <v>8724</v>
      </c>
      <c r="B6528" s="80" t="s">
        <v>9515</v>
      </c>
    </row>
    <row r="6529" spans="1:2" x14ac:dyDescent="0.25">
      <c r="A6529" s="81" t="s">
        <v>8725</v>
      </c>
      <c r="B6529" s="80" t="s">
        <v>9515</v>
      </c>
    </row>
    <row r="6530" spans="1:2" x14ac:dyDescent="0.25">
      <c r="A6530" s="81" t="s">
        <v>8726</v>
      </c>
      <c r="B6530" s="80" t="s">
        <v>9515</v>
      </c>
    </row>
    <row r="6531" spans="1:2" x14ac:dyDescent="0.25">
      <c r="A6531" s="81" t="s">
        <v>8727</v>
      </c>
      <c r="B6531" s="80" t="s">
        <v>9515</v>
      </c>
    </row>
    <row r="6532" spans="1:2" x14ac:dyDescent="0.25">
      <c r="A6532" s="81" t="s">
        <v>8728</v>
      </c>
      <c r="B6532" s="80" t="s">
        <v>9515</v>
      </c>
    </row>
    <row r="6533" spans="1:2" x14ac:dyDescent="0.25">
      <c r="A6533" s="81" t="s">
        <v>8729</v>
      </c>
      <c r="B6533" s="80" t="s">
        <v>9515</v>
      </c>
    </row>
    <row r="6534" spans="1:2" x14ac:dyDescent="0.25">
      <c r="A6534" s="81" t="s">
        <v>8730</v>
      </c>
      <c r="B6534" s="80" t="s">
        <v>9515</v>
      </c>
    </row>
    <row r="6535" spans="1:2" x14ac:dyDescent="0.25">
      <c r="A6535" s="81" t="s">
        <v>8731</v>
      </c>
      <c r="B6535" s="80" t="s">
        <v>9515</v>
      </c>
    </row>
    <row r="6536" spans="1:2" x14ac:dyDescent="0.25">
      <c r="A6536" s="81" t="s">
        <v>8732</v>
      </c>
      <c r="B6536" s="80" t="s">
        <v>9515</v>
      </c>
    </row>
    <row r="6537" spans="1:2" x14ac:dyDescent="0.25">
      <c r="A6537" s="81" t="s">
        <v>8733</v>
      </c>
      <c r="B6537" s="80" t="s">
        <v>9515</v>
      </c>
    </row>
    <row r="6538" spans="1:2" x14ac:dyDescent="0.25">
      <c r="A6538" s="81" t="s">
        <v>8734</v>
      </c>
      <c r="B6538" s="80" t="s">
        <v>9515</v>
      </c>
    </row>
    <row r="6539" spans="1:2" x14ac:dyDescent="0.25">
      <c r="A6539" s="81" t="s">
        <v>8735</v>
      </c>
      <c r="B6539" s="80" t="s">
        <v>9515</v>
      </c>
    </row>
    <row r="6540" spans="1:2" x14ac:dyDescent="0.25">
      <c r="A6540" s="81" t="s">
        <v>8736</v>
      </c>
      <c r="B6540" s="80" t="s">
        <v>9515</v>
      </c>
    </row>
    <row r="6541" spans="1:2" x14ac:dyDescent="0.25">
      <c r="A6541" s="81" t="s">
        <v>8737</v>
      </c>
      <c r="B6541" s="80" t="s">
        <v>9515</v>
      </c>
    </row>
    <row r="6542" spans="1:2" x14ac:dyDescent="0.25">
      <c r="A6542" s="81" t="s">
        <v>8738</v>
      </c>
      <c r="B6542" s="80" t="s">
        <v>9515</v>
      </c>
    </row>
    <row r="6543" spans="1:2" x14ac:dyDescent="0.25">
      <c r="A6543" s="81" t="s">
        <v>8739</v>
      </c>
      <c r="B6543" s="80" t="s">
        <v>9515</v>
      </c>
    </row>
    <row r="6544" spans="1:2" x14ac:dyDescent="0.25">
      <c r="A6544" s="81" t="s">
        <v>8740</v>
      </c>
      <c r="B6544" s="80" t="s">
        <v>9515</v>
      </c>
    </row>
    <row r="6545" spans="1:2" x14ac:dyDescent="0.25">
      <c r="A6545" s="81" t="s">
        <v>8741</v>
      </c>
      <c r="B6545" s="80" t="s">
        <v>9515</v>
      </c>
    </row>
    <row r="6546" spans="1:2" x14ac:dyDescent="0.25">
      <c r="A6546" s="81" t="s">
        <v>8742</v>
      </c>
      <c r="B6546" s="80" t="s">
        <v>9515</v>
      </c>
    </row>
    <row r="6547" spans="1:2" x14ac:dyDescent="0.25">
      <c r="A6547" s="81" t="s">
        <v>8743</v>
      </c>
      <c r="B6547" s="80" t="s">
        <v>9515</v>
      </c>
    </row>
    <row r="6548" spans="1:2" x14ac:dyDescent="0.25">
      <c r="A6548" s="81" t="s">
        <v>8744</v>
      </c>
      <c r="B6548" s="80" t="s">
        <v>9515</v>
      </c>
    </row>
    <row r="6549" spans="1:2" x14ac:dyDescent="0.25">
      <c r="A6549" s="81" t="s">
        <v>8745</v>
      </c>
      <c r="B6549" s="80" t="s">
        <v>9515</v>
      </c>
    </row>
    <row r="6550" spans="1:2" x14ac:dyDescent="0.25">
      <c r="A6550" s="81" t="s">
        <v>8746</v>
      </c>
      <c r="B6550" s="80" t="s">
        <v>9515</v>
      </c>
    </row>
    <row r="6551" spans="1:2" x14ac:dyDescent="0.25">
      <c r="A6551" s="81" t="s">
        <v>8747</v>
      </c>
      <c r="B6551" s="80" t="s">
        <v>9515</v>
      </c>
    </row>
    <row r="6552" spans="1:2" x14ac:dyDescent="0.25">
      <c r="A6552" s="81" t="s">
        <v>8748</v>
      </c>
      <c r="B6552" s="80" t="s">
        <v>9515</v>
      </c>
    </row>
    <row r="6553" spans="1:2" x14ac:dyDescent="0.25">
      <c r="A6553" s="81" t="s">
        <v>8749</v>
      </c>
      <c r="B6553" s="80" t="s">
        <v>9515</v>
      </c>
    </row>
    <row r="6554" spans="1:2" x14ac:dyDescent="0.25">
      <c r="A6554" s="81" t="s">
        <v>8750</v>
      </c>
      <c r="B6554" s="80" t="s">
        <v>9515</v>
      </c>
    </row>
    <row r="6555" spans="1:2" x14ac:dyDescent="0.25">
      <c r="A6555" s="81" t="s">
        <v>8751</v>
      </c>
      <c r="B6555" s="80" t="s">
        <v>9515</v>
      </c>
    </row>
    <row r="6556" spans="1:2" x14ac:dyDescent="0.25">
      <c r="A6556" s="81" t="s">
        <v>8752</v>
      </c>
      <c r="B6556" s="80" t="s">
        <v>9515</v>
      </c>
    </row>
    <row r="6557" spans="1:2" x14ac:dyDescent="0.25">
      <c r="A6557" s="81" t="s">
        <v>8753</v>
      </c>
      <c r="B6557" s="80" t="s">
        <v>9515</v>
      </c>
    </row>
    <row r="6558" spans="1:2" x14ac:dyDescent="0.25">
      <c r="A6558" s="81" t="s">
        <v>8754</v>
      </c>
      <c r="B6558" s="80" t="s">
        <v>9515</v>
      </c>
    </row>
    <row r="6559" spans="1:2" x14ac:dyDescent="0.25">
      <c r="A6559" s="81" t="s">
        <v>8755</v>
      </c>
      <c r="B6559" s="80" t="s">
        <v>9515</v>
      </c>
    </row>
    <row r="6560" spans="1:2" x14ac:dyDescent="0.25">
      <c r="A6560" s="81" t="s">
        <v>8756</v>
      </c>
      <c r="B6560" s="80" t="s">
        <v>9515</v>
      </c>
    </row>
    <row r="6561" spans="1:2" x14ac:dyDescent="0.25">
      <c r="A6561" s="81" t="s">
        <v>8757</v>
      </c>
      <c r="B6561" s="80" t="s">
        <v>9515</v>
      </c>
    </row>
    <row r="6562" spans="1:2" x14ac:dyDescent="0.25">
      <c r="A6562" s="81" t="s">
        <v>8758</v>
      </c>
      <c r="B6562" s="80" t="s">
        <v>9515</v>
      </c>
    </row>
    <row r="6563" spans="1:2" x14ac:dyDescent="0.25">
      <c r="A6563" s="81" t="s">
        <v>8759</v>
      </c>
      <c r="B6563" s="80" t="s">
        <v>9515</v>
      </c>
    </row>
    <row r="6564" spans="1:2" x14ac:dyDescent="0.25">
      <c r="A6564" s="81" t="s">
        <v>8760</v>
      </c>
      <c r="B6564" s="80" t="s">
        <v>9515</v>
      </c>
    </row>
    <row r="6565" spans="1:2" x14ac:dyDescent="0.25">
      <c r="A6565" s="81" t="s">
        <v>8761</v>
      </c>
      <c r="B6565" s="80" t="s">
        <v>9515</v>
      </c>
    </row>
    <row r="6566" spans="1:2" x14ac:dyDescent="0.25">
      <c r="A6566" s="81" t="s">
        <v>8762</v>
      </c>
      <c r="B6566" s="80" t="s">
        <v>9515</v>
      </c>
    </row>
    <row r="6567" spans="1:2" x14ac:dyDescent="0.25">
      <c r="A6567" s="81" t="s">
        <v>8763</v>
      </c>
      <c r="B6567" s="80" t="s">
        <v>9515</v>
      </c>
    </row>
    <row r="6568" spans="1:2" x14ac:dyDescent="0.25">
      <c r="A6568" s="81" t="s">
        <v>8764</v>
      </c>
      <c r="B6568" s="80" t="s">
        <v>9515</v>
      </c>
    </row>
    <row r="6569" spans="1:2" x14ac:dyDescent="0.25">
      <c r="A6569" s="81" t="s">
        <v>8765</v>
      </c>
      <c r="B6569" s="80" t="s">
        <v>9515</v>
      </c>
    </row>
    <row r="6570" spans="1:2" x14ac:dyDescent="0.25">
      <c r="A6570" s="81" t="s">
        <v>8766</v>
      </c>
      <c r="B6570" s="80" t="s">
        <v>9515</v>
      </c>
    </row>
    <row r="6571" spans="1:2" x14ac:dyDescent="0.25">
      <c r="A6571" s="81" t="s">
        <v>8767</v>
      </c>
      <c r="B6571" s="80" t="s">
        <v>9515</v>
      </c>
    </row>
    <row r="6572" spans="1:2" x14ac:dyDescent="0.25">
      <c r="A6572" s="81" t="s">
        <v>8768</v>
      </c>
      <c r="B6572" s="80" t="s">
        <v>9515</v>
      </c>
    </row>
    <row r="6573" spans="1:2" x14ac:dyDescent="0.25">
      <c r="A6573" s="81" t="s">
        <v>8769</v>
      </c>
      <c r="B6573" s="80" t="s">
        <v>9515</v>
      </c>
    </row>
    <row r="6574" spans="1:2" x14ac:dyDescent="0.25">
      <c r="A6574" s="81" t="s">
        <v>8770</v>
      </c>
      <c r="B6574" s="80" t="s">
        <v>9515</v>
      </c>
    </row>
    <row r="6575" spans="1:2" x14ac:dyDescent="0.25">
      <c r="A6575" s="81" t="s">
        <v>8771</v>
      </c>
      <c r="B6575" s="80" t="s">
        <v>9515</v>
      </c>
    </row>
    <row r="6576" spans="1:2" x14ac:dyDescent="0.25">
      <c r="A6576" s="81" t="s">
        <v>8772</v>
      </c>
      <c r="B6576" s="80" t="s">
        <v>9515</v>
      </c>
    </row>
    <row r="6577" spans="1:2" x14ac:dyDescent="0.25">
      <c r="A6577" s="81" t="s">
        <v>8773</v>
      </c>
      <c r="B6577" s="80" t="s">
        <v>9515</v>
      </c>
    </row>
    <row r="6578" spans="1:2" x14ac:dyDescent="0.25">
      <c r="A6578" s="81" t="s">
        <v>8774</v>
      </c>
      <c r="B6578" s="80" t="s">
        <v>9515</v>
      </c>
    </row>
    <row r="6579" spans="1:2" x14ac:dyDescent="0.25">
      <c r="A6579" s="81" t="s">
        <v>8775</v>
      </c>
      <c r="B6579" s="80" t="s">
        <v>9515</v>
      </c>
    </row>
    <row r="6580" spans="1:2" x14ac:dyDescent="0.25">
      <c r="A6580" s="81" t="s">
        <v>8776</v>
      </c>
      <c r="B6580" s="80" t="s">
        <v>9515</v>
      </c>
    </row>
    <row r="6581" spans="1:2" x14ac:dyDescent="0.25">
      <c r="A6581" s="81" t="s">
        <v>8777</v>
      </c>
      <c r="B6581" s="80" t="s">
        <v>9515</v>
      </c>
    </row>
    <row r="6582" spans="1:2" x14ac:dyDescent="0.25">
      <c r="A6582" s="81" t="s">
        <v>8778</v>
      </c>
      <c r="B6582" s="80" t="s">
        <v>9515</v>
      </c>
    </row>
    <row r="6583" spans="1:2" x14ac:dyDescent="0.25">
      <c r="A6583" s="81" t="s">
        <v>8779</v>
      </c>
      <c r="B6583" s="80" t="s">
        <v>9515</v>
      </c>
    </row>
    <row r="6584" spans="1:2" x14ac:dyDescent="0.25">
      <c r="A6584" s="81" t="s">
        <v>8780</v>
      </c>
      <c r="B6584" s="80" t="s">
        <v>9515</v>
      </c>
    </row>
    <row r="6585" spans="1:2" x14ac:dyDescent="0.25">
      <c r="A6585" s="81" t="s">
        <v>8781</v>
      </c>
      <c r="B6585" s="80" t="s">
        <v>9515</v>
      </c>
    </row>
    <row r="6586" spans="1:2" x14ac:dyDescent="0.25">
      <c r="A6586" s="81" t="s">
        <v>8782</v>
      </c>
      <c r="B6586" s="80" t="s">
        <v>9515</v>
      </c>
    </row>
    <row r="6587" spans="1:2" x14ac:dyDescent="0.25">
      <c r="A6587" s="81" t="s">
        <v>8783</v>
      </c>
      <c r="B6587" s="80" t="s">
        <v>9515</v>
      </c>
    </row>
    <row r="6588" spans="1:2" x14ac:dyDescent="0.25">
      <c r="A6588" s="81" t="s">
        <v>8784</v>
      </c>
      <c r="B6588" s="80" t="s">
        <v>9515</v>
      </c>
    </row>
    <row r="6589" spans="1:2" x14ac:dyDescent="0.25">
      <c r="A6589" s="81" t="s">
        <v>8785</v>
      </c>
      <c r="B6589" s="80" t="s">
        <v>9515</v>
      </c>
    </row>
    <row r="6590" spans="1:2" x14ac:dyDescent="0.25">
      <c r="A6590" s="81" t="s">
        <v>8786</v>
      </c>
      <c r="B6590" s="80" t="s">
        <v>9515</v>
      </c>
    </row>
    <row r="6591" spans="1:2" x14ac:dyDescent="0.25">
      <c r="A6591" s="81" t="s">
        <v>8787</v>
      </c>
      <c r="B6591" s="80" t="s">
        <v>9515</v>
      </c>
    </row>
    <row r="6592" spans="1:2" x14ac:dyDescent="0.25">
      <c r="A6592" s="81" t="s">
        <v>8788</v>
      </c>
      <c r="B6592" s="80" t="s">
        <v>9515</v>
      </c>
    </row>
    <row r="6593" spans="1:2" x14ac:dyDescent="0.25">
      <c r="A6593" s="81" t="s">
        <v>8789</v>
      </c>
      <c r="B6593" s="80" t="s">
        <v>9515</v>
      </c>
    </row>
    <row r="6594" spans="1:2" x14ac:dyDescent="0.25">
      <c r="A6594" s="81" t="s">
        <v>8790</v>
      </c>
      <c r="B6594" s="80" t="s">
        <v>9515</v>
      </c>
    </row>
    <row r="6595" spans="1:2" x14ac:dyDescent="0.25">
      <c r="A6595" s="81" t="s">
        <v>8791</v>
      </c>
      <c r="B6595" s="80" t="s">
        <v>9515</v>
      </c>
    </row>
    <row r="6596" spans="1:2" x14ac:dyDescent="0.25">
      <c r="A6596" s="81" t="s">
        <v>8792</v>
      </c>
      <c r="B6596" s="80" t="s">
        <v>9515</v>
      </c>
    </row>
    <row r="6597" spans="1:2" x14ac:dyDescent="0.25">
      <c r="A6597" s="81" t="s">
        <v>8793</v>
      </c>
      <c r="B6597" s="80" t="s">
        <v>9515</v>
      </c>
    </row>
    <row r="6598" spans="1:2" x14ac:dyDescent="0.25">
      <c r="A6598" s="81" t="s">
        <v>8794</v>
      </c>
      <c r="B6598" s="80" t="s">
        <v>9515</v>
      </c>
    </row>
    <row r="6599" spans="1:2" x14ac:dyDescent="0.25">
      <c r="A6599" s="81" t="s">
        <v>8795</v>
      </c>
      <c r="B6599" s="80" t="s">
        <v>9515</v>
      </c>
    </row>
    <row r="6600" spans="1:2" x14ac:dyDescent="0.25">
      <c r="A6600" s="81" t="s">
        <v>8796</v>
      </c>
      <c r="B6600" s="80" t="s">
        <v>9515</v>
      </c>
    </row>
    <row r="6601" spans="1:2" x14ac:dyDescent="0.25">
      <c r="A6601" s="81" t="s">
        <v>8797</v>
      </c>
      <c r="B6601" s="80" t="s">
        <v>9515</v>
      </c>
    </row>
    <row r="6602" spans="1:2" x14ac:dyDescent="0.25">
      <c r="A6602" s="81" t="s">
        <v>8798</v>
      </c>
      <c r="B6602" s="80" t="s">
        <v>9515</v>
      </c>
    </row>
    <row r="6603" spans="1:2" x14ac:dyDescent="0.25">
      <c r="A6603" s="81" t="s">
        <v>8799</v>
      </c>
      <c r="B6603" s="80" t="s">
        <v>9515</v>
      </c>
    </row>
    <row r="6604" spans="1:2" x14ac:dyDescent="0.25">
      <c r="A6604" s="81" t="s">
        <v>8800</v>
      </c>
      <c r="B6604" s="80" t="s">
        <v>9515</v>
      </c>
    </row>
    <row r="6605" spans="1:2" x14ac:dyDescent="0.25">
      <c r="A6605" s="81" t="s">
        <v>8801</v>
      </c>
      <c r="B6605" s="80" t="s">
        <v>9515</v>
      </c>
    </row>
    <row r="6606" spans="1:2" x14ac:dyDescent="0.25">
      <c r="A6606" s="81" t="s">
        <v>8802</v>
      </c>
      <c r="B6606" s="80" t="s">
        <v>9515</v>
      </c>
    </row>
    <row r="6607" spans="1:2" x14ac:dyDescent="0.25">
      <c r="A6607" s="81" t="s">
        <v>8803</v>
      </c>
      <c r="B6607" s="80" t="s">
        <v>9515</v>
      </c>
    </row>
    <row r="6608" spans="1:2" x14ac:dyDescent="0.25">
      <c r="A6608" s="81" t="s">
        <v>8804</v>
      </c>
      <c r="B6608" s="80" t="s">
        <v>9515</v>
      </c>
    </row>
    <row r="6609" spans="1:2" x14ac:dyDescent="0.25">
      <c r="A6609" s="81" t="s">
        <v>8805</v>
      </c>
      <c r="B6609" s="80" t="s">
        <v>9515</v>
      </c>
    </row>
    <row r="6610" spans="1:2" x14ac:dyDescent="0.25">
      <c r="A6610" s="81" t="s">
        <v>8806</v>
      </c>
      <c r="B6610" s="80" t="s">
        <v>9515</v>
      </c>
    </row>
    <row r="6611" spans="1:2" x14ac:dyDescent="0.25">
      <c r="A6611" s="81" t="s">
        <v>8807</v>
      </c>
      <c r="B6611" s="80" t="s">
        <v>9515</v>
      </c>
    </row>
    <row r="6612" spans="1:2" x14ac:dyDescent="0.25">
      <c r="A6612" s="81" t="s">
        <v>8808</v>
      </c>
      <c r="B6612" s="80" t="s">
        <v>9515</v>
      </c>
    </row>
    <row r="6613" spans="1:2" x14ac:dyDescent="0.25">
      <c r="A6613" s="81" t="s">
        <v>8809</v>
      </c>
      <c r="B6613" s="80" t="s">
        <v>9515</v>
      </c>
    </row>
    <row r="6614" spans="1:2" x14ac:dyDescent="0.25">
      <c r="A6614" s="81" t="s">
        <v>8810</v>
      </c>
      <c r="B6614" s="80" t="s">
        <v>9515</v>
      </c>
    </row>
    <row r="6615" spans="1:2" x14ac:dyDescent="0.25">
      <c r="A6615" s="81" t="s">
        <v>8811</v>
      </c>
      <c r="B6615" s="80" t="s">
        <v>9515</v>
      </c>
    </row>
    <row r="6616" spans="1:2" x14ac:dyDescent="0.25">
      <c r="A6616" s="81" t="s">
        <v>8812</v>
      </c>
      <c r="B6616" s="80" t="s">
        <v>9515</v>
      </c>
    </row>
    <row r="6617" spans="1:2" x14ac:dyDescent="0.25">
      <c r="A6617" s="81" t="s">
        <v>8813</v>
      </c>
      <c r="B6617" s="80" t="s">
        <v>9515</v>
      </c>
    </row>
    <row r="6618" spans="1:2" x14ac:dyDescent="0.25">
      <c r="A6618" s="81" t="s">
        <v>8814</v>
      </c>
      <c r="B6618" s="80" t="s">
        <v>9515</v>
      </c>
    </row>
    <row r="6619" spans="1:2" x14ac:dyDescent="0.25">
      <c r="A6619" s="81" t="s">
        <v>8815</v>
      </c>
      <c r="B6619" s="80" t="s">
        <v>9515</v>
      </c>
    </row>
    <row r="6620" spans="1:2" x14ac:dyDescent="0.25">
      <c r="A6620" s="81" t="s">
        <v>8816</v>
      </c>
      <c r="B6620" s="80" t="s">
        <v>9515</v>
      </c>
    </row>
    <row r="6621" spans="1:2" x14ac:dyDescent="0.25">
      <c r="A6621" s="81" t="s">
        <v>8817</v>
      </c>
      <c r="B6621" s="80" t="s">
        <v>9515</v>
      </c>
    </row>
    <row r="6622" spans="1:2" x14ac:dyDescent="0.25">
      <c r="A6622" s="81" t="s">
        <v>8818</v>
      </c>
      <c r="B6622" s="80" t="s">
        <v>9515</v>
      </c>
    </row>
    <row r="6623" spans="1:2" x14ac:dyDescent="0.25">
      <c r="A6623" s="81" t="s">
        <v>8819</v>
      </c>
      <c r="B6623" s="80" t="s">
        <v>9515</v>
      </c>
    </row>
    <row r="6624" spans="1:2" x14ac:dyDescent="0.25">
      <c r="A6624" s="81" t="s">
        <v>8820</v>
      </c>
      <c r="B6624" s="80" t="s">
        <v>9515</v>
      </c>
    </row>
    <row r="6625" spans="1:2" x14ac:dyDescent="0.25">
      <c r="A6625" s="81" t="s">
        <v>8821</v>
      </c>
      <c r="B6625" s="80" t="s">
        <v>9515</v>
      </c>
    </row>
    <row r="6626" spans="1:2" x14ac:dyDescent="0.25">
      <c r="A6626" s="81" t="s">
        <v>8822</v>
      </c>
      <c r="B6626" s="80" t="s">
        <v>9515</v>
      </c>
    </row>
    <row r="6627" spans="1:2" x14ac:dyDescent="0.25">
      <c r="A6627" s="81" t="s">
        <v>8823</v>
      </c>
      <c r="B6627" s="80" t="s">
        <v>9515</v>
      </c>
    </row>
    <row r="6628" spans="1:2" x14ac:dyDescent="0.25">
      <c r="A6628" s="81" t="s">
        <v>8824</v>
      </c>
      <c r="B6628" s="80" t="s">
        <v>9515</v>
      </c>
    </row>
    <row r="6629" spans="1:2" x14ac:dyDescent="0.25">
      <c r="A6629" s="81" t="s">
        <v>8825</v>
      </c>
      <c r="B6629" s="80" t="s">
        <v>9515</v>
      </c>
    </row>
    <row r="6630" spans="1:2" x14ac:dyDescent="0.25">
      <c r="A6630" s="81" t="s">
        <v>8826</v>
      </c>
      <c r="B6630" s="80" t="s">
        <v>9515</v>
      </c>
    </row>
    <row r="6631" spans="1:2" x14ac:dyDescent="0.25">
      <c r="A6631" s="81" t="s">
        <v>8827</v>
      </c>
      <c r="B6631" s="80" t="s">
        <v>9515</v>
      </c>
    </row>
    <row r="6632" spans="1:2" x14ac:dyDescent="0.25">
      <c r="A6632" s="81" t="s">
        <v>8828</v>
      </c>
      <c r="B6632" s="80" t="s">
        <v>9515</v>
      </c>
    </row>
    <row r="6633" spans="1:2" x14ac:dyDescent="0.25">
      <c r="A6633" s="81" t="s">
        <v>8829</v>
      </c>
      <c r="B6633" s="80" t="s">
        <v>9515</v>
      </c>
    </row>
    <row r="6634" spans="1:2" x14ac:dyDescent="0.25">
      <c r="A6634" s="81" t="s">
        <v>8830</v>
      </c>
      <c r="B6634" s="80" t="s">
        <v>9515</v>
      </c>
    </row>
    <row r="6635" spans="1:2" x14ac:dyDescent="0.25">
      <c r="A6635" s="81" t="s">
        <v>8831</v>
      </c>
      <c r="B6635" s="80" t="s">
        <v>9515</v>
      </c>
    </row>
    <row r="6636" spans="1:2" x14ac:dyDescent="0.25">
      <c r="A6636" s="81" t="s">
        <v>8832</v>
      </c>
      <c r="B6636" s="80" t="s">
        <v>9515</v>
      </c>
    </row>
    <row r="6637" spans="1:2" x14ac:dyDescent="0.25">
      <c r="A6637" s="81" t="s">
        <v>8833</v>
      </c>
      <c r="B6637" s="80" t="s">
        <v>9515</v>
      </c>
    </row>
    <row r="6638" spans="1:2" x14ac:dyDescent="0.25">
      <c r="A6638" s="81" t="s">
        <v>8834</v>
      </c>
      <c r="B6638" s="80" t="s">
        <v>9515</v>
      </c>
    </row>
    <row r="6639" spans="1:2" x14ac:dyDescent="0.25">
      <c r="A6639" s="81" t="s">
        <v>8835</v>
      </c>
      <c r="B6639" s="80" t="s">
        <v>9515</v>
      </c>
    </row>
    <row r="6640" spans="1:2" x14ac:dyDescent="0.25">
      <c r="A6640" s="81" t="s">
        <v>8836</v>
      </c>
      <c r="B6640" s="80" t="s">
        <v>9515</v>
      </c>
    </row>
    <row r="6641" spans="1:2" x14ac:dyDescent="0.25">
      <c r="A6641" s="81" t="s">
        <v>8837</v>
      </c>
      <c r="B6641" s="80" t="s">
        <v>9515</v>
      </c>
    </row>
    <row r="6642" spans="1:2" x14ac:dyDescent="0.25">
      <c r="A6642" s="81" t="s">
        <v>8838</v>
      </c>
      <c r="B6642" s="80" t="s">
        <v>9515</v>
      </c>
    </row>
    <row r="6643" spans="1:2" x14ac:dyDescent="0.25">
      <c r="A6643" s="81" t="s">
        <v>8839</v>
      </c>
      <c r="B6643" s="80" t="s">
        <v>9515</v>
      </c>
    </row>
    <row r="6644" spans="1:2" x14ac:dyDescent="0.25">
      <c r="A6644" s="81" t="s">
        <v>8840</v>
      </c>
      <c r="B6644" s="80" t="s">
        <v>9515</v>
      </c>
    </row>
    <row r="6645" spans="1:2" x14ac:dyDescent="0.25">
      <c r="A6645" s="81" t="s">
        <v>8841</v>
      </c>
      <c r="B6645" s="80" t="s">
        <v>9515</v>
      </c>
    </row>
    <row r="6646" spans="1:2" x14ac:dyDescent="0.25">
      <c r="A6646" s="81" t="s">
        <v>8842</v>
      </c>
      <c r="B6646" s="80" t="s">
        <v>9515</v>
      </c>
    </row>
    <row r="6647" spans="1:2" x14ac:dyDescent="0.25">
      <c r="A6647" s="81" t="s">
        <v>8843</v>
      </c>
      <c r="B6647" s="80" t="s">
        <v>9515</v>
      </c>
    </row>
    <row r="6648" spans="1:2" x14ac:dyDescent="0.25">
      <c r="A6648" s="81" t="s">
        <v>8844</v>
      </c>
      <c r="B6648" s="80" t="s">
        <v>9515</v>
      </c>
    </row>
    <row r="6649" spans="1:2" x14ac:dyDescent="0.25">
      <c r="A6649" s="81" t="s">
        <v>8845</v>
      </c>
      <c r="B6649" s="80" t="s">
        <v>9515</v>
      </c>
    </row>
    <row r="6650" spans="1:2" x14ac:dyDescent="0.25">
      <c r="A6650" s="81" t="s">
        <v>8846</v>
      </c>
      <c r="B6650" s="80" t="s">
        <v>9515</v>
      </c>
    </row>
    <row r="6651" spans="1:2" x14ac:dyDescent="0.25">
      <c r="A6651" s="81" t="s">
        <v>8847</v>
      </c>
      <c r="B6651" s="80" t="s">
        <v>9515</v>
      </c>
    </row>
    <row r="6652" spans="1:2" x14ac:dyDescent="0.25">
      <c r="A6652" s="81" t="s">
        <v>8848</v>
      </c>
      <c r="B6652" s="80" t="s">
        <v>9515</v>
      </c>
    </row>
    <row r="6653" spans="1:2" x14ac:dyDescent="0.25">
      <c r="A6653" s="81" t="s">
        <v>8849</v>
      </c>
      <c r="B6653" s="80" t="s">
        <v>9515</v>
      </c>
    </row>
    <row r="6654" spans="1:2" x14ac:dyDescent="0.25">
      <c r="A6654" s="81" t="s">
        <v>8850</v>
      </c>
      <c r="B6654" s="80" t="s">
        <v>9515</v>
      </c>
    </row>
    <row r="6655" spans="1:2" x14ac:dyDescent="0.25">
      <c r="A6655" s="81" t="s">
        <v>8851</v>
      </c>
      <c r="B6655" s="80" t="s">
        <v>9515</v>
      </c>
    </row>
    <row r="6656" spans="1:2" x14ac:dyDescent="0.25">
      <c r="A6656" s="81" t="s">
        <v>8852</v>
      </c>
      <c r="B6656" s="80" t="s">
        <v>9515</v>
      </c>
    </row>
    <row r="6657" spans="1:2" x14ac:dyDescent="0.25">
      <c r="A6657" s="81" t="s">
        <v>8853</v>
      </c>
      <c r="B6657" s="80" t="s">
        <v>9515</v>
      </c>
    </row>
    <row r="6658" spans="1:2" x14ac:dyDescent="0.25">
      <c r="A6658" s="81" t="s">
        <v>8854</v>
      </c>
      <c r="B6658" s="80" t="s">
        <v>9515</v>
      </c>
    </row>
    <row r="6659" spans="1:2" x14ac:dyDescent="0.25">
      <c r="A6659" s="81" t="s">
        <v>8855</v>
      </c>
      <c r="B6659" s="80" t="s">
        <v>9515</v>
      </c>
    </row>
    <row r="6660" spans="1:2" x14ac:dyDescent="0.25">
      <c r="A6660" s="81" t="s">
        <v>8856</v>
      </c>
      <c r="B6660" s="80" t="s">
        <v>9515</v>
      </c>
    </row>
    <row r="6661" spans="1:2" x14ac:dyDescent="0.25">
      <c r="A6661" s="81" t="s">
        <v>8857</v>
      </c>
      <c r="B6661" s="80" t="s">
        <v>9515</v>
      </c>
    </row>
    <row r="6662" spans="1:2" x14ac:dyDescent="0.25">
      <c r="A6662" s="81" t="s">
        <v>8858</v>
      </c>
      <c r="B6662" s="80" t="s">
        <v>9515</v>
      </c>
    </row>
    <row r="6663" spans="1:2" x14ac:dyDescent="0.25">
      <c r="A6663" s="81" t="s">
        <v>8859</v>
      </c>
      <c r="B6663" s="80" t="s">
        <v>9515</v>
      </c>
    </row>
    <row r="6664" spans="1:2" x14ac:dyDescent="0.25">
      <c r="A6664" s="81" t="s">
        <v>8860</v>
      </c>
      <c r="B6664" s="80" t="s">
        <v>9515</v>
      </c>
    </row>
    <row r="6665" spans="1:2" x14ac:dyDescent="0.25">
      <c r="A6665" s="81" t="s">
        <v>8861</v>
      </c>
      <c r="B6665" s="80" t="s">
        <v>9515</v>
      </c>
    </row>
    <row r="6666" spans="1:2" x14ac:dyDescent="0.25">
      <c r="A6666" s="81" t="s">
        <v>8862</v>
      </c>
      <c r="B6666" s="80" t="s">
        <v>9515</v>
      </c>
    </row>
    <row r="6667" spans="1:2" x14ac:dyDescent="0.25">
      <c r="A6667" s="81" t="s">
        <v>8863</v>
      </c>
      <c r="B6667" s="80" t="s">
        <v>9515</v>
      </c>
    </row>
    <row r="6668" spans="1:2" x14ac:dyDescent="0.25">
      <c r="A6668" s="81" t="s">
        <v>8864</v>
      </c>
      <c r="B6668" s="80" t="s">
        <v>9515</v>
      </c>
    </row>
    <row r="6669" spans="1:2" x14ac:dyDescent="0.25">
      <c r="A6669" s="81" t="s">
        <v>8865</v>
      </c>
      <c r="B6669" s="80" t="s">
        <v>9515</v>
      </c>
    </row>
    <row r="6670" spans="1:2" x14ac:dyDescent="0.25">
      <c r="A6670" s="81" t="s">
        <v>8866</v>
      </c>
      <c r="B6670" s="80" t="s">
        <v>9515</v>
      </c>
    </row>
    <row r="6671" spans="1:2" x14ac:dyDescent="0.25">
      <c r="A6671" s="81" t="s">
        <v>8867</v>
      </c>
      <c r="B6671" s="80" t="s">
        <v>9515</v>
      </c>
    </row>
    <row r="6672" spans="1:2" x14ac:dyDescent="0.25">
      <c r="A6672" s="81" t="s">
        <v>8868</v>
      </c>
      <c r="B6672" s="80" t="s">
        <v>9515</v>
      </c>
    </row>
    <row r="6673" spans="1:2" x14ac:dyDescent="0.25">
      <c r="A6673" s="81" t="s">
        <v>8869</v>
      </c>
      <c r="B6673" s="80" t="s">
        <v>9515</v>
      </c>
    </row>
    <row r="6674" spans="1:2" x14ac:dyDescent="0.25">
      <c r="A6674" s="81" t="s">
        <v>8870</v>
      </c>
      <c r="B6674" s="80" t="s">
        <v>9515</v>
      </c>
    </row>
    <row r="6675" spans="1:2" x14ac:dyDescent="0.25">
      <c r="A6675" s="81" t="s">
        <v>8871</v>
      </c>
      <c r="B6675" s="80" t="s">
        <v>9515</v>
      </c>
    </row>
    <row r="6676" spans="1:2" x14ac:dyDescent="0.25">
      <c r="A6676" s="81" t="s">
        <v>8872</v>
      </c>
      <c r="B6676" s="80" t="s">
        <v>9515</v>
      </c>
    </row>
    <row r="6677" spans="1:2" x14ac:dyDescent="0.25">
      <c r="A6677" s="81" t="s">
        <v>8873</v>
      </c>
      <c r="B6677" s="80" t="s">
        <v>9515</v>
      </c>
    </row>
    <row r="6678" spans="1:2" x14ac:dyDescent="0.25">
      <c r="A6678" s="81" t="s">
        <v>8874</v>
      </c>
      <c r="B6678" s="80" t="s">
        <v>9515</v>
      </c>
    </row>
    <row r="6679" spans="1:2" x14ac:dyDescent="0.25">
      <c r="A6679" s="81" t="s">
        <v>8875</v>
      </c>
      <c r="B6679" s="80" t="s">
        <v>9515</v>
      </c>
    </row>
    <row r="6680" spans="1:2" x14ac:dyDescent="0.25">
      <c r="A6680" s="81" t="s">
        <v>8876</v>
      </c>
      <c r="B6680" s="80" t="s">
        <v>9515</v>
      </c>
    </row>
    <row r="6681" spans="1:2" x14ac:dyDescent="0.25">
      <c r="A6681" s="81" t="s">
        <v>8877</v>
      </c>
      <c r="B6681" s="80" t="s">
        <v>9515</v>
      </c>
    </row>
    <row r="6682" spans="1:2" x14ac:dyDescent="0.25">
      <c r="A6682" s="81" t="s">
        <v>8878</v>
      </c>
      <c r="B6682" s="80" t="s">
        <v>9515</v>
      </c>
    </row>
    <row r="6683" spans="1:2" x14ac:dyDescent="0.25">
      <c r="A6683" s="81" t="s">
        <v>8879</v>
      </c>
      <c r="B6683" s="80" t="s">
        <v>9515</v>
      </c>
    </row>
    <row r="6684" spans="1:2" x14ac:dyDescent="0.25">
      <c r="A6684" s="81" t="s">
        <v>8880</v>
      </c>
      <c r="B6684" s="80" t="s">
        <v>9515</v>
      </c>
    </row>
    <row r="6685" spans="1:2" x14ac:dyDescent="0.25">
      <c r="A6685" s="81" t="s">
        <v>8881</v>
      </c>
      <c r="B6685" s="80" t="s">
        <v>9515</v>
      </c>
    </row>
    <row r="6686" spans="1:2" x14ac:dyDescent="0.25">
      <c r="A6686" s="81" t="s">
        <v>8882</v>
      </c>
      <c r="B6686" s="80" t="s">
        <v>9515</v>
      </c>
    </row>
    <row r="6687" spans="1:2" x14ac:dyDescent="0.25">
      <c r="A6687" s="81" t="s">
        <v>8883</v>
      </c>
      <c r="B6687" s="80" t="s">
        <v>9515</v>
      </c>
    </row>
    <row r="6688" spans="1:2" x14ac:dyDescent="0.25">
      <c r="A6688" s="81" t="s">
        <v>8884</v>
      </c>
      <c r="B6688" s="80" t="s">
        <v>9515</v>
      </c>
    </row>
    <row r="6689" spans="1:2" x14ac:dyDescent="0.25">
      <c r="A6689" s="81" t="s">
        <v>8885</v>
      </c>
      <c r="B6689" s="80" t="s">
        <v>9515</v>
      </c>
    </row>
    <row r="6690" spans="1:2" x14ac:dyDescent="0.25">
      <c r="A6690" s="81" t="s">
        <v>8886</v>
      </c>
      <c r="B6690" s="80" t="s">
        <v>9515</v>
      </c>
    </row>
    <row r="6691" spans="1:2" x14ac:dyDescent="0.25">
      <c r="A6691" s="81" t="s">
        <v>8887</v>
      </c>
      <c r="B6691" s="80" t="s">
        <v>9515</v>
      </c>
    </row>
    <row r="6692" spans="1:2" x14ac:dyDescent="0.25">
      <c r="A6692" s="81" t="s">
        <v>8888</v>
      </c>
      <c r="B6692" s="80" t="s">
        <v>9515</v>
      </c>
    </row>
    <row r="6693" spans="1:2" x14ac:dyDescent="0.25">
      <c r="A6693" s="81" t="s">
        <v>8889</v>
      </c>
      <c r="B6693" s="80" t="s">
        <v>9515</v>
      </c>
    </row>
    <row r="6694" spans="1:2" x14ac:dyDescent="0.25">
      <c r="A6694" s="81" t="s">
        <v>8890</v>
      </c>
      <c r="B6694" s="80" t="s">
        <v>9515</v>
      </c>
    </row>
    <row r="6695" spans="1:2" x14ac:dyDescent="0.25">
      <c r="A6695" s="81" t="s">
        <v>8891</v>
      </c>
      <c r="B6695" s="80" t="s">
        <v>9515</v>
      </c>
    </row>
    <row r="6696" spans="1:2" x14ac:dyDescent="0.25">
      <c r="A6696" s="81" t="s">
        <v>8892</v>
      </c>
      <c r="B6696" s="80" t="s">
        <v>9515</v>
      </c>
    </row>
    <row r="6697" spans="1:2" x14ac:dyDescent="0.25">
      <c r="A6697" s="81" t="s">
        <v>8893</v>
      </c>
      <c r="B6697" s="80" t="s">
        <v>9515</v>
      </c>
    </row>
    <row r="6698" spans="1:2" x14ac:dyDescent="0.25">
      <c r="A6698" s="81" t="s">
        <v>8894</v>
      </c>
      <c r="B6698" s="80" t="s">
        <v>9515</v>
      </c>
    </row>
    <row r="6699" spans="1:2" x14ac:dyDescent="0.25">
      <c r="A6699" s="81" t="s">
        <v>8895</v>
      </c>
      <c r="B6699" s="80" t="s">
        <v>9515</v>
      </c>
    </row>
    <row r="6700" spans="1:2" x14ac:dyDescent="0.25">
      <c r="A6700" s="81" t="s">
        <v>8896</v>
      </c>
      <c r="B6700" s="80" t="s">
        <v>9515</v>
      </c>
    </row>
    <row r="6701" spans="1:2" x14ac:dyDescent="0.25">
      <c r="A6701" s="81" t="s">
        <v>8897</v>
      </c>
      <c r="B6701" s="80" t="s">
        <v>9515</v>
      </c>
    </row>
    <row r="6702" spans="1:2" x14ac:dyDescent="0.25">
      <c r="A6702" s="81" t="s">
        <v>8898</v>
      </c>
      <c r="B6702" s="80" t="s">
        <v>9515</v>
      </c>
    </row>
    <row r="6703" spans="1:2" x14ac:dyDescent="0.25">
      <c r="A6703" s="81" t="s">
        <v>8899</v>
      </c>
      <c r="B6703" s="80" t="s">
        <v>9515</v>
      </c>
    </row>
    <row r="6704" spans="1:2" x14ac:dyDescent="0.25">
      <c r="A6704" s="81" t="s">
        <v>8900</v>
      </c>
      <c r="B6704" s="80" t="s">
        <v>9515</v>
      </c>
    </row>
    <row r="6705" spans="1:2" x14ac:dyDescent="0.25">
      <c r="A6705" s="81" t="s">
        <v>8901</v>
      </c>
      <c r="B6705" s="80" t="s">
        <v>9515</v>
      </c>
    </row>
    <row r="6706" spans="1:2" x14ac:dyDescent="0.25">
      <c r="A6706" s="81" t="s">
        <v>8902</v>
      </c>
      <c r="B6706" s="80" t="s">
        <v>9515</v>
      </c>
    </row>
    <row r="6707" spans="1:2" x14ac:dyDescent="0.25">
      <c r="A6707" s="81" t="s">
        <v>8903</v>
      </c>
      <c r="B6707" s="80" t="s">
        <v>9515</v>
      </c>
    </row>
    <row r="6708" spans="1:2" x14ac:dyDescent="0.25">
      <c r="A6708" s="81" t="s">
        <v>8904</v>
      </c>
      <c r="B6708" s="80" t="s">
        <v>9515</v>
      </c>
    </row>
    <row r="6709" spans="1:2" x14ac:dyDescent="0.25">
      <c r="A6709" s="81" t="s">
        <v>8905</v>
      </c>
      <c r="B6709" s="80" t="s">
        <v>9515</v>
      </c>
    </row>
    <row r="6710" spans="1:2" x14ac:dyDescent="0.25">
      <c r="A6710" s="81" t="s">
        <v>8906</v>
      </c>
      <c r="B6710" s="80" t="s">
        <v>9515</v>
      </c>
    </row>
    <row r="6711" spans="1:2" x14ac:dyDescent="0.25">
      <c r="A6711" s="81" t="s">
        <v>8907</v>
      </c>
      <c r="B6711" s="80" t="s">
        <v>9515</v>
      </c>
    </row>
    <row r="6712" spans="1:2" x14ac:dyDescent="0.25">
      <c r="A6712" s="81" t="s">
        <v>8908</v>
      </c>
      <c r="B6712" s="80" t="s">
        <v>9515</v>
      </c>
    </row>
    <row r="6713" spans="1:2" x14ac:dyDescent="0.25">
      <c r="A6713" s="81" t="s">
        <v>8909</v>
      </c>
      <c r="B6713" s="80" t="s">
        <v>9515</v>
      </c>
    </row>
    <row r="6714" spans="1:2" x14ac:dyDescent="0.25">
      <c r="A6714" s="81" t="s">
        <v>8910</v>
      </c>
      <c r="B6714" s="80" t="s">
        <v>9515</v>
      </c>
    </row>
    <row r="6715" spans="1:2" x14ac:dyDescent="0.25">
      <c r="A6715" s="81" t="s">
        <v>8911</v>
      </c>
      <c r="B6715" s="80" t="s">
        <v>9515</v>
      </c>
    </row>
    <row r="6716" spans="1:2" x14ac:dyDescent="0.25">
      <c r="A6716" s="81" t="s">
        <v>8912</v>
      </c>
      <c r="B6716" s="80" t="s">
        <v>9515</v>
      </c>
    </row>
    <row r="6717" spans="1:2" x14ac:dyDescent="0.25">
      <c r="A6717" s="81" t="s">
        <v>8913</v>
      </c>
      <c r="B6717" s="80" t="s">
        <v>9515</v>
      </c>
    </row>
    <row r="6718" spans="1:2" x14ac:dyDescent="0.25">
      <c r="A6718" s="81" t="s">
        <v>8914</v>
      </c>
      <c r="B6718" s="80" t="s">
        <v>9515</v>
      </c>
    </row>
    <row r="6719" spans="1:2" x14ac:dyDescent="0.25">
      <c r="A6719" s="81" t="s">
        <v>8915</v>
      </c>
      <c r="B6719" s="80" t="s">
        <v>9515</v>
      </c>
    </row>
    <row r="6720" spans="1:2" x14ac:dyDescent="0.25">
      <c r="A6720" s="81" t="s">
        <v>8916</v>
      </c>
      <c r="B6720" s="80" t="s">
        <v>9515</v>
      </c>
    </row>
    <row r="6721" spans="1:2" x14ac:dyDescent="0.25">
      <c r="A6721" s="81" t="s">
        <v>8917</v>
      </c>
      <c r="B6721" s="80" t="s">
        <v>9515</v>
      </c>
    </row>
    <row r="6722" spans="1:2" x14ac:dyDescent="0.25">
      <c r="A6722" s="81" t="s">
        <v>8918</v>
      </c>
      <c r="B6722" s="80" t="s">
        <v>9515</v>
      </c>
    </row>
    <row r="6723" spans="1:2" x14ac:dyDescent="0.25">
      <c r="A6723" s="81" t="s">
        <v>8919</v>
      </c>
      <c r="B6723" s="80" t="s">
        <v>9515</v>
      </c>
    </row>
    <row r="6724" spans="1:2" x14ac:dyDescent="0.25">
      <c r="A6724" s="81" t="s">
        <v>8920</v>
      </c>
      <c r="B6724" s="80" t="s">
        <v>9515</v>
      </c>
    </row>
    <row r="6725" spans="1:2" x14ac:dyDescent="0.25">
      <c r="A6725" s="81" t="s">
        <v>8921</v>
      </c>
      <c r="B6725" s="80" t="s">
        <v>9515</v>
      </c>
    </row>
    <row r="6726" spans="1:2" x14ac:dyDescent="0.25">
      <c r="A6726" s="81" t="s">
        <v>8922</v>
      </c>
      <c r="B6726" s="80" t="s">
        <v>9515</v>
      </c>
    </row>
    <row r="6727" spans="1:2" x14ac:dyDescent="0.25">
      <c r="A6727" s="81" t="s">
        <v>8923</v>
      </c>
      <c r="B6727" s="80" t="s">
        <v>9515</v>
      </c>
    </row>
    <row r="6728" spans="1:2" x14ac:dyDescent="0.25">
      <c r="A6728" s="81" t="s">
        <v>8924</v>
      </c>
      <c r="B6728" s="80" t="s">
        <v>9515</v>
      </c>
    </row>
    <row r="6729" spans="1:2" x14ac:dyDescent="0.25">
      <c r="A6729" s="81" t="s">
        <v>8925</v>
      </c>
      <c r="B6729" s="80" t="s">
        <v>9515</v>
      </c>
    </row>
    <row r="6730" spans="1:2" x14ac:dyDescent="0.25">
      <c r="A6730" s="81" t="s">
        <v>8926</v>
      </c>
      <c r="B6730" s="80" t="s">
        <v>9515</v>
      </c>
    </row>
    <row r="6731" spans="1:2" x14ac:dyDescent="0.25">
      <c r="A6731" s="81" t="s">
        <v>8927</v>
      </c>
      <c r="B6731" s="80" t="s">
        <v>9515</v>
      </c>
    </row>
    <row r="6732" spans="1:2" x14ac:dyDescent="0.25">
      <c r="A6732" s="81" t="s">
        <v>8928</v>
      </c>
      <c r="B6732" s="80" t="s">
        <v>9515</v>
      </c>
    </row>
    <row r="6733" spans="1:2" x14ac:dyDescent="0.25">
      <c r="A6733" s="81" t="s">
        <v>8929</v>
      </c>
      <c r="B6733" s="80" t="s">
        <v>9515</v>
      </c>
    </row>
    <row r="6734" spans="1:2" x14ac:dyDescent="0.25">
      <c r="A6734" s="81" t="s">
        <v>8930</v>
      </c>
      <c r="B6734" s="80" t="s">
        <v>9515</v>
      </c>
    </row>
    <row r="6735" spans="1:2" x14ac:dyDescent="0.25">
      <c r="A6735" s="81" t="s">
        <v>8931</v>
      </c>
      <c r="B6735" s="80" t="s">
        <v>9515</v>
      </c>
    </row>
    <row r="6736" spans="1:2" x14ac:dyDescent="0.25">
      <c r="A6736" s="81" t="s">
        <v>8932</v>
      </c>
      <c r="B6736" s="80" t="s">
        <v>9515</v>
      </c>
    </row>
    <row r="6737" spans="1:2" x14ac:dyDescent="0.25">
      <c r="A6737" s="81" t="s">
        <v>8933</v>
      </c>
      <c r="B6737" s="80" t="s">
        <v>9515</v>
      </c>
    </row>
    <row r="6738" spans="1:2" x14ac:dyDescent="0.25">
      <c r="A6738" s="81" t="s">
        <v>8934</v>
      </c>
      <c r="B6738" s="80" t="s">
        <v>9515</v>
      </c>
    </row>
    <row r="6739" spans="1:2" x14ac:dyDescent="0.25">
      <c r="A6739" s="81" t="s">
        <v>8935</v>
      </c>
      <c r="B6739" s="80" t="s">
        <v>9515</v>
      </c>
    </row>
    <row r="6740" spans="1:2" x14ac:dyDescent="0.25">
      <c r="A6740" s="81" t="s">
        <v>8936</v>
      </c>
      <c r="B6740" s="80" t="s">
        <v>9515</v>
      </c>
    </row>
    <row r="6741" spans="1:2" x14ac:dyDescent="0.25">
      <c r="A6741" s="81" t="s">
        <v>8937</v>
      </c>
      <c r="B6741" s="80" t="s">
        <v>9515</v>
      </c>
    </row>
    <row r="6742" spans="1:2" x14ac:dyDescent="0.25">
      <c r="A6742" s="81" t="s">
        <v>8938</v>
      </c>
      <c r="B6742" s="80" t="s">
        <v>9515</v>
      </c>
    </row>
    <row r="6743" spans="1:2" x14ac:dyDescent="0.25">
      <c r="A6743" s="81" t="s">
        <v>8939</v>
      </c>
      <c r="B6743" s="80" t="s">
        <v>9515</v>
      </c>
    </row>
    <row r="6744" spans="1:2" x14ac:dyDescent="0.25">
      <c r="A6744" s="81" t="s">
        <v>8940</v>
      </c>
      <c r="B6744" s="80" t="s">
        <v>9515</v>
      </c>
    </row>
    <row r="6745" spans="1:2" x14ac:dyDescent="0.25">
      <c r="A6745" s="81" t="s">
        <v>8941</v>
      </c>
      <c r="B6745" s="80" t="s">
        <v>9515</v>
      </c>
    </row>
    <row r="6746" spans="1:2" x14ac:dyDescent="0.25">
      <c r="A6746" s="81" t="s">
        <v>8942</v>
      </c>
      <c r="B6746" s="80" t="s">
        <v>9515</v>
      </c>
    </row>
    <row r="6747" spans="1:2" x14ac:dyDescent="0.25">
      <c r="A6747" s="81" t="s">
        <v>8943</v>
      </c>
      <c r="B6747" s="80" t="s">
        <v>9515</v>
      </c>
    </row>
    <row r="6748" spans="1:2" x14ac:dyDescent="0.25">
      <c r="A6748" s="81" t="s">
        <v>8944</v>
      </c>
      <c r="B6748" s="80" t="s">
        <v>9515</v>
      </c>
    </row>
    <row r="6749" spans="1:2" x14ac:dyDescent="0.25">
      <c r="A6749" s="81" t="s">
        <v>8945</v>
      </c>
      <c r="B6749" s="80" t="s">
        <v>9515</v>
      </c>
    </row>
    <row r="6750" spans="1:2" x14ac:dyDescent="0.25">
      <c r="A6750" s="81" t="s">
        <v>8946</v>
      </c>
      <c r="B6750" s="80" t="s">
        <v>9515</v>
      </c>
    </row>
    <row r="6751" spans="1:2" x14ac:dyDescent="0.25">
      <c r="A6751" s="81" t="s">
        <v>8947</v>
      </c>
      <c r="B6751" s="80" t="s">
        <v>9515</v>
      </c>
    </row>
    <row r="6752" spans="1:2" x14ac:dyDescent="0.25">
      <c r="A6752" s="81" t="s">
        <v>8948</v>
      </c>
      <c r="B6752" s="80" t="s">
        <v>9515</v>
      </c>
    </row>
    <row r="6753" spans="1:2" x14ac:dyDescent="0.25">
      <c r="A6753" s="81" t="s">
        <v>8949</v>
      </c>
      <c r="B6753" s="80" t="s">
        <v>9515</v>
      </c>
    </row>
    <row r="6754" spans="1:2" x14ac:dyDescent="0.25">
      <c r="A6754" s="81" t="s">
        <v>8950</v>
      </c>
      <c r="B6754" s="80" t="s">
        <v>9515</v>
      </c>
    </row>
    <row r="6755" spans="1:2" x14ac:dyDescent="0.25">
      <c r="A6755" s="81" t="s">
        <v>8951</v>
      </c>
      <c r="B6755" s="80" t="s">
        <v>9515</v>
      </c>
    </row>
    <row r="6756" spans="1:2" x14ac:dyDescent="0.25">
      <c r="A6756" s="81" t="s">
        <v>8952</v>
      </c>
      <c r="B6756" s="80" t="s">
        <v>9515</v>
      </c>
    </row>
    <row r="6757" spans="1:2" x14ac:dyDescent="0.25">
      <c r="A6757" s="81" t="s">
        <v>8953</v>
      </c>
      <c r="B6757" s="80" t="s">
        <v>9515</v>
      </c>
    </row>
    <row r="6758" spans="1:2" x14ac:dyDescent="0.25">
      <c r="A6758" s="81" t="s">
        <v>8954</v>
      </c>
      <c r="B6758" s="80" t="s">
        <v>9515</v>
      </c>
    </row>
    <row r="6759" spans="1:2" x14ac:dyDescent="0.25">
      <c r="A6759" s="81" t="s">
        <v>8955</v>
      </c>
      <c r="B6759" s="80" t="s">
        <v>9515</v>
      </c>
    </row>
    <row r="6760" spans="1:2" x14ac:dyDescent="0.25">
      <c r="A6760" s="81" t="s">
        <v>8956</v>
      </c>
      <c r="B6760" s="80" t="s">
        <v>9515</v>
      </c>
    </row>
    <row r="6761" spans="1:2" x14ac:dyDescent="0.25">
      <c r="A6761" s="81" t="s">
        <v>8957</v>
      </c>
      <c r="B6761" s="80" t="s">
        <v>9515</v>
      </c>
    </row>
    <row r="6762" spans="1:2" x14ac:dyDescent="0.25">
      <c r="A6762" s="81" t="s">
        <v>8958</v>
      </c>
      <c r="B6762" s="80" t="s">
        <v>9515</v>
      </c>
    </row>
    <row r="6763" spans="1:2" x14ac:dyDescent="0.25">
      <c r="A6763" s="81" t="s">
        <v>8959</v>
      </c>
      <c r="B6763" s="80" t="s">
        <v>9515</v>
      </c>
    </row>
    <row r="6764" spans="1:2" x14ac:dyDescent="0.25">
      <c r="A6764" s="81" t="s">
        <v>8960</v>
      </c>
      <c r="B6764" s="80" t="s">
        <v>9515</v>
      </c>
    </row>
    <row r="6765" spans="1:2" x14ac:dyDescent="0.25">
      <c r="A6765" s="81" t="s">
        <v>8961</v>
      </c>
      <c r="B6765" s="80" t="s">
        <v>9515</v>
      </c>
    </row>
    <row r="6766" spans="1:2" x14ac:dyDescent="0.25">
      <c r="A6766" s="81" t="s">
        <v>8962</v>
      </c>
      <c r="B6766" s="80" t="s">
        <v>9515</v>
      </c>
    </row>
    <row r="6767" spans="1:2" x14ac:dyDescent="0.25">
      <c r="A6767" s="81" t="s">
        <v>8963</v>
      </c>
      <c r="B6767" s="80" t="s">
        <v>9515</v>
      </c>
    </row>
    <row r="6768" spans="1:2" x14ac:dyDescent="0.25">
      <c r="A6768" s="81" t="s">
        <v>8964</v>
      </c>
      <c r="B6768" s="80" t="s">
        <v>9515</v>
      </c>
    </row>
    <row r="6769" spans="1:2" x14ac:dyDescent="0.25">
      <c r="A6769" s="81" t="s">
        <v>8965</v>
      </c>
      <c r="B6769" s="80" t="s">
        <v>9515</v>
      </c>
    </row>
    <row r="6770" spans="1:2" x14ac:dyDescent="0.25">
      <c r="A6770" s="81" t="s">
        <v>8966</v>
      </c>
      <c r="B6770" s="80" t="s">
        <v>9515</v>
      </c>
    </row>
    <row r="6771" spans="1:2" x14ac:dyDescent="0.25">
      <c r="A6771" s="81" t="s">
        <v>8967</v>
      </c>
      <c r="B6771" s="80" t="s">
        <v>9515</v>
      </c>
    </row>
    <row r="6772" spans="1:2" x14ac:dyDescent="0.25">
      <c r="A6772" s="81" t="s">
        <v>8968</v>
      </c>
      <c r="B6772" s="80" t="s">
        <v>9515</v>
      </c>
    </row>
    <row r="6773" spans="1:2" x14ac:dyDescent="0.25">
      <c r="A6773" s="81" t="s">
        <v>8969</v>
      </c>
      <c r="B6773" s="80" t="s">
        <v>9515</v>
      </c>
    </row>
    <row r="6774" spans="1:2" x14ac:dyDescent="0.25">
      <c r="A6774" s="81" t="s">
        <v>8970</v>
      </c>
      <c r="B6774" s="80" t="s">
        <v>9515</v>
      </c>
    </row>
    <row r="6775" spans="1:2" x14ac:dyDescent="0.25">
      <c r="A6775" s="81" t="s">
        <v>8971</v>
      </c>
      <c r="B6775" s="80" t="s">
        <v>9515</v>
      </c>
    </row>
    <row r="6776" spans="1:2" x14ac:dyDescent="0.25">
      <c r="A6776" s="81" t="s">
        <v>8972</v>
      </c>
      <c r="B6776" s="80" t="s">
        <v>9515</v>
      </c>
    </row>
    <row r="6777" spans="1:2" x14ac:dyDescent="0.25">
      <c r="A6777" s="81" t="s">
        <v>8973</v>
      </c>
      <c r="B6777" s="80" t="s">
        <v>9515</v>
      </c>
    </row>
    <row r="6778" spans="1:2" x14ac:dyDescent="0.25">
      <c r="A6778" s="81" t="s">
        <v>8974</v>
      </c>
      <c r="B6778" s="80" t="s">
        <v>9515</v>
      </c>
    </row>
    <row r="6779" spans="1:2" x14ac:dyDescent="0.25">
      <c r="A6779" s="81" t="s">
        <v>8975</v>
      </c>
      <c r="B6779" s="80" t="s">
        <v>9515</v>
      </c>
    </row>
    <row r="6780" spans="1:2" x14ac:dyDescent="0.25">
      <c r="A6780" s="81" t="s">
        <v>8976</v>
      </c>
      <c r="B6780" s="80" t="s">
        <v>9515</v>
      </c>
    </row>
    <row r="6781" spans="1:2" x14ac:dyDescent="0.25">
      <c r="A6781" s="81" t="s">
        <v>8977</v>
      </c>
      <c r="B6781" s="80" t="s">
        <v>9515</v>
      </c>
    </row>
    <row r="6782" spans="1:2" x14ac:dyDescent="0.25">
      <c r="A6782" s="81" t="s">
        <v>8978</v>
      </c>
      <c r="B6782" s="80" t="s">
        <v>9515</v>
      </c>
    </row>
    <row r="6783" spans="1:2" x14ac:dyDescent="0.25">
      <c r="A6783" s="81" t="s">
        <v>8979</v>
      </c>
      <c r="B6783" s="80" t="s">
        <v>9515</v>
      </c>
    </row>
    <row r="6784" spans="1:2" x14ac:dyDescent="0.25">
      <c r="A6784" s="81" t="s">
        <v>8980</v>
      </c>
      <c r="B6784" s="80" t="s">
        <v>9515</v>
      </c>
    </row>
    <row r="6785" spans="1:2" x14ac:dyDescent="0.25">
      <c r="A6785" s="81" t="s">
        <v>8981</v>
      </c>
      <c r="B6785" s="80" t="s">
        <v>9515</v>
      </c>
    </row>
    <row r="6786" spans="1:2" x14ac:dyDescent="0.25">
      <c r="A6786" s="81" t="s">
        <v>8982</v>
      </c>
      <c r="B6786" s="80" t="s">
        <v>9515</v>
      </c>
    </row>
    <row r="6787" spans="1:2" x14ac:dyDescent="0.25">
      <c r="A6787" s="81" t="s">
        <v>8983</v>
      </c>
      <c r="B6787" s="80" t="s">
        <v>9515</v>
      </c>
    </row>
    <row r="6788" spans="1:2" x14ac:dyDescent="0.25">
      <c r="A6788" s="81" t="s">
        <v>8984</v>
      </c>
      <c r="B6788" s="80" t="s">
        <v>9515</v>
      </c>
    </row>
    <row r="6789" spans="1:2" x14ac:dyDescent="0.25">
      <c r="A6789" s="81" t="s">
        <v>8985</v>
      </c>
      <c r="B6789" s="80" t="s">
        <v>9515</v>
      </c>
    </row>
    <row r="6790" spans="1:2" x14ac:dyDescent="0.25">
      <c r="A6790" s="81" t="s">
        <v>8986</v>
      </c>
      <c r="B6790" s="80" t="s">
        <v>9515</v>
      </c>
    </row>
    <row r="6791" spans="1:2" x14ac:dyDescent="0.25">
      <c r="A6791" s="81" t="s">
        <v>8987</v>
      </c>
      <c r="B6791" s="80" t="s">
        <v>9515</v>
      </c>
    </row>
    <row r="6792" spans="1:2" x14ac:dyDescent="0.25">
      <c r="A6792" s="81" t="s">
        <v>8988</v>
      </c>
      <c r="B6792" s="80" t="s">
        <v>9515</v>
      </c>
    </row>
    <row r="6793" spans="1:2" x14ac:dyDescent="0.25">
      <c r="A6793" s="81" t="s">
        <v>8989</v>
      </c>
      <c r="B6793" s="80" t="s">
        <v>9515</v>
      </c>
    </row>
    <row r="6794" spans="1:2" x14ac:dyDescent="0.25">
      <c r="A6794" s="81" t="s">
        <v>8990</v>
      </c>
      <c r="B6794" s="80" t="s">
        <v>9515</v>
      </c>
    </row>
    <row r="6795" spans="1:2" x14ac:dyDescent="0.25">
      <c r="A6795" s="81" t="s">
        <v>8991</v>
      </c>
      <c r="B6795" s="80" t="s">
        <v>9515</v>
      </c>
    </row>
    <row r="6796" spans="1:2" x14ac:dyDescent="0.25">
      <c r="A6796" s="81" t="s">
        <v>8992</v>
      </c>
      <c r="B6796" s="80" t="s">
        <v>9515</v>
      </c>
    </row>
    <row r="6797" spans="1:2" x14ac:dyDescent="0.25">
      <c r="A6797" s="81" t="s">
        <v>8993</v>
      </c>
      <c r="B6797" s="80" t="s">
        <v>9515</v>
      </c>
    </row>
    <row r="6798" spans="1:2" x14ac:dyDescent="0.25">
      <c r="A6798" s="81" t="s">
        <v>8994</v>
      </c>
      <c r="B6798" s="80" t="s">
        <v>9515</v>
      </c>
    </row>
    <row r="6799" spans="1:2" x14ac:dyDescent="0.25">
      <c r="A6799" s="81" t="s">
        <v>8995</v>
      </c>
      <c r="B6799" s="80" t="s">
        <v>9515</v>
      </c>
    </row>
    <row r="6800" spans="1:2" x14ac:dyDescent="0.25">
      <c r="A6800" s="81" t="s">
        <v>8996</v>
      </c>
      <c r="B6800" s="80" t="s">
        <v>9515</v>
      </c>
    </row>
    <row r="6801" spans="1:2" x14ac:dyDescent="0.25">
      <c r="A6801" s="81" t="s">
        <v>8997</v>
      </c>
      <c r="B6801" s="80" t="s">
        <v>9515</v>
      </c>
    </row>
    <row r="6802" spans="1:2" x14ac:dyDescent="0.25">
      <c r="A6802" s="81" t="s">
        <v>8998</v>
      </c>
      <c r="B6802" s="80" t="s">
        <v>9515</v>
      </c>
    </row>
    <row r="6803" spans="1:2" x14ac:dyDescent="0.25">
      <c r="A6803" s="81" t="s">
        <v>8999</v>
      </c>
      <c r="B6803" s="80" t="s">
        <v>9515</v>
      </c>
    </row>
    <row r="6804" spans="1:2" x14ac:dyDescent="0.25">
      <c r="A6804" s="81" t="s">
        <v>9000</v>
      </c>
      <c r="B6804" s="80" t="s">
        <v>9515</v>
      </c>
    </row>
    <row r="6805" spans="1:2" x14ac:dyDescent="0.25">
      <c r="A6805" s="81" t="s">
        <v>9001</v>
      </c>
      <c r="B6805" s="80" t="s">
        <v>9515</v>
      </c>
    </row>
    <row r="6806" spans="1:2" x14ac:dyDescent="0.25">
      <c r="A6806" s="81" t="s">
        <v>9002</v>
      </c>
      <c r="B6806" s="80" t="s">
        <v>9515</v>
      </c>
    </row>
    <row r="6807" spans="1:2" x14ac:dyDescent="0.25">
      <c r="A6807" s="81" t="s">
        <v>9003</v>
      </c>
      <c r="B6807" s="80" t="s">
        <v>9515</v>
      </c>
    </row>
    <row r="6808" spans="1:2" x14ac:dyDescent="0.25">
      <c r="A6808" s="81" t="s">
        <v>9004</v>
      </c>
      <c r="B6808" s="80" t="s">
        <v>9515</v>
      </c>
    </row>
    <row r="6809" spans="1:2" x14ac:dyDescent="0.25">
      <c r="A6809" s="81" t="s">
        <v>9005</v>
      </c>
      <c r="B6809" s="80" t="s">
        <v>9515</v>
      </c>
    </row>
    <row r="6810" spans="1:2" x14ac:dyDescent="0.25">
      <c r="A6810" s="81" t="s">
        <v>9006</v>
      </c>
      <c r="B6810" s="80" t="s">
        <v>9515</v>
      </c>
    </row>
    <row r="6811" spans="1:2" x14ac:dyDescent="0.25">
      <c r="A6811" s="81" t="s">
        <v>9007</v>
      </c>
      <c r="B6811" s="80" t="s">
        <v>9515</v>
      </c>
    </row>
    <row r="6812" spans="1:2" x14ac:dyDescent="0.25">
      <c r="A6812" s="81" t="s">
        <v>9008</v>
      </c>
      <c r="B6812" s="80" t="s">
        <v>9515</v>
      </c>
    </row>
    <row r="6813" spans="1:2" x14ac:dyDescent="0.25">
      <c r="A6813" s="81" t="s">
        <v>9009</v>
      </c>
      <c r="B6813" s="80" t="s">
        <v>9515</v>
      </c>
    </row>
    <row r="6814" spans="1:2" x14ac:dyDescent="0.25">
      <c r="A6814" s="81" t="s">
        <v>9010</v>
      </c>
      <c r="B6814" s="80" t="s">
        <v>9515</v>
      </c>
    </row>
    <row r="6815" spans="1:2" x14ac:dyDescent="0.25">
      <c r="A6815" s="81" t="s">
        <v>9011</v>
      </c>
      <c r="B6815" s="80" t="s">
        <v>9515</v>
      </c>
    </row>
    <row r="6816" spans="1:2" x14ac:dyDescent="0.25">
      <c r="A6816" s="81" t="s">
        <v>9012</v>
      </c>
      <c r="B6816" s="80" t="s">
        <v>9515</v>
      </c>
    </row>
    <row r="6817" spans="1:2" x14ac:dyDescent="0.25">
      <c r="A6817" s="81" t="s">
        <v>9013</v>
      </c>
      <c r="B6817" s="80" t="s">
        <v>9515</v>
      </c>
    </row>
    <row r="6818" spans="1:2" x14ac:dyDescent="0.25">
      <c r="A6818" s="81" t="s">
        <v>9014</v>
      </c>
      <c r="B6818" s="80" t="s">
        <v>9515</v>
      </c>
    </row>
    <row r="6819" spans="1:2" x14ac:dyDescent="0.25">
      <c r="A6819" s="81" t="s">
        <v>9015</v>
      </c>
      <c r="B6819" s="80" t="s">
        <v>9515</v>
      </c>
    </row>
    <row r="6820" spans="1:2" x14ac:dyDescent="0.25">
      <c r="A6820" s="81" t="s">
        <v>9016</v>
      </c>
      <c r="B6820" s="80" t="s">
        <v>9515</v>
      </c>
    </row>
    <row r="6821" spans="1:2" x14ac:dyDescent="0.25">
      <c r="A6821" s="81" t="s">
        <v>9017</v>
      </c>
      <c r="B6821" s="80" t="s">
        <v>9515</v>
      </c>
    </row>
    <row r="6822" spans="1:2" x14ac:dyDescent="0.25">
      <c r="A6822" s="81" t="s">
        <v>9018</v>
      </c>
      <c r="B6822" s="80" t="s">
        <v>9515</v>
      </c>
    </row>
    <row r="6823" spans="1:2" x14ac:dyDescent="0.25">
      <c r="A6823" s="81" t="s">
        <v>9019</v>
      </c>
      <c r="B6823" s="80" t="s">
        <v>9515</v>
      </c>
    </row>
    <row r="6824" spans="1:2" x14ac:dyDescent="0.25">
      <c r="A6824" s="81" t="s">
        <v>9020</v>
      </c>
      <c r="B6824" s="80" t="s">
        <v>9515</v>
      </c>
    </row>
    <row r="6825" spans="1:2" x14ac:dyDescent="0.25">
      <c r="A6825" s="81" t="s">
        <v>9021</v>
      </c>
      <c r="B6825" s="80" t="s">
        <v>9515</v>
      </c>
    </row>
    <row r="6826" spans="1:2" x14ac:dyDescent="0.25">
      <c r="A6826" s="81" t="s">
        <v>9022</v>
      </c>
      <c r="B6826" s="80" t="s">
        <v>9515</v>
      </c>
    </row>
    <row r="6827" spans="1:2" x14ac:dyDescent="0.25">
      <c r="A6827" s="81" t="s">
        <v>9023</v>
      </c>
      <c r="B6827" s="80" t="s">
        <v>9515</v>
      </c>
    </row>
    <row r="6828" spans="1:2" x14ac:dyDescent="0.25">
      <c r="A6828" s="81" t="s">
        <v>9024</v>
      </c>
      <c r="B6828" s="80" t="s">
        <v>9515</v>
      </c>
    </row>
    <row r="6829" spans="1:2" x14ac:dyDescent="0.25">
      <c r="A6829" s="81" t="s">
        <v>9025</v>
      </c>
      <c r="B6829" s="80" t="s">
        <v>9515</v>
      </c>
    </row>
    <row r="6830" spans="1:2" x14ac:dyDescent="0.25">
      <c r="A6830" s="81" t="s">
        <v>9026</v>
      </c>
      <c r="B6830" s="80" t="s">
        <v>9515</v>
      </c>
    </row>
    <row r="6831" spans="1:2" x14ac:dyDescent="0.25">
      <c r="A6831" s="81" t="s">
        <v>9027</v>
      </c>
      <c r="B6831" s="80" t="s">
        <v>9515</v>
      </c>
    </row>
    <row r="6832" spans="1:2" x14ac:dyDescent="0.25">
      <c r="A6832" s="81" t="s">
        <v>9028</v>
      </c>
      <c r="B6832" s="80" t="s">
        <v>9515</v>
      </c>
    </row>
    <row r="6833" spans="1:2" x14ac:dyDescent="0.25">
      <c r="A6833" s="81" t="s">
        <v>9029</v>
      </c>
      <c r="B6833" s="80" t="s">
        <v>9515</v>
      </c>
    </row>
    <row r="6834" spans="1:2" x14ac:dyDescent="0.25">
      <c r="A6834" s="81" t="s">
        <v>9030</v>
      </c>
      <c r="B6834" s="80" t="s">
        <v>9515</v>
      </c>
    </row>
    <row r="6835" spans="1:2" x14ac:dyDescent="0.25">
      <c r="A6835" s="81" t="s">
        <v>9031</v>
      </c>
      <c r="B6835" s="80" t="s">
        <v>9515</v>
      </c>
    </row>
    <row r="6836" spans="1:2" x14ac:dyDescent="0.25">
      <c r="A6836" s="81" t="s">
        <v>9032</v>
      </c>
      <c r="B6836" s="80" t="s">
        <v>9515</v>
      </c>
    </row>
    <row r="6837" spans="1:2" x14ac:dyDescent="0.25">
      <c r="A6837" s="81" t="s">
        <v>9033</v>
      </c>
      <c r="B6837" s="80" t="s">
        <v>9515</v>
      </c>
    </row>
    <row r="6838" spans="1:2" x14ac:dyDescent="0.25">
      <c r="A6838" s="81" t="s">
        <v>9034</v>
      </c>
      <c r="B6838" s="80" t="s">
        <v>9515</v>
      </c>
    </row>
    <row r="6839" spans="1:2" x14ac:dyDescent="0.25">
      <c r="A6839" s="81" t="s">
        <v>9035</v>
      </c>
      <c r="B6839" s="80" t="s">
        <v>9515</v>
      </c>
    </row>
    <row r="6840" spans="1:2" x14ac:dyDescent="0.25">
      <c r="A6840" s="81" t="s">
        <v>9036</v>
      </c>
      <c r="B6840" s="80" t="s">
        <v>9515</v>
      </c>
    </row>
    <row r="6841" spans="1:2" x14ac:dyDescent="0.25">
      <c r="A6841" s="81" t="s">
        <v>9037</v>
      </c>
      <c r="B6841" s="80" t="s">
        <v>9515</v>
      </c>
    </row>
    <row r="6842" spans="1:2" x14ac:dyDescent="0.25">
      <c r="A6842" s="81" t="s">
        <v>9038</v>
      </c>
      <c r="B6842" s="80" t="s">
        <v>9515</v>
      </c>
    </row>
    <row r="6843" spans="1:2" x14ac:dyDescent="0.25">
      <c r="A6843" s="81" t="s">
        <v>9039</v>
      </c>
      <c r="B6843" s="80" t="s">
        <v>9515</v>
      </c>
    </row>
    <row r="6844" spans="1:2" x14ac:dyDescent="0.25">
      <c r="A6844" s="81" t="s">
        <v>9040</v>
      </c>
      <c r="B6844" s="80" t="s">
        <v>9515</v>
      </c>
    </row>
    <row r="6845" spans="1:2" x14ac:dyDescent="0.25">
      <c r="A6845" s="81" t="s">
        <v>9041</v>
      </c>
      <c r="B6845" s="80" t="s">
        <v>9515</v>
      </c>
    </row>
    <row r="6846" spans="1:2" x14ac:dyDescent="0.25">
      <c r="A6846" s="81" t="s">
        <v>9042</v>
      </c>
      <c r="B6846" s="80" t="s">
        <v>9515</v>
      </c>
    </row>
    <row r="6847" spans="1:2" x14ac:dyDescent="0.25">
      <c r="A6847" s="81" t="s">
        <v>9043</v>
      </c>
      <c r="B6847" s="80" t="s">
        <v>9515</v>
      </c>
    </row>
    <row r="6848" spans="1:2" x14ac:dyDescent="0.25">
      <c r="A6848" s="81" t="s">
        <v>9044</v>
      </c>
      <c r="B6848" s="80" t="s">
        <v>9515</v>
      </c>
    </row>
    <row r="6849" spans="1:2" x14ac:dyDescent="0.25">
      <c r="A6849" s="81" t="s">
        <v>9045</v>
      </c>
      <c r="B6849" s="80" t="s">
        <v>9515</v>
      </c>
    </row>
    <row r="6850" spans="1:2" x14ac:dyDescent="0.25">
      <c r="A6850" s="81" t="s">
        <v>9046</v>
      </c>
      <c r="B6850" s="80" t="s">
        <v>9515</v>
      </c>
    </row>
    <row r="6851" spans="1:2" x14ac:dyDescent="0.25">
      <c r="A6851" s="81" t="s">
        <v>9047</v>
      </c>
      <c r="B6851" s="80" t="s">
        <v>9515</v>
      </c>
    </row>
    <row r="6852" spans="1:2" x14ac:dyDescent="0.25">
      <c r="A6852" s="81" t="s">
        <v>9048</v>
      </c>
      <c r="B6852" s="80" t="s">
        <v>9515</v>
      </c>
    </row>
    <row r="6853" spans="1:2" x14ac:dyDescent="0.25">
      <c r="A6853" s="81" t="s">
        <v>9049</v>
      </c>
      <c r="B6853" s="80" t="s">
        <v>9515</v>
      </c>
    </row>
    <row r="6854" spans="1:2" x14ac:dyDescent="0.25">
      <c r="A6854" s="81" t="s">
        <v>9050</v>
      </c>
      <c r="B6854" s="80" t="s">
        <v>9515</v>
      </c>
    </row>
    <row r="6855" spans="1:2" x14ac:dyDescent="0.25">
      <c r="A6855" s="81" t="s">
        <v>9051</v>
      </c>
      <c r="B6855" s="80" t="s">
        <v>9515</v>
      </c>
    </row>
    <row r="6856" spans="1:2" x14ac:dyDescent="0.25">
      <c r="A6856" s="81" t="s">
        <v>9052</v>
      </c>
      <c r="B6856" s="80" t="s">
        <v>9515</v>
      </c>
    </row>
    <row r="6857" spans="1:2" x14ac:dyDescent="0.25">
      <c r="A6857" s="81" t="s">
        <v>9053</v>
      </c>
      <c r="B6857" s="80" t="s">
        <v>9515</v>
      </c>
    </row>
    <row r="6858" spans="1:2" x14ac:dyDescent="0.25">
      <c r="A6858" s="81" t="s">
        <v>9054</v>
      </c>
      <c r="B6858" s="80" t="s">
        <v>9515</v>
      </c>
    </row>
    <row r="6859" spans="1:2" x14ac:dyDescent="0.25">
      <c r="A6859" s="81" t="s">
        <v>9055</v>
      </c>
      <c r="B6859" s="80" t="s">
        <v>9515</v>
      </c>
    </row>
    <row r="6860" spans="1:2" x14ac:dyDescent="0.25">
      <c r="A6860" s="81" t="s">
        <v>9056</v>
      </c>
      <c r="B6860" s="80" t="s">
        <v>9515</v>
      </c>
    </row>
    <row r="6861" spans="1:2" x14ac:dyDescent="0.25">
      <c r="A6861" s="81" t="s">
        <v>9057</v>
      </c>
      <c r="B6861" s="80" t="s">
        <v>9515</v>
      </c>
    </row>
    <row r="6862" spans="1:2" x14ac:dyDescent="0.25">
      <c r="A6862" s="81" t="s">
        <v>9058</v>
      </c>
      <c r="B6862" s="80" t="s">
        <v>9515</v>
      </c>
    </row>
    <row r="6863" spans="1:2" x14ac:dyDescent="0.25">
      <c r="A6863" s="81" t="s">
        <v>9059</v>
      </c>
      <c r="B6863" s="80" t="s">
        <v>9515</v>
      </c>
    </row>
    <row r="6864" spans="1:2" x14ac:dyDescent="0.25">
      <c r="A6864" s="81" t="s">
        <v>9060</v>
      </c>
      <c r="B6864" s="80" t="s">
        <v>9515</v>
      </c>
    </row>
    <row r="6865" spans="1:2" x14ac:dyDescent="0.25">
      <c r="A6865" s="81" t="s">
        <v>9061</v>
      </c>
      <c r="B6865" s="80" t="s">
        <v>9515</v>
      </c>
    </row>
    <row r="6866" spans="1:2" x14ac:dyDescent="0.25">
      <c r="A6866" s="81" t="s">
        <v>9062</v>
      </c>
      <c r="B6866" s="80" t="s">
        <v>9515</v>
      </c>
    </row>
    <row r="6867" spans="1:2" x14ac:dyDescent="0.25">
      <c r="A6867" s="81" t="s">
        <v>9063</v>
      </c>
      <c r="B6867" s="80" t="s">
        <v>9515</v>
      </c>
    </row>
    <row r="6868" spans="1:2" x14ac:dyDescent="0.25">
      <c r="A6868" s="81" t="s">
        <v>9064</v>
      </c>
      <c r="B6868" s="80" t="s">
        <v>9515</v>
      </c>
    </row>
    <row r="6869" spans="1:2" x14ac:dyDescent="0.25">
      <c r="A6869" s="81" t="s">
        <v>9065</v>
      </c>
      <c r="B6869" s="80" t="s">
        <v>9515</v>
      </c>
    </row>
    <row r="6870" spans="1:2" x14ac:dyDescent="0.25">
      <c r="A6870" s="81" t="s">
        <v>9066</v>
      </c>
      <c r="B6870" s="80" t="s">
        <v>9515</v>
      </c>
    </row>
    <row r="6871" spans="1:2" x14ac:dyDescent="0.25">
      <c r="A6871" s="81" t="s">
        <v>9067</v>
      </c>
      <c r="B6871" s="80" t="s">
        <v>9515</v>
      </c>
    </row>
    <row r="6872" spans="1:2" x14ac:dyDescent="0.25">
      <c r="A6872" s="81" t="s">
        <v>9068</v>
      </c>
      <c r="B6872" s="80" t="s">
        <v>9515</v>
      </c>
    </row>
    <row r="6873" spans="1:2" x14ac:dyDescent="0.25">
      <c r="A6873" s="81" t="s">
        <v>9069</v>
      </c>
      <c r="B6873" s="80" t="s">
        <v>9515</v>
      </c>
    </row>
    <row r="6874" spans="1:2" x14ac:dyDescent="0.25">
      <c r="A6874" s="81" t="s">
        <v>9070</v>
      </c>
      <c r="B6874" s="80" t="s">
        <v>9515</v>
      </c>
    </row>
    <row r="6875" spans="1:2" x14ac:dyDescent="0.25">
      <c r="A6875" s="81" t="s">
        <v>9071</v>
      </c>
      <c r="B6875" s="80" t="s">
        <v>9515</v>
      </c>
    </row>
    <row r="6876" spans="1:2" x14ac:dyDescent="0.25">
      <c r="A6876" s="81" t="s">
        <v>9072</v>
      </c>
      <c r="B6876" s="80" t="s">
        <v>9515</v>
      </c>
    </row>
    <row r="6877" spans="1:2" x14ac:dyDescent="0.25">
      <c r="A6877" s="81" t="s">
        <v>9073</v>
      </c>
      <c r="B6877" s="80" t="s">
        <v>9515</v>
      </c>
    </row>
    <row r="6878" spans="1:2" x14ac:dyDescent="0.25">
      <c r="A6878" s="81" t="s">
        <v>9074</v>
      </c>
      <c r="B6878" s="80" t="s">
        <v>9515</v>
      </c>
    </row>
    <row r="6879" spans="1:2" x14ac:dyDescent="0.25">
      <c r="A6879" s="81" t="s">
        <v>9075</v>
      </c>
      <c r="B6879" s="80" t="s">
        <v>9515</v>
      </c>
    </row>
    <row r="6880" spans="1:2" x14ac:dyDescent="0.25">
      <c r="A6880" s="81" t="s">
        <v>9076</v>
      </c>
      <c r="B6880" s="80" t="s">
        <v>9515</v>
      </c>
    </row>
    <row r="6881" spans="1:2" x14ac:dyDescent="0.25">
      <c r="A6881" s="81" t="s">
        <v>9077</v>
      </c>
      <c r="B6881" s="80" t="s">
        <v>9515</v>
      </c>
    </row>
    <row r="6882" spans="1:2" x14ac:dyDescent="0.25">
      <c r="A6882" s="81" t="s">
        <v>9078</v>
      </c>
      <c r="B6882" s="80" t="s">
        <v>9515</v>
      </c>
    </row>
    <row r="6883" spans="1:2" x14ac:dyDescent="0.25">
      <c r="A6883" s="81" t="s">
        <v>9079</v>
      </c>
      <c r="B6883" s="80" t="s">
        <v>9515</v>
      </c>
    </row>
    <row r="6884" spans="1:2" x14ac:dyDescent="0.25">
      <c r="A6884" s="81" t="s">
        <v>9080</v>
      </c>
      <c r="B6884" s="80" t="s">
        <v>9515</v>
      </c>
    </row>
    <row r="6885" spans="1:2" x14ac:dyDescent="0.25">
      <c r="A6885" s="81" t="s">
        <v>9081</v>
      </c>
      <c r="B6885" s="80" t="s">
        <v>9515</v>
      </c>
    </row>
    <row r="6886" spans="1:2" x14ac:dyDescent="0.25">
      <c r="A6886" s="81" t="s">
        <v>9082</v>
      </c>
      <c r="B6886" s="80" t="s">
        <v>9515</v>
      </c>
    </row>
    <row r="6887" spans="1:2" x14ac:dyDescent="0.25">
      <c r="A6887" s="81" t="s">
        <v>9083</v>
      </c>
      <c r="B6887" s="80" t="s">
        <v>9515</v>
      </c>
    </row>
    <row r="6888" spans="1:2" x14ac:dyDescent="0.25">
      <c r="A6888" s="81" t="s">
        <v>9084</v>
      </c>
      <c r="B6888" s="80" t="s">
        <v>9515</v>
      </c>
    </row>
    <row r="6889" spans="1:2" x14ac:dyDescent="0.25">
      <c r="A6889" s="81" t="s">
        <v>9085</v>
      </c>
      <c r="B6889" s="80" t="s">
        <v>9515</v>
      </c>
    </row>
    <row r="6890" spans="1:2" x14ac:dyDescent="0.25">
      <c r="A6890" s="81" t="s">
        <v>9086</v>
      </c>
      <c r="B6890" s="80" t="s">
        <v>9515</v>
      </c>
    </row>
    <row r="6891" spans="1:2" x14ac:dyDescent="0.25">
      <c r="A6891" s="81" t="s">
        <v>9087</v>
      </c>
      <c r="B6891" s="80" t="s">
        <v>9515</v>
      </c>
    </row>
    <row r="6892" spans="1:2" x14ac:dyDescent="0.25">
      <c r="A6892" s="81" t="s">
        <v>9088</v>
      </c>
      <c r="B6892" s="80" t="s">
        <v>9515</v>
      </c>
    </row>
    <row r="6893" spans="1:2" x14ac:dyDescent="0.25">
      <c r="A6893" s="81" t="s">
        <v>9089</v>
      </c>
      <c r="B6893" s="80" t="s">
        <v>9515</v>
      </c>
    </row>
    <row r="6894" spans="1:2" x14ac:dyDescent="0.25">
      <c r="A6894" s="81" t="s">
        <v>9090</v>
      </c>
      <c r="B6894" s="80" t="s">
        <v>9515</v>
      </c>
    </row>
    <row r="6895" spans="1:2" x14ac:dyDescent="0.25">
      <c r="A6895" s="81" t="s">
        <v>9091</v>
      </c>
      <c r="B6895" s="80" t="s">
        <v>9515</v>
      </c>
    </row>
    <row r="6896" spans="1:2" x14ac:dyDescent="0.25">
      <c r="A6896" s="81" t="s">
        <v>9092</v>
      </c>
      <c r="B6896" s="80" t="s">
        <v>9515</v>
      </c>
    </row>
    <row r="6897" spans="1:2" x14ac:dyDescent="0.25">
      <c r="A6897" s="81" t="s">
        <v>9093</v>
      </c>
      <c r="B6897" s="80" t="s">
        <v>9515</v>
      </c>
    </row>
    <row r="6898" spans="1:2" x14ac:dyDescent="0.25">
      <c r="A6898" s="81" t="s">
        <v>9094</v>
      </c>
      <c r="B6898" s="80" t="s">
        <v>9515</v>
      </c>
    </row>
    <row r="6899" spans="1:2" x14ac:dyDescent="0.25">
      <c r="A6899" s="81" t="s">
        <v>9095</v>
      </c>
      <c r="B6899" s="80" t="s">
        <v>9515</v>
      </c>
    </row>
    <row r="6900" spans="1:2" x14ac:dyDescent="0.25">
      <c r="A6900" s="81" t="s">
        <v>9096</v>
      </c>
      <c r="B6900" s="80" t="s">
        <v>9515</v>
      </c>
    </row>
    <row r="6901" spans="1:2" x14ac:dyDescent="0.25">
      <c r="A6901" s="81" t="s">
        <v>9097</v>
      </c>
      <c r="B6901" s="80" t="s">
        <v>9515</v>
      </c>
    </row>
    <row r="6902" spans="1:2" x14ac:dyDescent="0.25">
      <c r="A6902" s="81" t="s">
        <v>9098</v>
      </c>
      <c r="B6902" s="80" t="s">
        <v>9515</v>
      </c>
    </row>
    <row r="6903" spans="1:2" x14ac:dyDescent="0.25">
      <c r="A6903" s="81" t="s">
        <v>9099</v>
      </c>
      <c r="B6903" s="80" t="s">
        <v>9515</v>
      </c>
    </row>
    <row r="6904" spans="1:2" x14ac:dyDescent="0.25">
      <c r="A6904" s="81" t="s">
        <v>9100</v>
      </c>
      <c r="B6904" s="80" t="s">
        <v>9515</v>
      </c>
    </row>
    <row r="6905" spans="1:2" x14ac:dyDescent="0.25">
      <c r="A6905" s="81" t="s">
        <v>9101</v>
      </c>
      <c r="B6905" s="80" t="s">
        <v>9515</v>
      </c>
    </row>
    <row r="6906" spans="1:2" x14ac:dyDescent="0.25">
      <c r="A6906" s="81" t="s">
        <v>9102</v>
      </c>
      <c r="B6906" s="80" t="s">
        <v>9515</v>
      </c>
    </row>
    <row r="6907" spans="1:2" x14ac:dyDescent="0.25">
      <c r="A6907" s="81" t="s">
        <v>9103</v>
      </c>
      <c r="B6907" s="80" t="s">
        <v>9515</v>
      </c>
    </row>
    <row r="6908" spans="1:2" x14ac:dyDescent="0.25">
      <c r="A6908" s="81" t="s">
        <v>9104</v>
      </c>
      <c r="B6908" s="80" t="s">
        <v>9515</v>
      </c>
    </row>
    <row r="6909" spans="1:2" x14ac:dyDescent="0.25">
      <c r="A6909" s="81" t="s">
        <v>9105</v>
      </c>
      <c r="B6909" s="80" t="s">
        <v>9515</v>
      </c>
    </row>
    <row r="6910" spans="1:2" x14ac:dyDescent="0.25">
      <c r="A6910" s="81" t="s">
        <v>9106</v>
      </c>
      <c r="B6910" s="80" t="s">
        <v>9515</v>
      </c>
    </row>
    <row r="6911" spans="1:2" x14ac:dyDescent="0.25">
      <c r="A6911" s="81" t="s">
        <v>9107</v>
      </c>
      <c r="B6911" s="80" t="s">
        <v>9515</v>
      </c>
    </row>
    <row r="6912" spans="1:2" x14ac:dyDescent="0.25">
      <c r="A6912" s="81" t="s">
        <v>9108</v>
      </c>
      <c r="B6912" s="80" t="s">
        <v>9515</v>
      </c>
    </row>
    <row r="6913" spans="1:2" x14ac:dyDescent="0.25">
      <c r="A6913" s="81" t="s">
        <v>9109</v>
      </c>
      <c r="B6913" s="80" t="s">
        <v>9515</v>
      </c>
    </row>
    <row r="6914" spans="1:2" x14ac:dyDescent="0.25">
      <c r="A6914" s="81" t="s">
        <v>9110</v>
      </c>
      <c r="B6914" s="80" t="s">
        <v>9515</v>
      </c>
    </row>
    <row r="6915" spans="1:2" x14ac:dyDescent="0.25">
      <c r="A6915" s="81" t="s">
        <v>9111</v>
      </c>
      <c r="B6915" s="80" t="s">
        <v>9515</v>
      </c>
    </row>
    <row r="6916" spans="1:2" x14ac:dyDescent="0.25">
      <c r="A6916" s="81" t="s">
        <v>9112</v>
      </c>
      <c r="B6916" s="80" t="s">
        <v>9515</v>
      </c>
    </row>
    <row r="6917" spans="1:2" x14ac:dyDescent="0.25">
      <c r="A6917" s="81" t="s">
        <v>9113</v>
      </c>
      <c r="B6917" s="80" t="s">
        <v>9515</v>
      </c>
    </row>
    <row r="6918" spans="1:2" x14ac:dyDescent="0.25">
      <c r="A6918" s="81" t="s">
        <v>9114</v>
      </c>
      <c r="B6918" s="80" t="s">
        <v>9515</v>
      </c>
    </row>
    <row r="6919" spans="1:2" x14ac:dyDescent="0.25">
      <c r="A6919" s="81" t="s">
        <v>9115</v>
      </c>
      <c r="B6919" s="80" t="s">
        <v>9515</v>
      </c>
    </row>
    <row r="6920" spans="1:2" x14ac:dyDescent="0.25">
      <c r="A6920" s="81" t="s">
        <v>9116</v>
      </c>
      <c r="B6920" s="80" t="s">
        <v>9515</v>
      </c>
    </row>
    <row r="6921" spans="1:2" x14ac:dyDescent="0.25">
      <c r="A6921" s="81" t="s">
        <v>9117</v>
      </c>
      <c r="B6921" s="80" t="s">
        <v>9515</v>
      </c>
    </row>
    <row r="6922" spans="1:2" x14ac:dyDescent="0.25">
      <c r="A6922" s="81" t="s">
        <v>9118</v>
      </c>
      <c r="B6922" s="80" t="s">
        <v>9515</v>
      </c>
    </row>
    <row r="6923" spans="1:2" x14ac:dyDescent="0.25">
      <c r="A6923" s="81" t="s">
        <v>9119</v>
      </c>
      <c r="B6923" s="80" t="s">
        <v>9515</v>
      </c>
    </row>
    <row r="6924" spans="1:2" x14ac:dyDescent="0.25">
      <c r="A6924" s="81" t="s">
        <v>9120</v>
      </c>
      <c r="B6924" s="80" t="s">
        <v>9515</v>
      </c>
    </row>
    <row r="6925" spans="1:2" x14ac:dyDescent="0.25">
      <c r="A6925" s="81" t="s">
        <v>9121</v>
      </c>
      <c r="B6925" s="80" t="s">
        <v>9515</v>
      </c>
    </row>
    <row r="6926" spans="1:2" x14ac:dyDescent="0.25">
      <c r="A6926" s="81" t="s">
        <v>9122</v>
      </c>
      <c r="B6926" s="80" t="s">
        <v>9515</v>
      </c>
    </row>
    <row r="6927" spans="1:2" x14ac:dyDescent="0.25">
      <c r="A6927" s="81" t="s">
        <v>9123</v>
      </c>
      <c r="B6927" s="80" t="s">
        <v>9515</v>
      </c>
    </row>
    <row r="6928" spans="1:2" x14ac:dyDescent="0.25">
      <c r="A6928" s="81" t="s">
        <v>9124</v>
      </c>
      <c r="B6928" s="80" t="s">
        <v>9515</v>
      </c>
    </row>
    <row r="6929" spans="1:2" x14ac:dyDescent="0.25">
      <c r="A6929" s="81" t="s">
        <v>9125</v>
      </c>
      <c r="B6929" s="80" t="s">
        <v>9515</v>
      </c>
    </row>
    <row r="6930" spans="1:2" x14ac:dyDescent="0.25">
      <c r="A6930" s="81" t="s">
        <v>9126</v>
      </c>
      <c r="B6930" s="80" t="s">
        <v>9515</v>
      </c>
    </row>
    <row r="6931" spans="1:2" x14ac:dyDescent="0.25">
      <c r="A6931" s="81" t="s">
        <v>9127</v>
      </c>
      <c r="B6931" s="80" t="s">
        <v>9515</v>
      </c>
    </row>
    <row r="6932" spans="1:2" x14ac:dyDescent="0.25">
      <c r="A6932" s="81" t="s">
        <v>9128</v>
      </c>
      <c r="B6932" s="80" t="s">
        <v>9515</v>
      </c>
    </row>
    <row r="6933" spans="1:2" x14ac:dyDescent="0.25">
      <c r="A6933" s="81" t="s">
        <v>9129</v>
      </c>
      <c r="B6933" s="80" t="s">
        <v>9515</v>
      </c>
    </row>
    <row r="6934" spans="1:2" x14ac:dyDescent="0.25">
      <c r="A6934" s="81" t="s">
        <v>9130</v>
      </c>
      <c r="B6934" s="80" t="s">
        <v>9515</v>
      </c>
    </row>
    <row r="6935" spans="1:2" x14ac:dyDescent="0.25">
      <c r="A6935" s="81" t="s">
        <v>9131</v>
      </c>
      <c r="B6935" s="80" t="s">
        <v>9515</v>
      </c>
    </row>
    <row r="6936" spans="1:2" x14ac:dyDescent="0.25">
      <c r="A6936" s="81" t="s">
        <v>9132</v>
      </c>
      <c r="B6936" s="80" t="s">
        <v>9515</v>
      </c>
    </row>
    <row r="6937" spans="1:2" x14ac:dyDescent="0.25">
      <c r="A6937" s="81" t="s">
        <v>9133</v>
      </c>
      <c r="B6937" s="80" t="s">
        <v>9515</v>
      </c>
    </row>
    <row r="6938" spans="1:2" x14ac:dyDescent="0.25">
      <c r="A6938" s="81" t="s">
        <v>9134</v>
      </c>
      <c r="B6938" s="80" t="s">
        <v>9515</v>
      </c>
    </row>
    <row r="6939" spans="1:2" x14ac:dyDescent="0.25">
      <c r="A6939" s="81" t="s">
        <v>9135</v>
      </c>
      <c r="B6939" s="80" t="s">
        <v>9515</v>
      </c>
    </row>
    <row r="6940" spans="1:2" x14ac:dyDescent="0.25">
      <c r="A6940" s="81" t="s">
        <v>9136</v>
      </c>
      <c r="B6940" s="80" t="s">
        <v>9515</v>
      </c>
    </row>
    <row r="6941" spans="1:2" x14ac:dyDescent="0.25">
      <c r="A6941" s="81" t="s">
        <v>9137</v>
      </c>
      <c r="B6941" s="80" t="s">
        <v>9515</v>
      </c>
    </row>
    <row r="6942" spans="1:2" x14ac:dyDescent="0.25">
      <c r="A6942" s="81" t="s">
        <v>9138</v>
      </c>
      <c r="B6942" s="80" t="s">
        <v>9515</v>
      </c>
    </row>
    <row r="6943" spans="1:2" x14ac:dyDescent="0.25">
      <c r="A6943" s="81" t="s">
        <v>9139</v>
      </c>
      <c r="B6943" s="80" t="s">
        <v>9515</v>
      </c>
    </row>
    <row r="6944" spans="1:2" x14ac:dyDescent="0.25">
      <c r="A6944" s="81" t="s">
        <v>9140</v>
      </c>
      <c r="B6944" s="80" t="s">
        <v>9515</v>
      </c>
    </row>
    <row r="6945" spans="1:2" x14ac:dyDescent="0.25">
      <c r="A6945" s="81" t="s">
        <v>9141</v>
      </c>
      <c r="B6945" s="80" t="s">
        <v>9515</v>
      </c>
    </row>
    <row r="6946" spans="1:2" x14ac:dyDescent="0.25">
      <c r="A6946" s="81" t="s">
        <v>9142</v>
      </c>
      <c r="B6946" s="80" t="s">
        <v>9515</v>
      </c>
    </row>
    <row r="6947" spans="1:2" x14ac:dyDescent="0.25">
      <c r="A6947" s="81" t="s">
        <v>9143</v>
      </c>
      <c r="B6947" s="80" t="s">
        <v>9515</v>
      </c>
    </row>
    <row r="6948" spans="1:2" x14ac:dyDescent="0.25">
      <c r="A6948" s="81" t="s">
        <v>9144</v>
      </c>
      <c r="B6948" s="80" t="s">
        <v>9515</v>
      </c>
    </row>
    <row r="6949" spans="1:2" x14ac:dyDescent="0.25">
      <c r="A6949" s="81" t="s">
        <v>9145</v>
      </c>
      <c r="B6949" s="80" t="s">
        <v>9515</v>
      </c>
    </row>
    <row r="6950" spans="1:2" x14ac:dyDescent="0.25">
      <c r="A6950" s="81" t="s">
        <v>9146</v>
      </c>
      <c r="B6950" s="80" t="s">
        <v>9515</v>
      </c>
    </row>
    <row r="6951" spans="1:2" x14ac:dyDescent="0.25">
      <c r="A6951" s="81" t="s">
        <v>9147</v>
      </c>
      <c r="B6951" s="80" t="s">
        <v>9515</v>
      </c>
    </row>
    <row r="6952" spans="1:2" x14ac:dyDescent="0.25">
      <c r="A6952" s="81" t="s">
        <v>9148</v>
      </c>
      <c r="B6952" s="80" t="s">
        <v>9515</v>
      </c>
    </row>
    <row r="6953" spans="1:2" x14ac:dyDescent="0.25">
      <c r="A6953" s="81" t="s">
        <v>9149</v>
      </c>
      <c r="B6953" s="80" t="s">
        <v>9515</v>
      </c>
    </row>
    <row r="6954" spans="1:2" x14ac:dyDescent="0.25">
      <c r="A6954" s="81" t="s">
        <v>9150</v>
      </c>
      <c r="B6954" s="80" t="s">
        <v>9515</v>
      </c>
    </row>
    <row r="6955" spans="1:2" x14ac:dyDescent="0.25">
      <c r="A6955" s="81" t="s">
        <v>9151</v>
      </c>
      <c r="B6955" s="80" t="s">
        <v>9515</v>
      </c>
    </row>
    <row r="6956" spans="1:2" x14ac:dyDescent="0.25">
      <c r="A6956" s="81" t="s">
        <v>9152</v>
      </c>
      <c r="B6956" s="80" t="s">
        <v>9515</v>
      </c>
    </row>
    <row r="6957" spans="1:2" x14ac:dyDescent="0.25">
      <c r="A6957" s="81" t="s">
        <v>9153</v>
      </c>
      <c r="B6957" s="80" t="s">
        <v>9515</v>
      </c>
    </row>
    <row r="6958" spans="1:2" x14ac:dyDescent="0.25">
      <c r="A6958" s="81" t="s">
        <v>9154</v>
      </c>
      <c r="B6958" s="80" t="s">
        <v>9515</v>
      </c>
    </row>
    <row r="6959" spans="1:2" x14ac:dyDescent="0.25">
      <c r="A6959" s="81" t="s">
        <v>9155</v>
      </c>
      <c r="B6959" s="80" t="s">
        <v>9515</v>
      </c>
    </row>
    <row r="6960" spans="1:2" x14ac:dyDescent="0.25">
      <c r="A6960" s="81" t="s">
        <v>9156</v>
      </c>
      <c r="B6960" s="80" t="s">
        <v>9515</v>
      </c>
    </row>
    <row r="6961" spans="1:2" x14ac:dyDescent="0.25">
      <c r="A6961" s="81" t="s">
        <v>9157</v>
      </c>
      <c r="B6961" s="80" t="s">
        <v>9515</v>
      </c>
    </row>
    <row r="6962" spans="1:2" x14ac:dyDescent="0.25">
      <c r="A6962" s="81" t="s">
        <v>9158</v>
      </c>
      <c r="B6962" s="80" t="s">
        <v>9515</v>
      </c>
    </row>
    <row r="6963" spans="1:2" x14ac:dyDescent="0.25">
      <c r="A6963" s="81" t="s">
        <v>9159</v>
      </c>
      <c r="B6963" s="80" t="s">
        <v>9515</v>
      </c>
    </row>
    <row r="6964" spans="1:2" x14ac:dyDescent="0.25">
      <c r="A6964" s="81" t="s">
        <v>9160</v>
      </c>
      <c r="B6964" s="80" t="s">
        <v>9515</v>
      </c>
    </row>
    <row r="6965" spans="1:2" x14ac:dyDescent="0.25">
      <c r="A6965" s="81" t="s">
        <v>9161</v>
      </c>
      <c r="B6965" s="80" t="s">
        <v>9515</v>
      </c>
    </row>
    <row r="6966" spans="1:2" x14ac:dyDescent="0.25">
      <c r="A6966" s="81" t="s">
        <v>9162</v>
      </c>
      <c r="B6966" s="80" t="s">
        <v>9515</v>
      </c>
    </row>
    <row r="6967" spans="1:2" x14ac:dyDescent="0.25">
      <c r="A6967" s="81" t="s">
        <v>9163</v>
      </c>
      <c r="B6967" s="80" t="s">
        <v>9515</v>
      </c>
    </row>
    <row r="6968" spans="1:2" x14ac:dyDescent="0.25">
      <c r="A6968" s="81" t="s">
        <v>9164</v>
      </c>
      <c r="B6968" s="80" t="s">
        <v>9515</v>
      </c>
    </row>
    <row r="6969" spans="1:2" x14ac:dyDescent="0.25">
      <c r="A6969" s="81" t="s">
        <v>9165</v>
      </c>
      <c r="B6969" s="80" t="s">
        <v>9515</v>
      </c>
    </row>
    <row r="6970" spans="1:2" x14ac:dyDescent="0.25">
      <c r="A6970" s="81" t="s">
        <v>9166</v>
      </c>
      <c r="B6970" s="80" t="s">
        <v>9515</v>
      </c>
    </row>
    <row r="6971" spans="1:2" x14ac:dyDescent="0.25">
      <c r="A6971" s="81" t="s">
        <v>9167</v>
      </c>
      <c r="B6971" s="80" t="s">
        <v>9515</v>
      </c>
    </row>
    <row r="6972" spans="1:2" x14ac:dyDescent="0.25">
      <c r="A6972" s="81" t="s">
        <v>9168</v>
      </c>
      <c r="B6972" s="80" t="s">
        <v>9515</v>
      </c>
    </row>
    <row r="6973" spans="1:2" x14ac:dyDescent="0.25">
      <c r="A6973" s="81" t="s">
        <v>9169</v>
      </c>
      <c r="B6973" s="80" t="s">
        <v>9515</v>
      </c>
    </row>
    <row r="6974" spans="1:2" x14ac:dyDescent="0.25">
      <c r="A6974" s="81" t="s">
        <v>9170</v>
      </c>
      <c r="B6974" s="80" t="s">
        <v>9515</v>
      </c>
    </row>
    <row r="6975" spans="1:2" x14ac:dyDescent="0.25">
      <c r="A6975" s="81" t="s">
        <v>9171</v>
      </c>
      <c r="B6975" s="80" t="s">
        <v>9515</v>
      </c>
    </row>
    <row r="6976" spans="1:2" x14ac:dyDescent="0.25">
      <c r="A6976" s="81" t="s">
        <v>9172</v>
      </c>
      <c r="B6976" s="80" t="s">
        <v>9515</v>
      </c>
    </row>
    <row r="6977" spans="1:2" x14ac:dyDescent="0.25">
      <c r="A6977" s="81" t="s">
        <v>9173</v>
      </c>
      <c r="B6977" s="80" t="s">
        <v>9515</v>
      </c>
    </row>
    <row r="6978" spans="1:2" x14ac:dyDescent="0.25">
      <c r="A6978" s="81" t="s">
        <v>9174</v>
      </c>
      <c r="B6978" s="80" t="s">
        <v>9515</v>
      </c>
    </row>
    <row r="6979" spans="1:2" x14ac:dyDescent="0.25">
      <c r="A6979" s="81" t="s">
        <v>9175</v>
      </c>
      <c r="B6979" s="80" t="s">
        <v>9515</v>
      </c>
    </row>
    <row r="6980" spans="1:2" x14ac:dyDescent="0.25">
      <c r="A6980" s="81" t="s">
        <v>9176</v>
      </c>
      <c r="B6980" s="80" t="s">
        <v>9515</v>
      </c>
    </row>
    <row r="6981" spans="1:2" x14ac:dyDescent="0.25">
      <c r="A6981" s="81" t="s">
        <v>9177</v>
      </c>
      <c r="B6981" s="80" t="s">
        <v>9515</v>
      </c>
    </row>
    <row r="6982" spans="1:2" x14ac:dyDescent="0.25">
      <c r="A6982" s="81" t="s">
        <v>9178</v>
      </c>
      <c r="B6982" s="80" t="s">
        <v>9515</v>
      </c>
    </row>
    <row r="6983" spans="1:2" x14ac:dyDescent="0.25">
      <c r="A6983" s="81" t="s">
        <v>9179</v>
      </c>
      <c r="B6983" s="80" t="s">
        <v>9515</v>
      </c>
    </row>
    <row r="6984" spans="1:2" x14ac:dyDescent="0.25">
      <c r="A6984" s="81" t="s">
        <v>9180</v>
      </c>
      <c r="B6984" s="80" t="s">
        <v>9515</v>
      </c>
    </row>
    <row r="6985" spans="1:2" x14ac:dyDescent="0.25">
      <c r="A6985" s="81" t="s">
        <v>9181</v>
      </c>
      <c r="B6985" s="80" t="s">
        <v>9515</v>
      </c>
    </row>
    <row r="6986" spans="1:2" x14ac:dyDescent="0.25">
      <c r="A6986" s="81" t="s">
        <v>9182</v>
      </c>
      <c r="B6986" s="80" t="s">
        <v>9515</v>
      </c>
    </row>
    <row r="6987" spans="1:2" x14ac:dyDescent="0.25">
      <c r="A6987" s="81" t="s">
        <v>9183</v>
      </c>
      <c r="B6987" s="80" t="s">
        <v>9515</v>
      </c>
    </row>
    <row r="6988" spans="1:2" x14ac:dyDescent="0.25">
      <c r="A6988" s="81" t="s">
        <v>9184</v>
      </c>
      <c r="B6988" s="80" t="s">
        <v>9515</v>
      </c>
    </row>
    <row r="6989" spans="1:2" x14ac:dyDescent="0.25">
      <c r="A6989" s="81" t="s">
        <v>9185</v>
      </c>
      <c r="B6989" s="80" t="s">
        <v>9515</v>
      </c>
    </row>
    <row r="6990" spans="1:2" x14ac:dyDescent="0.25">
      <c r="A6990" s="81" t="s">
        <v>9186</v>
      </c>
      <c r="B6990" s="80" t="s">
        <v>9515</v>
      </c>
    </row>
    <row r="6991" spans="1:2" x14ac:dyDescent="0.25">
      <c r="A6991" s="81" t="s">
        <v>9187</v>
      </c>
      <c r="B6991" s="80" t="s">
        <v>9515</v>
      </c>
    </row>
    <row r="6992" spans="1:2" x14ac:dyDescent="0.25">
      <c r="A6992" s="81" t="s">
        <v>9188</v>
      </c>
      <c r="B6992" s="80" t="s">
        <v>9515</v>
      </c>
    </row>
    <row r="6993" spans="1:2" x14ac:dyDescent="0.25">
      <c r="A6993" s="81" t="s">
        <v>9189</v>
      </c>
      <c r="B6993" s="80" t="s">
        <v>9515</v>
      </c>
    </row>
    <row r="6994" spans="1:2" x14ac:dyDescent="0.25">
      <c r="A6994" s="81" t="s">
        <v>9190</v>
      </c>
      <c r="B6994" s="80" t="s">
        <v>9515</v>
      </c>
    </row>
    <row r="6995" spans="1:2" x14ac:dyDescent="0.25">
      <c r="A6995" s="81" t="s">
        <v>9191</v>
      </c>
      <c r="B6995" s="80" t="s">
        <v>9515</v>
      </c>
    </row>
    <row r="6996" spans="1:2" x14ac:dyDescent="0.25">
      <c r="A6996" s="81" t="s">
        <v>9192</v>
      </c>
      <c r="B6996" s="80" t="s">
        <v>9515</v>
      </c>
    </row>
    <row r="6997" spans="1:2" x14ac:dyDescent="0.25">
      <c r="A6997" s="81" t="s">
        <v>9193</v>
      </c>
      <c r="B6997" s="80" t="s">
        <v>9515</v>
      </c>
    </row>
    <row r="6998" spans="1:2" x14ac:dyDescent="0.25">
      <c r="A6998" s="81" t="s">
        <v>9194</v>
      </c>
      <c r="B6998" s="80" t="s">
        <v>9515</v>
      </c>
    </row>
    <row r="6999" spans="1:2" x14ac:dyDescent="0.25">
      <c r="A6999" s="81" t="s">
        <v>9195</v>
      </c>
      <c r="B6999" s="80" t="s">
        <v>9515</v>
      </c>
    </row>
    <row r="7000" spans="1:2" x14ac:dyDescent="0.25">
      <c r="A7000" s="81" t="s">
        <v>9196</v>
      </c>
      <c r="B7000" s="80" t="s">
        <v>9515</v>
      </c>
    </row>
    <row r="7001" spans="1:2" x14ac:dyDescent="0.25">
      <c r="A7001" s="81" t="s">
        <v>9197</v>
      </c>
      <c r="B7001" s="80" t="s">
        <v>9515</v>
      </c>
    </row>
    <row r="7002" spans="1:2" x14ac:dyDescent="0.25">
      <c r="A7002" s="81" t="s">
        <v>9198</v>
      </c>
      <c r="B7002" s="80" t="s">
        <v>9515</v>
      </c>
    </row>
    <row r="7003" spans="1:2" x14ac:dyDescent="0.25">
      <c r="A7003" s="81" t="s">
        <v>9199</v>
      </c>
      <c r="B7003" s="80" t="s">
        <v>9515</v>
      </c>
    </row>
    <row r="7004" spans="1:2" x14ac:dyDescent="0.25">
      <c r="A7004" s="81" t="s">
        <v>9200</v>
      </c>
      <c r="B7004" s="80" t="s">
        <v>9515</v>
      </c>
    </row>
    <row r="7005" spans="1:2" x14ac:dyDescent="0.25">
      <c r="A7005" s="81" t="s">
        <v>9201</v>
      </c>
      <c r="B7005" s="80" t="s">
        <v>9515</v>
      </c>
    </row>
    <row r="7006" spans="1:2" x14ac:dyDescent="0.25">
      <c r="A7006" s="81" t="s">
        <v>9202</v>
      </c>
      <c r="B7006" s="80" t="s">
        <v>9515</v>
      </c>
    </row>
    <row r="7007" spans="1:2" x14ac:dyDescent="0.25">
      <c r="A7007" s="81" t="s">
        <v>9203</v>
      </c>
      <c r="B7007" s="80" t="s">
        <v>9515</v>
      </c>
    </row>
    <row r="7008" spans="1:2" x14ac:dyDescent="0.25">
      <c r="A7008" s="81" t="s">
        <v>9204</v>
      </c>
      <c r="B7008" s="80" t="s">
        <v>9515</v>
      </c>
    </row>
    <row r="7009" spans="1:2" x14ac:dyDescent="0.25">
      <c r="A7009" s="81" t="s">
        <v>9205</v>
      </c>
      <c r="B7009" s="80" t="s">
        <v>9515</v>
      </c>
    </row>
    <row r="7010" spans="1:2" x14ac:dyDescent="0.25">
      <c r="A7010" s="81" t="s">
        <v>9206</v>
      </c>
      <c r="B7010" s="80" t="s">
        <v>9515</v>
      </c>
    </row>
    <row r="7011" spans="1:2" x14ac:dyDescent="0.25">
      <c r="A7011" s="81" t="s">
        <v>9207</v>
      </c>
      <c r="B7011" s="80" t="s">
        <v>9515</v>
      </c>
    </row>
    <row r="7012" spans="1:2" x14ac:dyDescent="0.25">
      <c r="A7012" s="81" t="s">
        <v>9208</v>
      </c>
      <c r="B7012" s="80" t="s">
        <v>9515</v>
      </c>
    </row>
    <row r="7013" spans="1:2" x14ac:dyDescent="0.25">
      <c r="A7013" s="81" t="s">
        <v>9209</v>
      </c>
      <c r="B7013" s="80" t="s">
        <v>9515</v>
      </c>
    </row>
    <row r="7014" spans="1:2" x14ac:dyDescent="0.25">
      <c r="A7014" s="81" t="s">
        <v>9210</v>
      </c>
      <c r="B7014" s="80" t="s">
        <v>9515</v>
      </c>
    </row>
    <row r="7015" spans="1:2" x14ac:dyDescent="0.25">
      <c r="A7015" s="81" t="s">
        <v>9211</v>
      </c>
      <c r="B7015" s="80" t="s">
        <v>9515</v>
      </c>
    </row>
    <row r="7016" spans="1:2" x14ac:dyDescent="0.25">
      <c r="A7016" s="81" t="s">
        <v>9212</v>
      </c>
      <c r="B7016" s="80" t="s">
        <v>9515</v>
      </c>
    </row>
    <row r="7017" spans="1:2" x14ac:dyDescent="0.25">
      <c r="A7017" s="81" t="s">
        <v>9213</v>
      </c>
      <c r="B7017" s="80" t="s">
        <v>9515</v>
      </c>
    </row>
    <row r="7018" spans="1:2" x14ac:dyDescent="0.25">
      <c r="A7018" s="81" t="s">
        <v>9214</v>
      </c>
      <c r="B7018" s="80" t="s">
        <v>9515</v>
      </c>
    </row>
    <row r="7019" spans="1:2" x14ac:dyDescent="0.25">
      <c r="A7019" s="81" t="s">
        <v>9215</v>
      </c>
      <c r="B7019" s="80" t="s">
        <v>9515</v>
      </c>
    </row>
    <row r="7020" spans="1:2" x14ac:dyDescent="0.25">
      <c r="A7020" s="81" t="s">
        <v>9216</v>
      </c>
      <c r="B7020" s="80" t="s">
        <v>9515</v>
      </c>
    </row>
    <row r="7021" spans="1:2" x14ac:dyDescent="0.25">
      <c r="A7021" s="81" t="s">
        <v>9217</v>
      </c>
      <c r="B7021" s="80" t="s">
        <v>9515</v>
      </c>
    </row>
    <row r="7022" spans="1:2" x14ac:dyDescent="0.25">
      <c r="A7022" s="81" t="s">
        <v>9218</v>
      </c>
      <c r="B7022" s="80" t="s">
        <v>9515</v>
      </c>
    </row>
    <row r="7023" spans="1:2" x14ac:dyDescent="0.25">
      <c r="A7023" s="81" t="s">
        <v>9219</v>
      </c>
      <c r="B7023" s="80" t="s">
        <v>9515</v>
      </c>
    </row>
    <row r="7024" spans="1:2" x14ac:dyDescent="0.25">
      <c r="A7024" s="81" t="s">
        <v>9220</v>
      </c>
      <c r="B7024" s="80" t="s">
        <v>9515</v>
      </c>
    </row>
    <row r="7025" spans="1:2" x14ac:dyDescent="0.25">
      <c r="A7025" s="81" t="s">
        <v>9221</v>
      </c>
      <c r="B7025" s="80" t="s">
        <v>9515</v>
      </c>
    </row>
    <row r="7026" spans="1:2" x14ac:dyDescent="0.25">
      <c r="A7026" s="81" t="s">
        <v>9222</v>
      </c>
      <c r="B7026" s="80" t="s">
        <v>9515</v>
      </c>
    </row>
    <row r="7027" spans="1:2" x14ac:dyDescent="0.25">
      <c r="A7027" s="81" t="s">
        <v>9223</v>
      </c>
      <c r="B7027" s="80" t="s">
        <v>9515</v>
      </c>
    </row>
    <row r="7028" spans="1:2" x14ac:dyDescent="0.25">
      <c r="A7028" s="81" t="s">
        <v>9224</v>
      </c>
      <c r="B7028" s="80" t="s">
        <v>9515</v>
      </c>
    </row>
    <row r="7029" spans="1:2" x14ac:dyDescent="0.25">
      <c r="A7029" s="81" t="s">
        <v>9225</v>
      </c>
      <c r="B7029" s="80" t="s">
        <v>9515</v>
      </c>
    </row>
    <row r="7030" spans="1:2" x14ac:dyDescent="0.25">
      <c r="A7030" s="81" t="s">
        <v>9226</v>
      </c>
      <c r="B7030" s="80" t="s">
        <v>9515</v>
      </c>
    </row>
    <row r="7031" spans="1:2" x14ac:dyDescent="0.25">
      <c r="A7031" s="81" t="s">
        <v>9227</v>
      </c>
      <c r="B7031" s="80" t="s">
        <v>9515</v>
      </c>
    </row>
    <row r="7032" spans="1:2" x14ac:dyDescent="0.25">
      <c r="A7032" s="81" t="s">
        <v>9228</v>
      </c>
      <c r="B7032" s="80" t="s">
        <v>9515</v>
      </c>
    </row>
    <row r="7033" spans="1:2" x14ac:dyDescent="0.25">
      <c r="A7033" s="81" t="s">
        <v>9229</v>
      </c>
      <c r="B7033" s="80" t="s">
        <v>9515</v>
      </c>
    </row>
    <row r="7034" spans="1:2" x14ac:dyDescent="0.25">
      <c r="A7034" s="81" t="s">
        <v>9230</v>
      </c>
      <c r="B7034" s="80" t="s">
        <v>9515</v>
      </c>
    </row>
    <row r="7035" spans="1:2" x14ac:dyDescent="0.25">
      <c r="A7035" s="81" t="s">
        <v>9231</v>
      </c>
      <c r="B7035" s="80" t="s">
        <v>9515</v>
      </c>
    </row>
    <row r="7036" spans="1:2" x14ac:dyDescent="0.25">
      <c r="A7036" s="81" t="s">
        <v>9232</v>
      </c>
      <c r="B7036" s="80" t="s">
        <v>9515</v>
      </c>
    </row>
    <row r="7037" spans="1:2" x14ac:dyDescent="0.25">
      <c r="A7037" s="81" t="s">
        <v>9233</v>
      </c>
      <c r="B7037" s="80" t="s">
        <v>9515</v>
      </c>
    </row>
    <row r="7038" spans="1:2" x14ac:dyDescent="0.25">
      <c r="A7038" s="81" t="s">
        <v>9234</v>
      </c>
      <c r="B7038" s="80" t="s">
        <v>9515</v>
      </c>
    </row>
    <row r="7039" spans="1:2" x14ac:dyDescent="0.25">
      <c r="A7039" s="81" t="s">
        <v>9235</v>
      </c>
      <c r="B7039" s="80" t="s">
        <v>9515</v>
      </c>
    </row>
    <row r="7040" spans="1:2" x14ac:dyDescent="0.25">
      <c r="A7040" s="81" t="s">
        <v>9236</v>
      </c>
      <c r="B7040" s="80" t="s">
        <v>9515</v>
      </c>
    </row>
    <row r="7041" spans="1:2" x14ac:dyDescent="0.25">
      <c r="A7041" s="81" t="s">
        <v>9237</v>
      </c>
      <c r="B7041" s="80" t="s">
        <v>9515</v>
      </c>
    </row>
    <row r="7042" spans="1:2" x14ac:dyDescent="0.25">
      <c r="A7042" s="81" t="s">
        <v>9238</v>
      </c>
      <c r="B7042" s="80" t="s">
        <v>9515</v>
      </c>
    </row>
    <row r="7043" spans="1:2" x14ac:dyDescent="0.25">
      <c r="A7043" s="81" t="s">
        <v>9239</v>
      </c>
      <c r="B7043" s="80" t="s">
        <v>9515</v>
      </c>
    </row>
    <row r="7044" spans="1:2" x14ac:dyDescent="0.25">
      <c r="A7044" s="81" t="s">
        <v>9240</v>
      </c>
      <c r="B7044" s="80" t="s">
        <v>9515</v>
      </c>
    </row>
    <row r="7045" spans="1:2" x14ac:dyDescent="0.25">
      <c r="A7045" s="81" t="s">
        <v>9241</v>
      </c>
      <c r="B7045" s="80" t="s">
        <v>9515</v>
      </c>
    </row>
    <row r="7046" spans="1:2" x14ac:dyDescent="0.25">
      <c r="A7046" s="81" t="s">
        <v>9242</v>
      </c>
      <c r="B7046" s="80" t="s">
        <v>9515</v>
      </c>
    </row>
    <row r="7047" spans="1:2" x14ac:dyDescent="0.25">
      <c r="A7047" s="81" t="s">
        <v>9243</v>
      </c>
      <c r="B7047" s="80" t="s">
        <v>9515</v>
      </c>
    </row>
    <row r="7048" spans="1:2" x14ac:dyDescent="0.25">
      <c r="A7048" s="81" t="s">
        <v>9244</v>
      </c>
      <c r="B7048" s="80" t="s">
        <v>9515</v>
      </c>
    </row>
    <row r="7049" spans="1:2" x14ac:dyDescent="0.25">
      <c r="A7049" s="81" t="s">
        <v>9245</v>
      </c>
      <c r="B7049" s="80" t="s">
        <v>9515</v>
      </c>
    </row>
    <row r="7050" spans="1:2" x14ac:dyDescent="0.25">
      <c r="A7050" s="81" t="s">
        <v>9246</v>
      </c>
      <c r="B7050" s="80" t="s">
        <v>9515</v>
      </c>
    </row>
    <row r="7051" spans="1:2" x14ac:dyDescent="0.25">
      <c r="A7051" s="81" t="s">
        <v>9247</v>
      </c>
      <c r="B7051" s="80" t="s">
        <v>9515</v>
      </c>
    </row>
    <row r="7052" spans="1:2" x14ac:dyDescent="0.25">
      <c r="A7052" s="81" t="s">
        <v>9248</v>
      </c>
      <c r="B7052" s="80" t="s">
        <v>9515</v>
      </c>
    </row>
    <row r="7053" spans="1:2" x14ac:dyDescent="0.25">
      <c r="A7053" s="81" t="s">
        <v>9249</v>
      </c>
      <c r="B7053" s="80" t="s">
        <v>9515</v>
      </c>
    </row>
    <row r="7054" spans="1:2" x14ac:dyDescent="0.25">
      <c r="A7054" s="81" t="s">
        <v>9250</v>
      </c>
      <c r="B7054" s="80" t="s">
        <v>9515</v>
      </c>
    </row>
    <row r="7055" spans="1:2" x14ac:dyDescent="0.25">
      <c r="A7055" s="81" t="s">
        <v>9251</v>
      </c>
      <c r="B7055" s="80" t="s">
        <v>9515</v>
      </c>
    </row>
    <row r="7056" spans="1:2" x14ac:dyDescent="0.25">
      <c r="A7056" s="81" t="s">
        <v>9252</v>
      </c>
      <c r="B7056" s="80" t="s">
        <v>9515</v>
      </c>
    </row>
    <row r="7057" spans="1:2" x14ac:dyDescent="0.25">
      <c r="A7057" s="81" t="s">
        <v>9253</v>
      </c>
      <c r="B7057" s="80" t="s">
        <v>9515</v>
      </c>
    </row>
    <row r="7058" spans="1:2" x14ac:dyDescent="0.25">
      <c r="A7058" s="81" t="s">
        <v>9254</v>
      </c>
      <c r="B7058" s="80" t="s">
        <v>9515</v>
      </c>
    </row>
    <row r="7059" spans="1:2" x14ac:dyDescent="0.25">
      <c r="A7059" s="81" t="s">
        <v>9255</v>
      </c>
      <c r="B7059" s="80" t="s">
        <v>9515</v>
      </c>
    </row>
    <row r="7060" spans="1:2" x14ac:dyDescent="0.25">
      <c r="A7060" s="81" t="s">
        <v>9256</v>
      </c>
      <c r="B7060" s="80" t="s">
        <v>9515</v>
      </c>
    </row>
    <row r="7061" spans="1:2" x14ac:dyDescent="0.25">
      <c r="A7061" s="81" t="s">
        <v>9257</v>
      </c>
      <c r="B7061" s="80" t="s">
        <v>9515</v>
      </c>
    </row>
    <row r="7062" spans="1:2" x14ac:dyDescent="0.25">
      <c r="A7062" s="81" t="s">
        <v>9258</v>
      </c>
      <c r="B7062" s="80" t="s">
        <v>9515</v>
      </c>
    </row>
    <row r="7063" spans="1:2" x14ac:dyDescent="0.25">
      <c r="A7063" s="81" t="s">
        <v>9259</v>
      </c>
      <c r="B7063" s="80" t="s">
        <v>9515</v>
      </c>
    </row>
    <row r="7064" spans="1:2" x14ac:dyDescent="0.25">
      <c r="A7064" s="81" t="s">
        <v>9260</v>
      </c>
      <c r="B7064" s="80" t="s">
        <v>9515</v>
      </c>
    </row>
    <row r="7065" spans="1:2" x14ac:dyDescent="0.25">
      <c r="A7065" s="81" t="s">
        <v>9261</v>
      </c>
      <c r="B7065" s="80" t="s">
        <v>9515</v>
      </c>
    </row>
    <row r="7066" spans="1:2" x14ac:dyDescent="0.25">
      <c r="A7066" s="81" t="s">
        <v>9262</v>
      </c>
      <c r="B7066" s="80" t="s">
        <v>9515</v>
      </c>
    </row>
    <row r="7067" spans="1:2" x14ac:dyDescent="0.25">
      <c r="A7067" s="81" t="s">
        <v>9263</v>
      </c>
      <c r="B7067" s="80" t="s">
        <v>9515</v>
      </c>
    </row>
    <row r="7068" spans="1:2" x14ac:dyDescent="0.25">
      <c r="A7068" s="81" t="s">
        <v>9264</v>
      </c>
      <c r="B7068" s="80" t="s">
        <v>9515</v>
      </c>
    </row>
    <row r="7069" spans="1:2" x14ac:dyDescent="0.25">
      <c r="A7069" s="81" t="s">
        <v>9265</v>
      </c>
      <c r="B7069" s="80" t="s">
        <v>9515</v>
      </c>
    </row>
    <row r="7070" spans="1:2" x14ac:dyDescent="0.25">
      <c r="A7070" s="81" t="s">
        <v>9266</v>
      </c>
      <c r="B7070" s="80" t="s">
        <v>9515</v>
      </c>
    </row>
    <row r="7071" spans="1:2" x14ac:dyDescent="0.25">
      <c r="A7071" s="81" t="s">
        <v>9267</v>
      </c>
      <c r="B7071" s="80" t="s">
        <v>9515</v>
      </c>
    </row>
    <row r="7072" spans="1:2" x14ac:dyDescent="0.25">
      <c r="A7072" s="81" t="s">
        <v>9268</v>
      </c>
      <c r="B7072" s="80" t="s">
        <v>9515</v>
      </c>
    </row>
    <row r="7073" spans="1:2" x14ac:dyDescent="0.25">
      <c r="A7073" s="81" t="s">
        <v>9269</v>
      </c>
      <c r="B7073" s="80" t="s">
        <v>9515</v>
      </c>
    </row>
    <row r="7074" spans="1:2" x14ac:dyDescent="0.25">
      <c r="A7074" s="81" t="s">
        <v>9270</v>
      </c>
      <c r="B7074" s="80" t="s">
        <v>9515</v>
      </c>
    </row>
    <row r="7075" spans="1:2" x14ac:dyDescent="0.25">
      <c r="A7075" s="81" t="s">
        <v>9271</v>
      </c>
      <c r="B7075" s="80" t="s">
        <v>9515</v>
      </c>
    </row>
    <row r="7076" spans="1:2" x14ac:dyDescent="0.25">
      <c r="A7076" s="81" t="s">
        <v>9272</v>
      </c>
      <c r="B7076" s="80" t="s">
        <v>9515</v>
      </c>
    </row>
    <row r="7077" spans="1:2" x14ac:dyDescent="0.25">
      <c r="A7077" s="81" t="s">
        <v>9273</v>
      </c>
      <c r="B7077" s="80" t="s">
        <v>9515</v>
      </c>
    </row>
    <row r="7078" spans="1:2" x14ac:dyDescent="0.25">
      <c r="A7078" s="81" t="s">
        <v>9274</v>
      </c>
      <c r="B7078" s="80" t="s">
        <v>9515</v>
      </c>
    </row>
    <row r="7079" spans="1:2" x14ac:dyDescent="0.25">
      <c r="A7079" s="81" t="s">
        <v>9275</v>
      </c>
      <c r="B7079" s="80" t="s">
        <v>9515</v>
      </c>
    </row>
    <row r="7080" spans="1:2" x14ac:dyDescent="0.25">
      <c r="A7080" s="81" t="s">
        <v>9276</v>
      </c>
      <c r="B7080" s="80" t="s">
        <v>9515</v>
      </c>
    </row>
    <row r="7081" spans="1:2" x14ac:dyDescent="0.25">
      <c r="A7081" s="81" t="s">
        <v>9277</v>
      </c>
      <c r="B7081" s="80" t="s">
        <v>9515</v>
      </c>
    </row>
    <row r="7082" spans="1:2" x14ac:dyDescent="0.25">
      <c r="A7082" s="81" t="s">
        <v>9278</v>
      </c>
      <c r="B7082" s="80" t="s">
        <v>9515</v>
      </c>
    </row>
    <row r="7083" spans="1:2" x14ac:dyDescent="0.25">
      <c r="A7083" s="81" t="s">
        <v>9279</v>
      </c>
      <c r="B7083" s="80" t="s">
        <v>9515</v>
      </c>
    </row>
    <row r="7084" spans="1:2" x14ac:dyDescent="0.25">
      <c r="A7084" s="81" t="s">
        <v>9280</v>
      </c>
      <c r="B7084" s="80" t="s">
        <v>9515</v>
      </c>
    </row>
    <row r="7085" spans="1:2" x14ac:dyDescent="0.25">
      <c r="A7085" s="81" t="s">
        <v>9281</v>
      </c>
      <c r="B7085" s="80" t="s">
        <v>9515</v>
      </c>
    </row>
    <row r="7086" spans="1:2" x14ac:dyDescent="0.25">
      <c r="A7086" s="81" t="s">
        <v>9282</v>
      </c>
      <c r="B7086" s="80" t="s">
        <v>9515</v>
      </c>
    </row>
    <row r="7087" spans="1:2" x14ac:dyDescent="0.25">
      <c r="A7087" s="81" t="s">
        <v>9283</v>
      </c>
      <c r="B7087" s="80" t="s">
        <v>9515</v>
      </c>
    </row>
    <row r="7088" spans="1:2" x14ac:dyDescent="0.25">
      <c r="A7088" s="81" t="s">
        <v>9284</v>
      </c>
      <c r="B7088" s="80" t="s">
        <v>9515</v>
      </c>
    </row>
    <row r="7089" spans="1:2" x14ac:dyDescent="0.25">
      <c r="A7089" s="81" t="s">
        <v>9285</v>
      </c>
      <c r="B7089" s="80" t="s">
        <v>9515</v>
      </c>
    </row>
    <row r="7090" spans="1:2" x14ac:dyDescent="0.25">
      <c r="A7090" s="81" t="s">
        <v>9286</v>
      </c>
      <c r="B7090" s="80" t="s">
        <v>9515</v>
      </c>
    </row>
    <row r="7091" spans="1:2" x14ac:dyDescent="0.25">
      <c r="A7091" s="81" t="s">
        <v>9287</v>
      </c>
      <c r="B7091" s="80" t="s">
        <v>9515</v>
      </c>
    </row>
    <row r="7092" spans="1:2" x14ac:dyDescent="0.25">
      <c r="A7092" s="81" t="s">
        <v>9288</v>
      </c>
      <c r="B7092" s="80" t="s">
        <v>9515</v>
      </c>
    </row>
    <row r="7093" spans="1:2" x14ac:dyDescent="0.25">
      <c r="A7093" s="81" t="s">
        <v>9289</v>
      </c>
      <c r="B7093" s="80" t="s">
        <v>9515</v>
      </c>
    </row>
    <row r="7094" spans="1:2" x14ac:dyDescent="0.25">
      <c r="A7094" s="81" t="s">
        <v>9290</v>
      </c>
      <c r="B7094" s="80" t="s">
        <v>9515</v>
      </c>
    </row>
    <row r="7095" spans="1:2" x14ac:dyDescent="0.25">
      <c r="A7095" s="81" t="s">
        <v>9291</v>
      </c>
      <c r="B7095" s="80" t="s">
        <v>9515</v>
      </c>
    </row>
    <row r="7096" spans="1:2" x14ac:dyDescent="0.25">
      <c r="A7096" s="81" t="s">
        <v>9292</v>
      </c>
      <c r="B7096" s="80" t="s">
        <v>9515</v>
      </c>
    </row>
    <row r="7097" spans="1:2" x14ac:dyDescent="0.25">
      <c r="A7097" s="81" t="s">
        <v>9293</v>
      </c>
      <c r="B7097" s="80" t="s">
        <v>9515</v>
      </c>
    </row>
    <row r="7098" spans="1:2" x14ac:dyDescent="0.25">
      <c r="A7098" s="81" t="s">
        <v>9294</v>
      </c>
      <c r="B7098" s="80" t="s">
        <v>9515</v>
      </c>
    </row>
    <row r="7099" spans="1:2" x14ac:dyDescent="0.25">
      <c r="A7099" s="81" t="s">
        <v>9295</v>
      </c>
      <c r="B7099" s="80" t="s">
        <v>9515</v>
      </c>
    </row>
    <row r="7100" spans="1:2" x14ac:dyDescent="0.25">
      <c r="A7100" s="81" t="s">
        <v>9296</v>
      </c>
      <c r="B7100" s="80" t="s">
        <v>9515</v>
      </c>
    </row>
    <row r="7101" spans="1:2" x14ac:dyDescent="0.25">
      <c r="A7101" s="81" t="s">
        <v>9297</v>
      </c>
      <c r="B7101" s="80" t="s">
        <v>9515</v>
      </c>
    </row>
    <row r="7102" spans="1:2" x14ac:dyDescent="0.25">
      <c r="A7102" s="81" t="s">
        <v>9298</v>
      </c>
      <c r="B7102" s="80" t="s">
        <v>9515</v>
      </c>
    </row>
    <row r="7103" spans="1:2" x14ac:dyDescent="0.25">
      <c r="A7103" s="81" t="s">
        <v>9299</v>
      </c>
      <c r="B7103" s="80" t="s">
        <v>9515</v>
      </c>
    </row>
    <row r="7104" spans="1:2" x14ac:dyDescent="0.25">
      <c r="A7104" s="81" t="s">
        <v>9300</v>
      </c>
      <c r="B7104" s="80" t="s">
        <v>9515</v>
      </c>
    </row>
    <row r="7105" spans="1:2" x14ac:dyDescent="0.25">
      <c r="A7105" s="81" t="s">
        <v>9301</v>
      </c>
      <c r="B7105" s="80" t="s">
        <v>9515</v>
      </c>
    </row>
    <row r="7106" spans="1:2" x14ac:dyDescent="0.25">
      <c r="A7106" s="81" t="s">
        <v>9302</v>
      </c>
      <c r="B7106" s="80" t="s">
        <v>9515</v>
      </c>
    </row>
    <row r="7107" spans="1:2" x14ac:dyDescent="0.25">
      <c r="A7107" s="81" t="s">
        <v>9303</v>
      </c>
      <c r="B7107" s="80" t="s">
        <v>9515</v>
      </c>
    </row>
    <row r="7108" spans="1:2" x14ac:dyDescent="0.25">
      <c r="A7108" s="81" t="s">
        <v>9304</v>
      </c>
      <c r="B7108" s="80" t="s">
        <v>9515</v>
      </c>
    </row>
    <row r="7109" spans="1:2" x14ac:dyDescent="0.25">
      <c r="A7109" s="81" t="s">
        <v>9305</v>
      </c>
      <c r="B7109" s="80" t="s">
        <v>9515</v>
      </c>
    </row>
    <row r="7110" spans="1:2" x14ac:dyDescent="0.25">
      <c r="A7110" s="81" t="s">
        <v>9306</v>
      </c>
      <c r="B7110" s="80" t="s">
        <v>9515</v>
      </c>
    </row>
    <row r="7111" spans="1:2" x14ac:dyDescent="0.25">
      <c r="A7111" s="81" t="s">
        <v>9307</v>
      </c>
      <c r="B7111" s="80" t="s">
        <v>9515</v>
      </c>
    </row>
    <row r="7112" spans="1:2" x14ac:dyDescent="0.25">
      <c r="A7112" s="81" t="s">
        <v>9308</v>
      </c>
      <c r="B7112" s="80" t="s">
        <v>9515</v>
      </c>
    </row>
    <row r="7113" spans="1:2" x14ac:dyDescent="0.25">
      <c r="A7113" s="81" t="s">
        <v>9309</v>
      </c>
      <c r="B7113" s="80" t="s">
        <v>9515</v>
      </c>
    </row>
    <row r="7114" spans="1:2" x14ac:dyDescent="0.25">
      <c r="A7114" s="81" t="s">
        <v>9310</v>
      </c>
      <c r="B7114" s="80" t="s">
        <v>9515</v>
      </c>
    </row>
    <row r="7115" spans="1:2" x14ac:dyDescent="0.25">
      <c r="A7115" s="81" t="s">
        <v>9311</v>
      </c>
      <c r="B7115" s="80" t="s">
        <v>9515</v>
      </c>
    </row>
    <row r="7116" spans="1:2" x14ac:dyDescent="0.25">
      <c r="A7116" s="81" t="s">
        <v>9312</v>
      </c>
      <c r="B7116" s="80" t="s">
        <v>9515</v>
      </c>
    </row>
    <row r="7117" spans="1:2" x14ac:dyDescent="0.25">
      <c r="A7117" s="81" t="s">
        <v>9313</v>
      </c>
      <c r="B7117" s="80" t="s">
        <v>9515</v>
      </c>
    </row>
    <row r="7118" spans="1:2" x14ac:dyDescent="0.25">
      <c r="A7118" s="81" t="s">
        <v>9314</v>
      </c>
      <c r="B7118" s="80" t="s">
        <v>9515</v>
      </c>
    </row>
    <row r="7119" spans="1:2" x14ac:dyDescent="0.25">
      <c r="A7119" s="81" t="s">
        <v>9315</v>
      </c>
      <c r="B7119" s="80" t="s">
        <v>9515</v>
      </c>
    </row>
    <row r="7120" spans="1:2" x14ac:dyDescent="0.25">
      <c r="A7120" s="81" t="s">
        <v>9316</v>
      </c>
      <c r="B7120" s="80" t="s">
        <v>9515</v>
      </c>
    </row>
    <row r="7121" spans="1:2" x14ac:dyDescent="0.25">
      <c r="A7121" s="81" t="s">
        <v>9317</v>
      </c>
      <c r="B7121" s="80" t="s">
        <v>9515</v>
      </c>
    </row>
    <row r="7122" spans="1:2" x14ac:dyDescent="0.25">
      <c r="A7122" s="81" t="s">
        <v>9318</v>
      </c>
      <c r="B7122" s="80" t="s">
        <v>9515</v>
      </c>
    </row>
    <row r="7123" spans="1:2" x14ac:dyDescent="0.25">
      <c r="A7123" s="81" t="s">
        <v>9319</v>
      </c>
      <c r="B7123" s="80" t="s">
        <v>9515</v>
      </c>
    </row>
    <row r="7124" spans="1:2" x14ac:dyDescent="0.25">
      <c r="A7124" s="81" t="s">
        <v>9320</v>
      </c>
      <c r="B7124" s="80" t="s">
        <v>9515</v>
      </c>
    </row>
    <row r="7125" spans="1:2" x14ac:dyDescent="0.25">
      <c r="A7125" s="81" t="s">
        <v>9321</v>
      </c>
      <c r="B7125" s="80" t="s">
        <v>9515</v>
      </c>
    </row>
    <row r="7126" spans="1:2" x14ac:dyDescent="0.25">
      <c r="A7126" s="81" t="s">
        <v>9322</v>
      </c>
      <c r="B7126" s="80" t="s">
        <v>9515</v>
      </c>
    </row>
    <row r="7127" spans="1:2" x14ac:dyDescent="0.25">
      <c r="A7127" s="81" t="s">
        <v>9323</v>
      </c>
      <c r="B7127" s="80" t="s">
        <v>9515</v>
      </c>
    </row>
    <row r="7128" spans="1:2" x14ac:dyDescent="0.25">
      <c r="A7128" s="81" t="s">
        <v>9324</v>
      </c>
      <c r="B7128" s="80" t="s">
        <v>9515</v>
      </c>
    </row>
    <row r="7129" spans="1:2" x14ac:dyDescent="0.25">
      <c r="A7129" s="81" t="s">
        <v>9325</v>
      </c>
      <c r="B7129" s="80" t="s">
        <v>9515</v>
      </c>
    </row>
    <row r="7130" spans="1:2" x14ac:dyDescent="0.25">
      <c r="A7130" s="81" t="s">
        <v>9326</v>
      </c>
      <c r="B7130" s="80" t="s">
        <v>9515</v>
      </c>
    </row>
    <row r="7131" spans="1:2" x14ac:dyDescent="0.25">
      <c r="A7131" s="81" t="s">
        <v>9327</v>
      </c>
      <c r="B7131" s="80" t="s">
        <v>9515</v>
      </c>
    </row>
    <row r="7132" spans="1:2" x14ac:dyDescent="0.25">
      <c r="A7132" s="81" t="s">
        <v>9328</v>
      </c>
      <c r="B7132" s="80" t="s">
        <v>9515</v>
      </c>
    </row>
    <row r="7133" spans="1:2" x14ac:dyDescent="0.25">
      <c r="A7133" s="81" t="s">
        <v>9329</v>
      </c>
      <c r="B7133" s="80" t="s">
        <v>9515</v>
      </c>
    </row>
    <row r="7134" spans="1:2" x14ac:dyDescent="0.25">
      <c r="A7134" s="81" t="s">
        <v>9330</v>
      </c>
      <c r="B7134" s="80" t="s">
        <v>9515</v>
      </c>
    </row>
    <row r="7135" spans="1:2" x14ac:dyDescent="0.25">
      <c r="A7135" s="81" t="s">
        <v>9331</v>
      </c>
      <c r="B7135" s="80" t="s">
        <v>9515</v>
      </c>
    </row>
    <row r="7136" spans="1:2" x14ac:dyDescent="0.25">
      <c r="A7136" s="81" t="s">
        <v>9332</v>
      </c>
      <c r="B7136" s="80" t="s">
        <v>9515</v>
      </c>
    </row>
    <row r="7137" spans="1:2" x14ac:dyDescent="0.25">
      <c r="A7137" s="81" t="s">
        <v>9333</v>
      </c>
      <c r="B7137" s="80" t="s">
        <v>9515</v>
      </c>
    </row>
    <row r="7138" spans="1:2" x14ac:dyDescent="0.25">
      <c r="A7138" s="81" t="s">
        <v>9334</v>
      </c>
      <c r="B7138" s="80" t="s">
        <v>9515</v>
      </c>
    </row>
    <row r="7139" spans="1:2" x14ac:dyDescent="0.25">
      <c r="A7139" s="81" t="s">
        <v>9335</v>
      </c>
      <c r="B7139" s="80" t="s">
        <v>9515</v>
      </c>
    </row>
    <row r="7140" spans="1:2" x14ac:dyDescent="0.25">
      <c r="A7140" s="81" t="s">
        <v>9336</v>
      </c>
      <c r="B7140" s="80" t="s">
        <v>9515</v>
      </c>
    </row>
    <row r="7141" spans="1:2" x14ac:dyDescent="0.25">
      <c r="A7141" s="81" t="s">
        <v>9337</v>
      </c>
      <c r="B7141" s="80" t="s">
        <v>9515</v>
      </c>
    </row>
    <row r="7142" spans="1:2" x14ac:dyDescent="0.25">
      <c r="A7142" s="81" t="s">
        <v>9338</v>
      </c>
      <c r="B7142" s="80" t="s">
        <v>9515</v>
      </c>
    </row>
    <row r="7143" spans="1:2" x14ac:dyDescent="0.25">
      <c r="A7143" s="81" t="s">
        <v>9339</v>
      </c>
      <c r="B7143" s="80" t="s">
        <v>9515</v>
      </c>
    </row>
    <row r="7144" spans="1:2" x14ac:dyDescent="0.25">
      <c r="A7144" s="81" t="s">
        <v>9340</v>
      </c>
      <c r="B7144" s="80" t="s">
        <v>9515</v>
      </c>
    </row>
    <row r="7145" spans="1:2" x14ac:dyDescent="0.25">
      <c r="A7145" s="81" t="s">
        <v>9341</v>
      </c>
      <c r="B7145" s="80" t="s">
        <v>9515</v>
      </c>
    </row>
    <row r="7146" spans="1:2" x14ac:dyDescent="0.25">
      <c r="A7146" s="81" t="s">
        <v>9342</v>
      </c>
      <c r="B7146" s="80" t="s">
        <v>9515</v>
      </c>
    </row>
    <row r="7147" spans="1:2" x14ac:dyDescent="0.25">
      <c r="A7147" s="81" t="s">
        <v>9343</v>
      </c>
      <c r="B7147" s="80" t="s">
        <v>9515</v>
      </c>
    </row>
    <row r="7148" spans="1:2" x14ac:dyDescent="0.25">
      <c r="A7148" s="81" t="s">
        <v>9344</v>
      </c>
      <c r="B7148" s="80" t="s">
        <v>9515</v>
      </c>
    </row>
    <row r="7149" spans="1:2" x14ac:dyDescent="0.25">
      <c r="A7149" s="81" t="s">
        <v>9345</v>
      </c>
      <c r="B7149" s="80" t="s">
        <v>9515</v>
      </c>
    </row>
    <row r="7150" spans="1:2" x14ac:dyDescent="0.25">
      <c r="A7150" s="81" t="s">
        <v>9346</v>
      </c>
      <c r="B7150" s="80" t="s">
        <v>9515</v>
      </c>
    </row>
    <row r="7151" spans="1:2" x14ac:dyDescent="0.25">
      <c r="A7151" s="81" t="s">
        <v>9347</v>
      </c>
      <c r="B7151" s="80" t="s">
        <v>9515</v>
      </c>
    </row>
    <row r="7152" spans="1:2" x14ac:dyDescent="0.25">
      <c r="A7152" s="81" t="s">
        <v>9348</v>
      </c>
      <c r="B7152" s="80" t="s">
        <v>9515</v>
      </c>
    </row>
    <row r="7153" spans="1:2" x14ac:dyDescent="0.25">
      <c r="A7153" s="81" t="s">
        <v>9349</v>
      </c>
      <c r="B7153" s="80" t="s">
        <v>9515</v>
      </c>
    </row>
    <row r="7154" spans="1:2" x14ac:dyDescent="0.25">
      <c r="A7154" s="81" t="s">
        <v>9350</v>
      </c>
      <c r="B7154" s="80" t="s">
        <v>9515</v>
      </c>
    </row>
    <row r="7155" spans="1:2" x14ac:dyDescent="0.25">
      <c r="A7155" s="81" t="s">
        <v>9351</v>
      </c>
      <c r="B7155" s="80" t="s">
        <v>9515</v>
      </c>
    </row>
    <row r="7156" spans="1:2" x14ac:dyDescent="0.25">
      <c r="A7156" s="81" t="s">
        <v>9352</v>
      </c>
      <c r="B7156" s="80" t="s">
        <v>9515</v>
      </c>
    </row>
    <row r="7157" spans="1:2" x14ac:dyDescent="0.25">
      <c r="A7157" s="81" t="s">
        <v>9353</v>
      </c>
      <c r="B7157" s="80" t="s">
        <v>9515</v>
      </c>
    </row>
    <row r="7158" spans="1:2" x14ac:dyDescent="0.25">
      <c r="A7158" s="81" t="s">
        <v>9354</v>
      </c>
      <c r="B7158" s="80" t="s">
        <v>9515</v>
      </c>
    </row>
    <row r="7159" spans="1:2" x14ac:dyDescent="0.25">
      <c r="A7159" s="81" t="s">
        <v>9355</v>
      </c>
      <c r="B7159" s="80" t="s">
        <v>9515</v>
      </c>
    </row>
    <row r="7160" spans="1:2" x14ac:dyDescent="0.25">
      <c r="A7160" s="81" t="s">
        <v>9356</v>
      </c>
      <c r="B7160" s="80" t="s">
        <v>9515</v>
      </c>
    </row>
    <row r="7161" spans="1:2" x14ac:dyDescent="0.25">
      <c r="A7161" s="81" t="s">
        <v>9357</v>
      </c>
      <c r="B7161" s="80" t="s">
        <v>9515</v>
      </c>
    </row>
    <row r="7162" spans="1:2" x14ac:dyDescent="0.25">
      <c r="A7162" s="81" t="s">
        <v>9358</v>
      </c>
      <c r="B7162" s="80" t="s">
        <v>9515</v>
      </c>
    </row>
    <row r="7163" spans="1:2" x14ac:dyDescent="0.25">
      <c r="A7163" s="81" t="s">
        <v>9359</v>
      </c>
      <c r="B7163" s="80" t="s">
        <v>9515</v>
      </c>
    </row>
    <row r="7164" spans="1:2" x14ac:dyDescent="0.25">
      <c r="A7164" s="81" t="s">
        <v>9360</v>
      </c>
      <c r="B7164" s="80" t="s">
        <v>9515</v>
      </c>
    </row>
    <row r="7165" spans="1:2" x14ac:dyDescent="0.25">
      <c r="A7165" s="81" t="s">
        <v>9361</v>
      </c>
      <c r="B7165" s="80" t="s">
        <v>9515</v>
      </c>
    </row>
    <row r="7166" spans="1:2" x14ac:dyDescent="0.25">
      <c r="A7166" s="81" t="s">
        <v>9362</v>
      </c>
      <c r="B7166" s="80" t="s">
        <v>9515</v>
      </c>
    </row>
    <row r="7167" spans="1:2" x14ac:dyDescent="0.25">
      <c r="A7167" s="81" t="s">
        <v>9363</v>
      </c>
      <c r="B7167" s="80" t="s">
        <v>9515</v>
      </c>
    </row>
    <row r="7168" spans="1:2" x14ac:dyDescent="0.25">
      <c r="A7168" s="81" t="s">
        <v>9364</v>
      </c>
      <c r="B7168" s="80" t="s">
        <v>9515</v>
      </c>
    </row>
    <row r="7169" spans="1:2" x14ac:dyDescent="0.25">
      <c r="A7169" s="81" t="s">
        <v>9365</v>
      </c>
      <c r="B7169" s="80" t="s">
        <v>9515</v>
      </c>
    </row>
    <row r="7170" spans="1:2" x14ac:dyDescent="0.25">
      <c r="A7170" s="81" t="s">
        <v>9366</v>
      </c>
      <c r="B7170" s="80" t="s">
        <v>9515</v>
      </c>
    </row>
    <row r="7171" spans="1:2" x14ac:dyDescent="0.25">
      <c r="A7171" s="81" t="s">
        <v>9367</v>
      </c>
      <c r="B7171" s="80" t="s">
        <v>9515</v>
      </c>
    </row>
    <row r="7172" spans="1:2" x14ac:dyDescent="0.25">
      <c r="A7172" s="81" t="s">
        <v>9368</v>
      </c>
      <c r="B7172" s="80" t="s">
        <v>9515</v>
      </c>
    </row>
    <row r="7173" spans="1:2" x14ac:dyDescent="0.25">
      <c r="A7173" s="81" t="s">
        <v>9369</v>
      </c>
      <c r="B7173" s="80" t="s">
        <v>9515</v>
      </c>
    </row>
    <row r="7174" spans="1:2" x14ac:dyDescent="0.25">
      <c r="A7174" s="81" t="s">
        <v>9370</v>
      </c>
      <c r="B7174" s="80" t="s">
        <v>9515</v>
      </c>
    </row>
    <row r="7175" spans="1:2" x14ac:dyDescent="0.25">
      <c r="A7175" s="81" t="s">
        <v>9371</v>
      </c>
      <c r="B7175" s="80" t="s">
        <v>9515</v>
      </c>
    </row>
    <row r="7176" spans="1:2" x14ac:dyDescent="0.25">
      <c r="A7176" s="81" t="s">
        <v>9372</v>
      </c>
      <c r="B7176" s="80" t="s">
        <v>9515</v>
      </c>
    </row>
    <row r="7177" spans="1:2" x14ac:dyDescent="0.25">
      <c r="A7177" s="81" t="s">
        <v>9373</v>
      </c>
      <c r="B7177" s="80" t="s">
        <v>9515</v>
      </c>
    </row>
    <row r="7178" spans="1:2" x14ac:dyDescent="0.25">
      <c r="A7178" s="81" t="s">
        <v>9374</v>
      </c>
      <c r="B7178" s="80" t="s">
        <v>9515</v>
      </c>
    </row>
    <row r="7179" spans="1:2" x14ac:dyDescent="0.25">
      <c r="A7179" s="81" t="s">
        <v>9375</v>
      </c>
      <c r="B7179" s="80" t="s">
        <v>9515</v>
      </c>
    </row>
    <row r="7180" spans="1:2" x14ac:dyDescent="0.25">
      <c r="A7180" s="81" t="s">
        <v>9376</v>
      </c>
      <c r="B7180" s="80" t="s">
        <v>9515</v>
      </c>
    </row>
    <row r="7181" spans="1:2" x14ac:dyDescent="0.25">
      <c r="A7181" s="81" t="s">
        <v>9377</v>
      </c>
      <c r="B7181" s="80" t="s">
        <v>9515</v>
      </c>
    </row>
    <row r="7182" spans="1:2" x14ac:dyDescent="0.25">
      <c r="A7182" s="81" t="s">
        <v>9378</v>
      </c>
      <c r="B7182" s="80" t="s">
        <v>9515</v>
      </c>
    </row>
    <row r="7183" spans="1:2" x14ac:dyDescent="0.25">
      <c r="A7183" s="81" t="s">
        <v>9379</v>
      </c>
      <c r="B7183" s="80" t="s">
        <v>9515</v>
      </c>
    </row>
    <row r="7184" spans="1:2" x14ac:dyDescent="0.25">
      <c r="A7184" s="81" t="s">
        <v>9380</v>
      </c>
      <c r="B7184" s="80" t="s">
        <v>9515</v>
      </c>
    </row>
    <row r="7185" spans="1:2" x14ac:dyDescent="0.25">
      <c r="A7185" s="81" t="s">
        <v>9381</v>
      </c>
      <c r="B7185" s="80" t="s">
        <v>9515</v>
      </c>
    </row>
    <row r="7186" spans="1:2" x14ac:dyDescent="0.25">
      <c r="A7186" s="81" t="s">
        <v>9382</v>
      </c>
      <c r="B7186" s="80" t="s">
        <v>9515</v>
      </c>
    </row>
    <row r="7187" spans="1:2" x14ac:dyDescent="0.25">
      <c r="A7187" s="81" t="s">
        <v>9383</v>
      </c>
      <c r="B7187" s="80" t="s">
        <v>9515</v>
      </c>
    </row>
    <row r="7188" spans="1:2" x14ac:dyDescent="0.25">
      <c r="A7188" s="81" t="s">
        <v>9384</v>
      </c>
      <c r="B7188" s="80" t="s">
        <v>9515</v>
      </c>
    </row>
    <row r="7189" spans="1:2" x14ac:dyDescent="0.25">
      <c r="A7189" s="81" t="s">
        <v>9385</v>
      </c>
      <c r="B7189" s="80" t="s">
        <v>9515</v>
      </c>
    </row>
    <row r="7190" spans="1:2" x14ac:dyDescent="0.25">
      <c r="A7190" s="81" t="s">
        <v>9386</v>
      </c>
      <c r="B7190" s="80" t="s">
        <v>9515</v>
      </c>
    </row>
    <row r="7191" spans="1:2" x14ac:dyDescent="0.25">
      <c r="A7191" s="81" t="s">
        <v>9387</v>
      </c>
      <c r="B7191" s="80" t="s">
        <v>9515</v>
      </c>
    </row>
    <row r="7192" spans="1:2" x14ac:dyDescent="0.25">
      <c r="A7192" s="81" t="s">
        <v>9388</v>
      </c>
      <c r="B7192" s="80" t="s">
        <v>9515</v>
      </c>
    </row>
    <row r="7193" spans="1:2" x14ac:dyDescent="0.25">
      <c r="A7193" s="81" t="s">
        <v>9389</v>
      </c>
      <c r="B7193" s="80" t="s">
        <v>9515</v>
      </c>
    </row>
    <row r="7194" spans="1:2" x14ac:dyDescent="0.25">
      <c r="A7194" s="81" t="s">
        <v>9390</v>
      </c>
      <c r="B7194" s="80" t="s">
        <v>9515</v>
      </c>
    </row>
    <row r="7195" spans="1:2" x14ac:dyDescent="0.25">
      <c r="A7195" s="81" t="s">
        <v>9391</v>
      </c>
      <c r="B7195" s="80" t="s">
        <v>9515</v>
      </c>
    </row>
    <row r="7196" spans="1:2" x14ac:dyDescent="0.25">
      <c r="A7196" s="81" t="s">
        <v>9392</v>
      </c>
      <c r="B7196" s="80" t="s">
        <v>9515</v>
      </c>
    </row>
    <row r="7197" spans="1:2" x14ac:dyDescent="0.25">
      <c r="A7197" s="81" t="s">
        <v>9393</v>
      </c>
      <c r="B7197" s="80" t="s">
        <v>9515</v>
      </c>
    </row>
    <row r="7198" spans="1:2" x14ac:dyDescent="0.25">
      <c r="A7198" s="81" t="s">
        <v>9394</v>
      </c>
      <c r="B7198" s="80" t="s">
        <v>9515</v>
      </c>
    </row>
    <row r="7199" spans="1:2" x14ac:dyDescent="0.25">
      <c r="A7199" s="81" t="s">
        <v>9395</v>
      </c>
      <c r="B7199" s="80" t="s">
        <v>9515</v>
      </c>
    </row>
    <row r="7200" spans="1:2" x14ac:dyDescent="0.25">
      <c r="A7200" s="81" t="s">
        <v>9396</v>
      </c>
      <c r="B7200" s="80" t="s">
        <v>9515</v>
      </c>
    </row>
    <row r="7201" spans="1:2" x14ac:dyDescent="0.25">
      <c r="A7201" s="81" t="s">
        <v>9397</v>
      </c>
      <c r="B7201" s="80" t="s">
        <v>9515</v>
      </c>
    </row>
    <row r="7202" spans="1:2" x14ac:dyDescent="0.25">
      <c r="A7202" s="81" t="s">
        <v>9398</v>
      </c>
      <c r="B7202" s="80" t="s">
        <v>9515</v>
      </c>
    </row>
    <row r="7203" spans="1:2" x14ac:dyDescent="0.25">
      <c r="A7203" s="81" t="s">
        <v>9399</v>
      </c>
      <c r="B7203" s="80" t="s">
        <v>9515</v>
      </c>
    </row>
    <row r="7204" spans="1:2" x14ac:dyDescent="0.25">
      <c r="A7204" s="81" t="s">
        <v>9400</v>
      </c>
      <c r="B7204" s="80" t="s">
        <v>9515</v>
      </c>
    </row>
    <row r="7205" spans="1:2" x14ac:dyDescent="0.25">
      <c r="A7205" s="81" t="s">
        <v>9401</v>
      </c>
      <c r="B7205" s="80" t="s">
        <v>9515</v>
      </c>
    </row>
    <row r="7206" spans="1:2" x14ac:dyDescent="0.25">
      <c r="A7206" s="81" t="s">
        <v>9402</v>
      </c>
      <c r="B7206" s="80" t="s">
        <v>9515</v>
      </c>
    </row>
    <row r="7207" spans="1:2" x14ac:dyDescent="0.25">
      <c r="A7207" s="81" t="s">
        <v>9403</v>
      </c>
      <c r="B7207" s="80" t="s">
        <v>9515</v>
      </c>
    </row>
    <row r="7208" spans="1:2" x14ac:dyDescent="0.25">
      <c r="A7208" s="81" t="s">
        <v>9404</v>
      </c>
      <c r="B7208" s="80" t="s">
        <v>9515</v>
      </c>
    </row>
    <row r="7209" spans="1:2" x14ac:dyDescent="0.25">
      <c r="A7209" s="81" t="s">
        <v>9405</v>
      </c>
      <c r="B7209" s="80" t="s">
        <v>9515</v>
      </c>
    </row>
    <row r="7210" spans="1:2" x14ac:dyDescent="0.25">
      <c r="A7210" s="81" t="s">
        <v>9406</v>
      </c>
      <c r="B7210" s="80" t="s">
        <v>9515</v>
      </c>
    </row>
    <row r="7211" spans="1:2" x14ac:dyDescent="0.25">
      <c r="A7211" s="81" t="s">
        <v>9407</v>
      </c>
      <c r="B7211" s="80" t="s">
        <v>9515</v>
      </c>
    </row>
    <row r="7212" spans="1:2" x14ac:dyDescent="0.25">
      <c r="A7212" s="81" t="s">
        <v>9408</v>
      </c>
      <c r="B7212" s="80" t="s">
        <v>9515</v>
      </c>
    </row>
    <row r="7213" spans="1:2" x14ac:dyDescent="0.25">
      <c r="A7213" s="81" t="s">
        <v>9409</v>
      </c>
      <c r="B7213" s="80" t="s">
        <v>9515</v>
      </c>
    </row>
    <row r="7214" spans="1:2" x14ac:dyDescent="0.25">
      <c r="A7214" s="81" t="s">
        <v>9410</v>
      </c>
      <c r="B7214" s="80" t="s">
        <v>9515</v>
      </c>
    </row>
    <row r="7215" spans="1:2" x14ac:dyDescent="0.25">
      <c r="A7215" s="81" t="s">
        <v>9411</v>
      </c>
      <c r="B7215" s="80" t="s">
        <v>9515</v>
      </c>
    </row>
    <row r="7216" spans="1:2" x14ac:dyDescent="0.25">
      <c r="A7216" s="81" t="s">
        <v>9412</v>
      </c>
      <c r="B7216" s="80" t="s">
        <v>9515</v>
      </c>
    </row>
    <row r="7217" spans="1:2" x14ac:dyDescent="0.25">
      <c r="A7217" s="81" t="s">
        <v>9413</v>
      </c>
      <c r="B7217" s="80" t="s">
        <v>9515</v>
      </c>
    </row>
    <row r="7218" spans="1:2" x14ac:dyDescent="0.25">
      <c r="A7218" s="81" t="s">
        <v>9414</v>
      </c>
      <c r="B7218" s="80" t="s">
        <v>9515</v>
      </c>
    </row>
    <row r="7219" spans="1:2" x14ac:dyDescent="0.25">
      <c r="A7219" s="81" t="s">
        <v>9415</v>
      </c>
      <c r="B7219" s="80" t="s">
        <v>9515</v>
      </c>
    </row>
    <row r="7220" spans="1:2" x14ac:dyDescent="0.25">
      <c r="A7220" s="81" t="s">
        <v>9416</v>
      </c>
      <c r="B7220" s="80" t="s">
        <v>9515</v>
      </c>
    </row>
    <row r="7221" spans="1:2" x14ac:dyDescent="0.25">
      <c r="A7221" s="81" t="s">
        <v>9417</v>
      </c>
      <c r="B7221" s="80" t="s">
        <v>9515</v>
      </c>
    </row>
    <row r="7222" spans="1:2" x14ac:dyDescent="0.25">
      <c r="A7222" s="81" t="s">
        <v>9418</v>
      </c>
      <c r="B7222" s="80" t="s">
        <v>9515</v>
      </c>
    </row>
    <row r="7223" spans="1:2" x14ac:dyDescent="0.25">
      <c r="A7223" s="81" t="s">
        <v>9419</v>
      </c>
      <c r="B7223" s="80" t="s">
        <v>9515</v>
      </c>
    </row>
    <row r="7224" spans="1:2" x14ac:dyDescent="0.25">
      <c r="A7224" s="81" t="s">
        <v>9420</v>
      </c>
      <c r="B7224" s="80" t="s">
        <v>9515</v>
      </c>
    </row>
    <row r="7225" spans="1:2" x14ac:dyDescent="0.25">
      <c r="A7225" s="81" t="s">
        <v>9421</v>
      </c>
      <c r="B7225" s="80" t="s">
        <v>9515</v>
      </c>
    </row>
    <row r="7226" spans="1:2" x14ac:dyDescent="0.25">
      <c r="A7226" s="81" t="s">
        <v>9422</v>
      </c>
      <c r="B7226" s="80" t="s">
        <v>9515</v>
      </c>
    </row>
    <row r="7227" spans="1:2" x14ac:dyDescent="0.25">
      <c r="A7227" s="81" t="s">
        <v>9423</v>
      </c>
      <c r="B7227" s="80" t="s">
        <v>9515</v>
      </c>
    </row>
    <row r="7228" spans="1:2" x14ac:dyDescent="0.25">
      <c r="A7228" s="81" t="s">
        <v>9424</v>
      </c>
      <c r="B7228" s="80" t="s">
        <v>9515</v>
      </c>
    </row>
    <row r="7229" spans="1:2" x14ac:dyDescent="0.25">
      <c r="A7229" s="81" t="s">
        <v>9425</v>
      </c>
      <c r="B7229" s="80" t="s">
        <v>9515</v>
      </c>
    </row>
    <row r="7230" spans="1:2" x14ac:dyDescent="0.25">
      <c r="A7230" s="81" t="s">
        <v>9426</v>
      </c>
      <c r="B7230" s="80" t="s">
        <v>9515</v>
      </c>
    </row>
    <row r="7231" spans="1:2" x14ac:dyDescent="0.25">
      <c r="A7231" s="81" t="s">
        <v>9427</v>
      </c>
      <c r="B7231" s="80" t="s">
        <v>9515</v>
      </c>
    </row>
    <row r="7232" spans="1:2" x14ac:dyDescent="0.25">
      <c r="A7232" s="81" t="s">
        <v>9428</v>
      </c>
      <c r="B7232" s="80" t="s">
        <v>9515</v>
      </c>
    </row>
    <row r="7233" spans="1:2" x14ac:dyDescent="0.25">
      <c r="A7233" s="81" t="s">
        <v>9429</v>
      </c>
      <c r="B7233" s="80" t="s">
        <v>9515</v>
      </c>
    </row>
    <row r="7234" spans="1:2" x14ac:dyDescent="0.25">
      <c r="A7234" s="81" t="s">
        <v>9430</v>
      </c>
      <c r="B7234" s="80" t="s">
        <v>9515</v>
      </c>
    </row>
    <row r="7235" spans="1:2" x14ac:dyDescent="0.25">
      <c r="A7235" s="81" t="s">
        <v>9431</v>
      </c>
      <c r="B7235" s="80" t="s">
        <v>9515</v>
      </c>
    </row>
    <row r="7236" spans="1:2" x14ac:dyDescent="0.25">
      <c r="A7236" s="81" t="s">
        <v>9432</v>
      </c>
      <c r="B7236" s="80" t="s">
        <v>9515</v>
      </c>
    </row>
    <row r="7237" spans="1:2" x14ac:dyDescent="0.25">
      <c r="A7237" s="81" t="s">
        <v>9433</v>
      </c>
      <c r="B7237" s="80" t="s">
        <v>9515</v>
      </c>
    </row>
    <row r="7238" spans="1:2" x14ac:dyDescent="0.25">
      <c r="A7238" s="81" t="s">
        <v>9434</v>
      </c>
      <c r="B7238" s="80" t="s">
        <v>9515</v>
      </c>
    </row>
    <row r="7239" spans="1:2" x14ac:dyDescent="0.25">
      <c r="A7239" s="81" t="s">
        <v>9435</v>
      </c>
      <c r="B7239" s="80" t="s">
        <v>9515</v>
      </c>
    </row>
    <row r="7240" spans="1:2" x14ac:dyDescent="0.25">
      <c r="A7240" s="81" t="s">
        <v>9436</v>
      </c>
      <c r="B7240" s="80" t="s">
        <v>9515</v>
      </c>
    </row>
    <row r="7241" spans="1:2" x14ac:dyDescent="0.25">
      <c r="A7241" s="81" t="s">
        <v>9437</v>
      </c>
      <c r="B7241" s="80" t="s">
        <v>9515</v>
      </c>
    </row>
    <row r="7242" spans="1:2" x14ac:dyDescent="0.25">
      <c r="A7242" s="81" t="s">
        <v>9438</v>
      </c>
      <c r="B7242" s="80" t="s">
        <v>9515</v>
      </c>
    </row>
    <row r="7243" spans="1:2" x14ac:dyDescent="0.25">
      <c r="A7243" s="81" t="s">
        <v>9439</v>
      </c>
      <c r="B7243" s="80" t="s">
        <v>9515</v>
      </c>
    </row>
    <row r="7244" spans="1:2" x14ac:dyDescent="0.25">
      <c r="A7244" s="81" t="s">
        <v>9440</v>
      </c>
      <c r="B7244" s="80" t="s">
        <v>9515</v>
      </c>
    </row>
    <row r="7245" spans="1:2" x14ac:dyDescent="0.25">
      <c r="A7245" s="81" t="s">
        <v>9441</v>
      </c>
      <c r="B7245" s="80" t="s">
        <v>9515</v>
      </c>
    </row>
    <row r="7246" spans="1:2" x14ac:dyDescent="0.25">
      <c r="A7246" s="81" t="s">
        <v>9442</v>
      </c>
      <c r="B7246" s="80" t="s">
        <v>9515</v>
      </c>
    </row>
    <row r="7247" spans="1:2" x14ac:dyDescent="0.25">
      <c r="A7247" s="81" t="s">
        <v>9443</v>
      </c>
      <c r="B7247" s="80" t="s">
        <v>9515</v>
      </c>
    </row>
    <row r="7248" spans="1:2" x14ac:dyDescent="0.25">
      <c r="A7248" s="81" t="s">
        <v>9444</v>
      </c>
      <c r="B7248" s="80" t="s">
        <v>9515</v>
      </c>
    </row>
    <row r="7249" spans="1:2" x14ac:dyDescent="0.25">
      <c r="A7249" s="81" t="s">
        <v>9445</v>
      </c>
      <c r="B7249" s="80" t="s">
        <v>9515</v>
      </c>
    </row>
    <row r="7250" spans="1:2" x14ac:dyDescent="0.25">
      <c r="A7250" s="81" t="s">
        <v>9446</v>
      </c>
      <c r="B7250" s="80" t="s">
        <v>9515</v>
      </c>
    </row>
    <row r="7251" spans="1:2" x14ac:dyDescent="0.25">
      <c r="A7251" s="81" t="s">
        <v>9447</v>
      </c>
      <c r="B7251" s="80" t="s">
        <v>9515</v>
      </c>
    </row>
    <row r="7252" spans="1:2" x14ac:dyDescent="0.25">
      <c r="A7252" s="81" t="s">
        <v>9448</v>
      </c>
      <c r="B7252" s="80" t="s">
        <v>9515</v>
      </c>
    </row>
    <row r="7253" spans="1:2" x14ac:dyDescent="0.25">
      <c r="A7253" s="81" t="s">
        <v>9449</v>
      </c>
      <c r="B7253" s="80" t="s">
        <v>9515</v>
      </c>
    </row>
    <row r="7254" spans="1:2" x14ac:dyDescent="0.25">
      <c r="A7254" s="81" t="s">
        <v>9450</v>
      </c>
      <c r="B7254" s="80" t="s">
        <v>9515</v>
      </c>
    </row>
    <row r="7255" spans="1:2" x14ac:dyDescent="0.25">
      <c r="A7255" s="81" t="s">
        <v>9451</v>
      </c>
      <c r="B7255" s="80" t="s">
        <v>9515</v>
      </c>
    </row>
    <row r="7256" spans="1:2" x14ac:dyDescent="0.25">
      <c r="A7256" s="81" t="s">
        <v>9452</v>
      </c>
      <c r="B7256" s="80" t="s">
        <v>9515</v>
      </c>
    </row>
    <row r="7257" spans="1:2" x14ac:dyDescent="0.25">
      <c r="A7257" s="81" t="s">
        <v>9453</v>
      </c>
      <c r="B7257" s="80" t="s">
        <v>9515</v>
      </c>
    </row>
    <row r="7258" spans="1:2" x14ac:dyDescent="0.25">
      <c r="A7258" s="81" t="s">
        <v>9454</v>
      </c>
      <c r="B7258" s="80" t="s">
        <v>9515</v>
      </c>
    </row>
    <row r="7259" spans="1:2" x14ac:dyDescent="0.25">
      <c r="A7259" s="81" t="s">
        <v>9455</v>
      </c>
      <c r="B7259" s="80" t="s">
        <v>9515</v>
      </c>
    </row>
    <row r="7260" spans="1:2" x14ac:dyDescent="0.25">
      <c r="A7260" s="81" t="s">
        <v>9456</v>
      </c>
      <c r="B7260" s="80" t="s">
        <v>9515</v>
      </c>
    </row>
    <row r="7261" spans="1:2" x14ac:dyDescent="0.25">
      <c r="A7261" s="81" t="s">
        <v>9457</v>
      </c>
      <c r="B7261" s="80" t="s">
        <v>9515</v>
      </c>
    </row>
    <row r="7262" spans="1:2" x14ac:dyDescent="0.25">
      <c r="A7262" s="81" t="s">
        <v>9458</v>
      </c>
      <c r="B7262" s="80" t="s">
        <v>9515</v>
      </c>
    </row>
    <row r="7263" spans="1:2" x14ac:dyDescent="0.25">
      <c r="A7263" s="81" t="s">
        <v>9459</v>
      </c>
      <c r="B7263" s="80" t="s">
        <v>9515</v>
      </c>
    </row>
    <row r="7264" spans="1:2" x14ac:dyDescent="0.25">
      <c r="A7264" s="81" t="s">
        <v>9460</v>
      </c>
      <c r="B7264" s="80" t="s">
        <v>9515</v>
      </c>
    </row>
    <row r="7265" spans="1:2" x14ac:dyDescent="0.25">
      <c r="A7265" s="81" t="s">
        <v>9461</v>
      </c>
      <c r="B7265" s="80" t="s">
        <v>9515</v>
      </c>
    </row>
    <row r="7266" spans="1:2" x14ac:dyDescent="0.25">
      <c r="A7266" s="81" t="s">
        <v>9462</v>
      </c>
      <c r="B7266" s="80" t="s">
        <v>9515</v>
      </c>
    </row>
    <row r="7267" spans="1:2" x14ac:dyDescent="0.25">
      <c r="A7267" s="81" t="s">
        <v>9463</v>
      </c>
      <c r="B7267" s="80" t="s">
        <v>9515</v>
      </c>
    </row>
    <row r="7268" spans="1:2" x14ac:dyDescent="0.25">
      <c r="A7268" s="81" t="s">
        <v>9464</v>
      </c>
      <c r="B7268" s="80" t="s">
        <v>9515</v>
      </c>
    </row>
    <row r="7269" spans="1:2" x14ac:dyDescent="0.25">
      <c r="A7269" s="81" t="s">
        <v>9465</v>
      </c>
      <c r="B7269" s="80" t="s">
        <v>9515</v>
      </c>
    </row>
    <row r="7270" spans="1:2" x14ac:dyDescent="0.25">
      <c r="A7270" s="81" t="s">
        <v>9466</v>
      </c>
      <c r="B7270" s="80" t="s">
        <v>9515</v>
      </c>
    </row>
    <row r="7271" spans="1:2" x14ac:dyDescent="0.25">
      <c r="A7271" s="81" t="s">
        <v>9467</v>
      </c>
      <c r="B7271" s="80" t="s">
        <v>9515</v>
      </c>
    </row>
    <row r="7272" spans="1:2" x14ac:dyDescent="0.25">
      <c r="A7272" s="81" t="s">
        <v>9468</v>
      </c>
      <c r="B7272" s="80" t="s">
        <v>9515</v>
      </c>
    </row>
    <row r="7273" spans="1:2" x14ac:dyDescent="0.25">
      <c r="A7273" s="81" t="s">
        <v>9469</v>
      </c>
      <c r="B7273" s="80" t="s">
        <v>9515</v>
      </c>
    </row>
    <row r="7274" spans="1:2" x14ac:dyDescent="0.25">
      <c r="A7274" s="81" t="s">
        <v>9470</v>
      </c>
      <c r="B7274" s="80" t="s">
        <v>9515</v>
      </c>
    </row>
    <row r="7275" spans="1:2" x14ac:dyDescent="0.25">
      <c r="A7275" s="81" t="s">
        <v>9471</v>
      </c>
      <c r="B7275" s="80" t="s">
        <v>9515</v>
      </c>
    </row>
    <row r="7276" spans="1:2" x14ac:dyDescent="0.25">
      <c r="A7276" s="81" t="s">
        <v>9472</v>
      </c>
      <c r="B7276" s="80" t="s">
        <v>9515</v>
      </c>
    </row>
    <row r="7277" spans="1:2" x14ac:dyDescent="0.25">
      <c r="A7277" s="81" t="s">
        <v>9473</v>
      </c>
      <c r="B7277" s="80" t="s">
        <v>9515</v>
      </c>
    </row>
    <row r="7278" spans="1:2" x14ac:dyDescent="0.25">
      <c r="A7278" s="81" t="s">
        <v>9474</v>
      </c>
      <c r="B7278" s="80" t="s">
        <v>9515</v>
      </c>
    </row>
    <row r="7279" spans="1:2" x14ac:dyDescent="0.25">
      <c r="A7279" s="81" t="s">
        <v>9475</v>
      </c>
      <c r="B7279" s="80" t="s">
        <v>9515</v>
      </c>
    </row>
    <row r="7280" spans="1:2" x14ac:dyDescent="0.25">
      <c r="A7280" s="81" t="s">
        <v>9476</v>
      </c>
      <c r="B7280" s="80" t="s">
        <v>9515</v>
      </c>
    </row>
    <row r="7281" spans="1:2" x14ac:dyDescent="0.25">
      <c r="A7281" s="81" t="s">
        <v>9477</v>
      </c>
      <c r="B7281" s="80" t="s">
        <v>9515</v>
      </c>
    </row>
    <row r="7282" spans="1:2" x14ac:dyDescent="0.25">
      <c r="A7282" s="81" t="s">
        <v>9478</v>
      </c>
      <c r="B7282" s="80" t="s">
        <v>9515</v>
      </c>
    </row>
    <row r="7283" spans="1:2" x14ac:dyDescent="0.25">
      <c r="A7283" s="81" t="s">
        <v>9479</v>
      </c>
      <c r="B7283" s="80" t="s">
        <v>9515</v>
      </c>
    </row>
    <row r="7284" spans="1:2" x14ac:dyDescent="0.25">
      <c r="A7284" s="81" t="s">
        <v>9480</v>
      </c>
      <c r="B7284" s="80" t="s">
        <v>9515</v>
      </c>
    </row>
    <row r="7285" spans="1:2" x14ac:dyDescent="0.25">
      <c r="A7285" s="81" t="s">
        <v>9481</v>
      </c>
      <c r="B7285" s="80" t="s">
        <v>9515</v>
      </c>
    </row>
    <row r="7286" spans="1:2" x14ac:dyDescent="0.25">
      <c r="A7286" s="81" t="s">
        <v>9482</v>
      </c>
      <c r="B7286" s="80" t="s">
        <v>9515</v>
      </c>
    </row>
    <row r="7287" spans="1:2" x14ac:dyDescent="0.25">
      <c r="A7287" s="81" t="s">
        <v>9483</v>
      </c>
      <c r="B7287" s="80" t="s">
        <v>9515</v>
      </c>
    </row>
    <row r="7288" spans="1:2" x14ac:dyDescent="0.25">
      <c r="A7288" s="81" t="s">
        <v>9484</v>
      </c>
      <c r="B7288" s="80" t="s">
        <v>9515</v>
      </c>
    </row>
    <row r="7289" spans="1:2" x14ac:dyDescent="0.25">
      <c r="A7289" s="81" t="s">
        <v>9485</v>
      </c>
      <c r="B7289" s="80" t="s">
        <v>9515</v>
      </c>
    </row>
    <row r="7290" spans="1:2" x14ac:dyDescent="0.25">
      <c r="A7290" s="81" t="s">
        <v>9486</v>
      </c>
      <c r="B7290" s="80" t="s">
        <v>9515</v>
      </c>
    </row>
    <row r="7291" spans="1:2" x14ac:dyDescent="0.25">
      <c r="A7291" s="81" t="s">
        <v>9487</v>
      </c>
      <c r="B7291" s="80" t="s">
        <v>9515</v>
      </c>
    </row>
    <row r="7292" spans="1:2" x14ac:dyDescent="0.25">
      <c r="A7292" s="81" t="s">
        <v>9488</v>
      </c>
      <c r="B7292" s="80" t="s">
        <v>9515</v>
      </c>
    </row>
    <row r="7293" spans="1:2" x14ac:dyDescent="0.25">
      <c r="A7293" s="81" t="s">
        <v>9489</v>
      </c>
      <c r="B7293" s="80" t="s">
        <v>9515</v>
      </c>
    </row>
    <row r="7294" spans="1:2" x14ac:dyDescent="0.25">
      <c r="A7294" s="81" t="s">
        <v>9490</v>
      </c>
      <c r="B7294" s="80" t="s">
        <v>9515</v>
      </c>
    </row>
    <row r="7295" spans="1:2" x14ac:dyDescent="0.25">
      <c r="A7295" s="81" t="s">
        <v>9491</v>
      </c>
      <c r="B7295" s="80" t="s">
        <v>9515</v>
      </c>
    </row>
    <row r="7296" spans="1:2" x14ac:dyDescent="0.25">
      <c r="A7296" s="81" t="s">
        <v>9492</v>
      </c>
      <c r="B7296" s="80" t="s">
        <v>9515</v>
      </c>
    </row>
    <row r="7297" spans="1:2" x14ac:dyDescent="0.25">
      <c r="A7297" s="81" t="s">
        <v>9493</v>
      </c>
      <c r="B7297" s="80" t="s">
        <v>9515</v>
      </c>
    </row>
    <row r="7298" spans="1:2" x14ac:dyDescent="0.25">
      <c r="A7298" s="81" t="s">
        <v>9494</v>
      </c>
      <c r="B7298" s="80" t="s">
        <v>9515</v>
      </c>
    </row>
    <row r="7299" spans="1:2" x14ac:dyDescent="0.25">
      <c r="A7299" s="81" t="s">
        <v>9495</v>
      </c>
      <c r="B7299" s="80" t="s">
        <v>9515</v>
      </c>
    </row>
    <row r="7300" spans="1:2" x14ac:dyDescent="0.25">
      <c r="A7300" s="81" t="s">
        <v>9496</v>
      </c>
      <c r="B7300" s="80" t="s">
        <v>9515</v>
      </c>
    </row>
    <row r="7301" spans="1:2" x14ac:dyDescent="0.25">
      <c r="A7301" s="81" t="s">
        <v>9497</v>
      </c>
      <c r="B7301" s="80" t="s">
        <v>9515</v>
      </c>
    </row>
    <row r="7302" spans="1:2" x14ac:dyDescent="0.25">
      <c r="A7302" s="81" t="s">
        <v>9498</v>
      </c>
      <c r="B7302" s="80" t="s">
        <v>9515</v>
      </c>
    </row>
    <row r="7303" spans="1:2" x14ac:dyDescent="0.25">
      <c r="A7303" s="81" t="s">
        <v>9499</v>
      </c>
      <c r="B7303" s="80" t="s">
        <v>9515</v>
      </c>
    </row>
    <row r="7304" spans="1:2" x14ac:dyDescent="0.25">
      <c r="A7304" s="81" t="s">
        <v>9500</v>
      </c>
      <c r="B7304" s="80" t="s">
        <v>9515</v>
      </c>
    </row>
    <row r="7305" spans="1:2" x14ac:dyDescent="0.25">
      <c r="A7305" s="81" t="s">
        <v>9501</v>
      </c>
      <c r="B7305" s="80" t="s">
        <v>9515</v>
      </c>
    </row>
    <row r="7306" spans="1:2" x14ac:dyDescent="0.25">
      <c r="A7306" s="81" t="s">
        <v>9502</v>
      </c>
      <c r="B7306" s="80" t="s">
        <v>9515</v>
      </c>
    </row>
    <row r="7307" spans="1:2" x14ac:dyDescent="0.25">
      <c r="A7307" s="81" t="s">
        <v>9503</v>
      </c>
      <c r="B7307" s="80" t="s">
        <v>9515</v>
      </c>
    </row>
    <row r="7308" spans="1:2" x14ac:dyDescent="0.25">
      <c r="A7308" s="81" t="s">
        <v>9504</v>
      </c>
      <c r="B7308" s="80" t="s">
        <v>9515</v>
      </c>
    </row>
    <row r="7309" spans="1:2" x14ac:dyDescent="0.25">
      <c r="A7309" s="81" t="s">
        <v>9505</v>
      </c>
      <c r="B7309" s="80" t="s">
        <v>9515</v>
      </c>
    </row>
    <row r="7310" spans="1:2" x14ac:dyDescent="0.25">
      <c r="A7310" s="81" t="s">
        <v>9506</v>
      </c>
      <c r="B7310" s="80" t="s">
        <v>9515</v>
      </c>
    </row>
    <row r="7311" spans="1:2" x14ac:dyDescent="0.25">
      <c r="A7311" s="81" t="s">
        <v>9507</v>
      </c>
      <c r="B7311" s="80" t="s">
        <v>9515</v>
      </c>
    </row>
    <row r="7312" spans="1:2" x14ac:dyDescent="0.25">
      <c r="A7312" s="81" t="s">
        <v>9508</v>
      </c>
      <c r="B7312" s="80" t="s">
        <v>9515</v>
      </c>
    </row>
    <row r="7313" spans="1:2" x14ac:dyDescent="0.25">
      <c r="A7313" s="81" t="s">
        <v>9509</v>
      </c>
      <c r="B7313" s="80" t="s">
        <v>9515</v>
      </c>
    </row>
    <row r="7314" spans="1:2" x14ac:dyDescent="0.25">
      <c r="A7314" s="81" t="s">
        <v>9510</v>
      </c>
      <c r="B7314" s="80" t="s">
        <v>9516</v>
      </c>
    </row>
    <row r="7315" spans="1:2" x14ac:dyDescent="0.25">
      <c r="A7315" s="81" t="s">
        <v>9511</v>
      </c>
      <c r="B7315" s="80" t="s">
        <v>9516</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02D8E-9563-4696-9D21-67BEA5E76F3B}">
  <dimension ref="A1:C35"/>
  <sheetViews>
    <sheetView workbookViewId="0"/>
  </sheetViews>
  <sheetFormatPr defaultRowHeight="15" x14ac:dyDescent="0.25"/>
  <cols>
    <col min="1" max="1" width="10.140625" customWidth="1"/>
    <col min="2" max="2" width="10.140625" bestFit="1" customWidth="1"/>
    <col min="3" max="3" width="13.42578125" bestFit="1" customWidth="1"/>
  </cols>
  <sheetData>
    <row r="1" spans="1:3" x14ac:dyDescent="0.25">
      <c r="C1" s="34" t="s">
        <v>42</v>
      </c>
    </row>
    <row r="2" spans="1:3" ht="15" customHeight="1" x14ac:dyDescent="0.25">
      <c r="A2" s="13" t="s">
        <v>9517</v>
      </c>
      <c r="B2" s="114" t="s">
        <v>9518</v>
      </c>
      <c r="C2" s="54" t="s">
        <v>9519</v>
      </c>
    </row>
    <row r="3" spans="1:3" x14ac:dyDescent="0.25">
      <c r="A3" s="113" t="s">
        <v>1600</v>
      </c>
      <c r="B3" s="113" t="s">
        <v>1600</v>
      </c>
      <c r="C3" s="35">
        <v>38</v>
      </c>
    </row>
    <row r="4" spans="1:3" x14ac:dyDescent="0.25">
      <c r="A4" s="113" t="s">
        <v>1600</v>
      </c>
      <c r="B4" s="113" t="s">
        <v>1601</v>
      </c>
      <c r="C4" s="35">
        <v>2</v>
      </c>
    </row>
    <row r="5" spans="1:3" x14ac:dyDescent="0.25">
      <c r="A5" s="113" t="s">
        <v>1600</v>
      </c>
      <c r="B5" s="113" t="s">
        <v>1602</v>
      </c>
      <c r="C5" s="35">
        <v>20</v>
      </c>
    </row>
    <row r="6" spans="1:3" x14ac:dyDescent="0.25">
      <c r="A6" s="113" t="s">
        <v>1600</v>
      </c>
      <c r="B6" s="113" t="s">
        <v>1603</v>
      </c>
      <c r="C6" s="35">
        <v>2</v>
      </c>
    </row>
    <row r="7" spans="1:3" x14ac:dyDescent="0.25">
      <c r="A7" s="113" t="s">
        <v>1600</v>
      </c>
      <c r="B7" s="113" t="s">
        <v>1605</v>
      </c>
      <c r="C7" s="35">
        <v>5</v>
      </c>
    </row>
    <row r="8" spans="1:3" x14ac:dyDescent="0.25">
      <c r="A8" s="113" t="s">
        <v>1600</v>
      </c>
      <c r="B8" s="113" t="s">
        <v>1609</v>
      </c>
      <c r="C8" s="35">
        <v>1</v>
      </c>
    </row>
    <row r="9" spans="1:3" x14ac:dyDescent="0.25">
      <c r="A9" s="113" t="s">
        <v>1600</v>
      </c>
      <c r="B9" s="113" t="s">
        <v>1610</v>
      </c>
      <c r="C9" s="35">
        <v>2</v>
      </c>
    </row>
    <row r="10" spans="1:3" x14ac:dyDescent="0.25">
      <c r="A10" s="113" t="s">
        <v>1601</v>
      </c>
      <c r="B10" s="113" t="s">
        <v>1600</v>
      </c>
      <c r="C10" s="35">
        <v>16</v>
      </c>
    </row>
    <row r="11" spans="1:3" x14ac:dyDescent="0.25">
      <c r="A11" s="113" t="s">
        <v>1601</v>
      </c>
      <c r="B11" s="113" t="s">
        <v>1601</v>
      </c>
      <c r="C11" s="35">
        <v>36</v>
      </c>
    </row>
    <row r="12" spans="1:3" x14ac:dyDescent="0.25">
      <c r="A12" s="113" t="s">
        <v>1602</v>
      </c>
      <c r="B12" s="113" t="s">
        <v>1600</v>
      </c>
      <c r="C12" s="35">
        <v>5</v>
      </c>
    </row>
    <row r="13" spans="1:3" x14ac:dyDescent="0.25">
      <c r="A13" s="113" t="s">
        <v>1602</v>
      </c>
      <c r="B13" s="113" t="s">
        <v>1601</v>
      </c>
      <c r="C13" s="35">
        <v>1</v>
      </c>
    </row>
    <row r="14" spans="1:3" x14ac:dyDescent="0.25">
      <c r="A14" s="113" t="s">
        <v>1602</v>
      </c>
      <c r="B14" s="113" t="s">
        <v>1602</v>
      </c>
      <c r="C14" s="35">
        <v>47</v>
      </c>
    </row>
    <row r="15" spans="1:3" x14ac:dyDescent="0.25">
      <c r="A15" s="113" t="s">
        <v>1602</v>
      </c>
      <c r="B15" s="113" t="s">
        <v>1605</v>
      </c>
      <c r="C15" s="35">
        <v>3</v>
      </c>
    </row>
    <row r="16" spans="1:3" x14ac:dyDescent="0.25">
      <c r="A16" s="113" t="s">
        <v>1602</v>
      </c>
      <c r="B16" s="113" t="s">
        <v>1609</v>
      </c>
      <c r="C16" s="35">
        <v>1</v>
      </c>
    </row>
    <row r="17" spans="1:3" x14ac:dyDescent="0.25">
      <c r="A17" s="113" t="s">
        <v>1603</v>
      </c>
      <c r="B17" s="113" t="s">
        <v>1603</v>
      </c>
      <c r="C17" s="35">
        <v>27</v>
      </c>
    </row>
    <row r="18" spans="1:3" x14ac:dyDescent="0.25">
      <c r="A18" s="113" t="s">
        <v>1604</v>
      </c>
      <c r="B18" s="113" t="s">
        <v>1600</v>
      </c>
      <c r="C18" s="35">
        <v>2</v>
      </c>
    </row>
    <row r="19" spans="1:3" x14ac:dyDescent="0.25">
      <c r="A19" s="113" t="s">
        <v>1604</v>
      </c>
      <c r="B19" s="113" t="s">
        <v>1604</v>
      </c>
      <c r="C19" s="35">
        <v>20</v>
      </c>
    </row>
    <row r="20" spans="1:3" x14ac:dyDescent="0.25">
      <c r="A20" s="113" t="s">
        <v>1605</v>
      </c>
      <c r="B20" s="113" t="s">
        <v>1600</v>
      </c>
      <c r="C20" s="35">
        <v>9</v>
      </c>
    </row>
    <row r="21" spans="1:3" x14ac:dyDescent="0.25">
      <c r="A21" s="113" t="s">
        <v>1605</v>
      </c>
      <c r="B21" s="113" t="s">
        <v>1602</v>
      </c>
      <c r="C21" s="35">
        <v>6</v>
      </c>
    </row>
    <row r="22" spans="1:3" x14ac:dyDescent="0.25">
      <c r="A22" s="113" t="s">
        <v>1605</v>
      </c>
      <c r="B22" s="113" t="s">
        <v>1605</v>
      </c>
      <c r="C22" s="35">
        <v>12</v>
      </c>
    </row>
    <row r="23" spans="1:3" x14ac:dyDescent="0.25">
      <c r="A23" s="113" t="s">
        <v>1606</v>
      </c>
      <c r="B23" s="113" t="s">
        <v>1606</v>
      </c>
      <c r="C23" s="35">
        <v>7</v>
      </c>
    </row>
    <row r="24" spans="1:3" x14ac:dyDescent="0.25">
      <c r="A24" s="113" t="s">
        <v>1607</v>
      </c>
      <c r="B24" s="113" t="s">
        <v>1600</v>
      </c>
      <c r="C24" s="35">
        <v>1</v>
      </c>
    </row>
    <row r="25" spans="1:3" x14ac:dyDescent="0.25">
      <c r="A25" s="113" t="s">
        <v>1607</v>
      </c>
      <c r="B25" s="113" t="s">
        <v>1607</v>
      </c>
      <c r="C25" s="35">
        <v>7</v>
      </c>
    </row>
    <row r="26" spans="1:3" x14ac:dyDescent="0.25">
      <c r="A26" s="113" t="s">
        <v>1608</v>
      </c>
      <c r="B26" s="113" t="s">
        <v>1600</v>
      </c>
      <c r="C26" s="35">
        <v>1</v>
      </c>
    </row>
    <row r="27" spans="1:3" x14ac:dyDescent="0.25">
      <c r="A27" s="113" t="s">
        <v>1608</v>
      </c>
      <c r="B27" s="113" t="s">
        <v>1601</v>
      </c>
      <c r="C27" s="35">
        <v>1</v>
      </c>
    </row>
    <row r="28" spans="1:3" x14ac:dyDescent="0.25">
      <c r="A28" s="113" t="s">
        <v>1608</v>
      </c>
      <c r="B28" s="113" t="s">
        <v>1608</v>
      </c>
      <c r="C28" s="35">
        <v>4</v>
      </c>
    </row>
    <row r="29" spans="1:3" x14ac:dyDescent="0.25">
      <c r="A29" s="113" t="s">
        <v>1609</v>
      </c>
      <c r="B29" s="113" t="s">
        <v>1601</v>
      </c>
      <c r="C29" s="35">
        <v>2</v>
      </c>
    </row>
    <row r="30" spans="1:3" x14ac:dyDescent="0.25">
      <c r="A30" s="113" t="s">
        <v>1609</v>
      </c>
      <c r="B30" s="113" t="s">
        <v>1609</v>
      </c>
      <c r="C30" s="35">
        <v>4</v>
      </c>
    </row>
    <row r="31" spans="1:3" x14ac:dyDescent="0.25">
      <c r="A31" s="113" t="s">
        <v>1610</v>
      </c>
      <c r="B31" s="113" t="s">
        <v>1610</v>
      </c>
      <c r="C31" s="35">
        <v>3</v>
      </c>
    </row>
    <row r="32" spans="1:3" x14ac:dyDescent="0.25">
      <c r="A32" s="113" t="s">
        <v>1611</v>
      </c>
      <c r="B32" s="113" t="s">
        <v>1611</v>
      </c>
      <c r="C32" s="35">
        <v>3</v>
      </c>
    </row>
    <row r="33" spans="1:3" x14ac:dyDescent="0.25">
      <c r="A33" s="113" t="s">
        <v>1612</v>
      </c>
      <c r="B33" s="113" t="s">
        <v>1612</v>
      </c>
      <c r="C33" s="35">
        <v>3</v>
      </c>
    </row>
    <row r="34" spans="1:3" x14ac:dyDescent="0.25">
      <c r="A34" s="113" t="s">
        <v>1613</v>
      </c>
      <c r="B34" s="113" t="s">
        <v>1613</v>
      </c>
      <c r="C34" s="35">
        <v>1</v>
      </c>
    </row>
    <row r="35" spans="1:3" x14ac:dyDescent="0.25">
      <c r="A35" s="113" t="s">
        <v>1614</v>
      </c>
      <c r="B35" s="113" t="s">
        <v>1614</v>
      </c>
      <c r="C35" s="35">
        <v>2</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58D04-9848-4C60-A93A-F119D590B766}">
  <dimension ref="A1:B7"/>
  <sheetViews>
    <sheetView workbookViewId="0"/>
  </sheetViews>
  <sheetFormatPr defaultRowHeight="15" x14ac:dyDescent="0.25"/>
  <cols>
    <col min="1" max="1" width="6.5703125" bestFit="1" customWidth="1"/>
    <col min="2" max="2" width="8.42578125" bestFit="1" customWidth="1"/>
  </cols>
  <sheetData>
    <row r="1" spans="1:2" ht="15" customHeight="1" x14ac:dyDescent="0.25">
      <c r="A1" s="13" t="s">
        <v>9542</v>
      </c>
      <c r="B1" s="13" t="s">
        <v>17</v>
      </c>
    </row>
    <row r="2" spans="1:2" x14ac:dyDescent="0.25">
      <c r="A2" s="80" t="s">
        <v>9543</v>
      </c>
      <c r="B2" s="80" t="s">
        <v>9548</v>
      </c>
    </row>
    <row r="3" spans="1:2" x14ac:dyDescent="0.25">
      <c r="A3" s="81" t="s">
        <v>9544</v>
      </c>
      <c r="B3" s="80" t="s">
        <v>9549</v>
      </c>
    </row>
    <row r="4" spans="1:2" x14ac:dyDescent="0.25">
      <c r="A4" s="81" t="s">
        <v>9545</v>
      </c>
      <c r="B4" s="80" t="s">
        <v>9550</v>
      </c>
    </row>
    <row r="5" spans="1:2" x14ac:dyDescent="0.25">
      <c r="A5" s="81" t="s">
        <v>9546</v>
      </c>
      <c r="B5" s="80" t="s">
        <v>9551</v>
      </c>
    </row>
    <row r="6" spans="1:2" x14ac:dyDescent="0.25">
      <c r="A6" s="81" t="s">
        <v>9547</v>
      </c>
      <c r="B6" s="80" t="s">
        <v>9552</v>
      </c>
    </row>
    <row r="7" spans="1:2" x14ac:dyDescent="0.25">
      <c r="A7" s="81" t="s">
        <v>915</v>
      </c>
      <c r="B7" s="80" t="s">
        <v>9549</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5FA05-F978-4282-B5C3-44A98CAF541B}">
  <dimension ref="A1:B11"/>
  <sheetViews>
    <sheetView workbookViewId="0"/>
  </sheetViews>
  <sheetFormatPr defaultRowHeight="15" x14ac:dyDescent="0.25"/>
  <cols>
    <col min="1" max="1" width="49.7109375" bestFit="1" customWidth="1"/>
    <col min="2" max="2" width="24.85546875" bestFit="1" customWidth="1"/>
  </cols>
  <sheetData>
    <row r="1" spans="1:2" ht="15" customHeight="1" x14ac:dyDescent="0.25">
      <c r="A1" s="13" t="s">
        <v>9553</v>
      </c>
      <c r="B1" s="13" t="s">
        <v>34</v>
      </c>
    </row>
    <row r="2" spans="1:2" x14ac:dyDescent="0.25">
      <c r="A2" s="106" t="s">
        <v>268</v>
      </c>
      <c r="B2" s="80">
        <v>9225.7999999999993</v>
      </c>
    </row>
    <row r="3" spans="1:2" x14ac:dyDescent="0.25">
      <c r="A3" s="109" t="s">
        <v>280</v>
      </c>
      <c r="B3" s="80">
        <v>2518</v>
      </c>
    </row>
    <row r="4" spans="1:2" x14ac:dyDescent="0.25">
      <c r="A4" s="109" t="s">
        <v>249</v>
      </c>
      <c r="B4" s="80">
        <v>1692.9666669999999</v>
      </c>
    </row>
    <row r="5" spans="1:2" x14ac:dyDescent="0.25">
      <c r="A5" s="109" t="s">
        <v>252</v>
      </c>
      <c r="B5" s="80">
        <v>1670.166667</v>
      </c>
    </row>
    <row r="6" spans="1:2" x14ac:dyDescent="0.25">
      <c r="A6" s="109" t="s">
        <v>301</v>
      </c>
      <c r="B6" s="80">
        <v>1482</v>
      </c>
    </row>
    <row r="7" spans="1:2" x14ac:dyDescent="0.25">
      <c r="A7" s="109" t="s">
        <v>287</v>
      </c>
      <c r="B7" s="80">
        <v>1020</v>
      </c>
    </row>
    <row r="8" spans="1:2" x14ac:dyDescent="0.25">
      <c r="A8" s="109" t="s">
        <v>248</v>
      </c>
      <c r="B8" s="80">
        <v>917.53333299999997</v>
      </c>
    </row>
    <row r="9" spans="1:2" x14ac:dyDescent="0.25">
      <c r="A9" s="109" t="s">
        <v>276</v>
      </c>
      <c r="B9" s="80">
        <v>816</v>
      </c>
    </row>
    <row r="10" spans="1:2" x14ac:dyDescent="0.25">
      <c r="A10" s="109" t="s">
        <v>293</v>
      </c>
      <c r="B10" s="80">
        <v>619.16666699999996</v>
      </c>
    </row>
    <row r="11" spans="1:2" x14ac:dyDescent="0.25">
      <c r="A11" s="109" t="s">
        <v>284</v>
      </c>
      <c r="B11" s="80">
        <v>618</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68A88-E882-4498-987D-C061B98B202D}">
  <dimension ref="A1:BU296"/>
  <sheetViews>
    <sheetView workbookViewId="0">
      <pane xSplit="2" ySplit="2" topLeftCell="C3" activePane="bottomRight" state="frozen"/>
      <selection pane="topRight" activeCell="C1" sqref="C1"/>
      <selection pane="bottomLeft" activeCell="A3" sqref="A3"/>
      <selection pane="bottomRight" activeCell="A3" sqref="A3"/>
    </sheetView>
  </sheetViews>
  <sheetFormatPr defaultRowHeight="15" x14ac:dyDescent="0.25"/>
  <cols>
    <col min="1" max="2" width="10.42578125" style="1" customWidth="1"/>
    <col min="3" max="3" width="7.85546875" style="3" hidden="1" customWidth="1"/>
    <col min="4" max="4" width="8.7109375" style="2" hidden="1" customWidth="1"/>
    <col min="5" max="5" width="7.7109375" style="2" hidden="1" customWidth="1"/>
    <col min="6" max="6" width="9.85546875" style="2" hidden="1" customWidth="1"/>
    <col min="7" max="7" width="11" style="3" hidden="1" customWidth="1"/>
    <col min="8" max="8" width="8" style="1" hidden="1" customWidth="1"/>
    <col min="9" max="9" width="12.28515625" style="3" hidden="1" customWidth="1"/>
    <col min="10" max="10" width="12.42578125" style="3" hidden="1" customWidth="1"/>
    <col min="11" max="11" width="15.5703125" style="3" customWidth="1"/>
    <col min="12" max="12" width="11" hidden="1" customWidth="1"/>
    <col min="13" max="13" width="10.85546875" hidden="1" customWidth="1"/>
    <col min="14" max="14" width="16" bestFit="1" customWidth="1"/>
    <col min="15" max="15" width="12.7109375" bestFit="1" customWidth="1"/>
    <col min="16" max="16" width="14.42578125" bestFit="1" customWidth="1"/>
    <col min="17" max="17" width="8.85546875" bestFit="1" customWidth="1"/>
    <col min="18" max="18" width="10.85546875" bestFit="1" customWidth="1"/>
    <col min="19" max="19" width="10.5703125" bestFit="1" customWidth="1"/>
    <col min="20" max="20" width="8.5703125" bestFit="1" customWidth="1"/>
    <col min="21" max="21" width="8.85546875" bestFit="1" customWidth="1"/>
    <col min="22" max="22" width="13.140625" bestFit="1" customWidth="1"/>
    <col min="23" max="23" width="13.28515625" bestFit="1" customWidth="1"/>
    <col min="24" max="24" width="9.5703125" bestFit="1" customWidth="1"/>
    <col min="25" max="25" width="13.140625" bestFit="1" customWidth="1"/>
    <col min="26" max="26" width="13.85546875" bestFit="1" customWidth="1"/>
    <col min="27" max="27" width="11" bestFit="1" customWidth="1"/>
    <col min="28" max="28" width="8.85546875" bestFit="1" customWidth="1"/>
    <col min="29" max="29" width="9.28515625" bestFit="1" customWidth="1"/>
    <col min="30" max="30" width="11.5703125" bestFit="1" customWidth="1"/>
    <col min="31" max="31" width="14.42578125" bestFit="1" customWidth="1"/>
    <col min="32" max="32" width="13.42578125" bestFit="1" customWidth="1"/>
    <col min="33" max="33" width="7.42578125" bestFit="1" customWidth="1"/>
    <col min="34" max="34" width="7.7109375" bestFit="1" customWidth="1"/>
    <col min="35" max="35" width="11.42578125" bestFit="1" customWidth="1"/>
    <col min="36" max="36" width="17" bestFit="1" customWidth="1"/>
    <col min="37" max="37" width="10.28515625" bestFit="1" customWidth="1"/>
    <col min="38" max="38" width="15.5703125" bestFit="1" customWidth="1"/>
    <col min="39" max="39" width="11.7109375" bestFit="1" customWidth="1"/>
    <col min="40" max="40" width="10.28515625" bestFit="1" customWidth="1"/>
    <col min="41" max="41" width="8.5703125" bestFit="1" customWidth="1"/>
    <col min="42" max="42" width="8" bestFit="1" customWidth="1"/>
    <col min="43" max="43" width="8.85546875" bestFit="1" customWidth="1"/>
    <col min="44" max="44" width="17.140625" bestFit="1" customWidth="1"/>
    <col min="46" max="46" width="8.85546875" bestFit="1" customWidth="1"/>
    <col min="47" max="47" width="13.85546875" bestFit="1" customWidth="1"/>
    <col min="48" max="48" width="14.7109375" bestFit="1" customWidth="1"/>
    <col min="49" max="49" width="11.5703125" bestFit="1" customWidth="1"/>
    <col min="50" max="50" width="12.7109375" bestFit="1" customWidth="1"/>
    <col min="51" max="52" width="13" bestFit="1" customWidth="1"/>
    <col min="53" max="53" width="11" bestFit="1" customWidth="1"/>
    <col min="54" max="54" width="13.140625" bestFit="1" customWidth="1"/>
    <col min="55" max="55" width="12" bestFit="1" customWidth="1"/>
    <col min="56" max="56" width="11.7109375" bestFit="1" customWidth="1"/>
    <col min="57" max="57" width="9" bestFit="1" customWidth="1"/>
    <col min="58" max="58" width="10.28515625" bestFit="1" customWidth="1"/>
    <col min="59" max="59" width="11" bestFit="1" customWidth="1"/>
    <col min="60" max="60" width="10.42578125" bestFit="1" customWidth="1"/>
    <col min="61" max="61" width="13" bestFit="1" customWidth="1"/>
    <col min="62" max="62" width="14.42578125" customWidth="1"/>
    <col min="63" max="64" width="11.140625" bestFit="1" customWidth="1"/>
    <col min="65" max="65" width="19.7109375" bestFit="1" customWidth="1"/>
    <col min="66" max="66" width="24.28515625" bestFit="1" customWidth="1"/>
    <col min="67" max="67" width="19.7109375" bestFit="1" customWidth="1"/>
    <col min="68" max="68" width="24.28515625" bestFit="1" customWidth="1"/>
    <col min="69" max="69" width="19.7109375" bestFit="1" customWidth="1"/>
    <col min="70" max="70" width="24.28515625" bestFit="1" customWidth="1"/>
    <col min="71" max="71" width="18.5703125" bestFit="1" customWidth="1"/>
    <col min="72" max="72" width="22.28515625" bestFit="1" customWidth="1"/>
    <col min="73" max="73" width="15.7109375" bestFit="1" customWidth="1"/>
  </cols>
  <sheetData>
    <row r="1" spans="1:73" x14ac:dyDescent="0.25">
      <c r="C1" s="17" t="s">
        <v>39</v>
      </c>
      <c r="D1" s="18"/>
      <c r="E1" s="18"/>
      <c r="F1" s="18"/>
      <c r="G1" s="17"/>
      <c r="H1" s="15" t="s">
        <v>43</v>
      </c>
      <c r="I1" s="52"/>
      <c r="J1" s="52"/>
      <c r="K1" s="34" t="s">
        <v>42</v>
      </c>
      <c r="L1" s="19" t="s">
        <v>40</v>
      </c>
      <c r="M1" s="19"/>
      <c r="N1" s="16" t="s">
        <v>41</v>
      </c>
    </row>
    <row r="2" spans="1:73" ht="30" customHeight="1" x14ac:dyDescent="0.2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194</v>
      </c>
      <c r="P2" s="13" t="s">
        <v>195</v>
      </c>
      <c r="Q2" s="13" t="s">
        <v>196</v>
      </c>
      <c r="R2" s="13" t="s">
        <v>197</v>
      </c>
      <c r="S2" s="13" t="s">
        <v>198</v>
      </c>
      <c r="T2" s="13" t="s">
        <v>199</v>
      </c>
      <c r="U2" s="13" t="s">
        <v>200</v>
      </c>
      <c r="V2" s="13" t="s">
        <v>201</v>
      </c>
      <c r="W2" s="13" t="s">
        <v>202</v>
      </c>
      <c r="X2" s="13" t="s">
        <v>203</v>
      </c>
      <c r="Y2" s="13" t="s">
        <v>204</v>
      </c>
      <c r="Z2" s="13" t="s">
        <v>205</v>
      </c>
      <c r="AA2" s="13" t="s">
        <v>206</v>
      </c>
      <c r="AB2" s="13" t="s">
        <v>207</v>
      </c>
      <c r="AC2" s="13" t="s">
        <v>208</v>
      </c>
      <c r="AD2" s="13" t="s">
        <v>209</v>
      </c>
      <c r="AE2" s="13" t="s">
        <v>210</v>
      </c>
      <c r="AF2" s="13" t="s">
        <v>211</v>
      </c>
      <c r="AG2" s="13" t="s">
        <v>212</v>
      </c>
      <c r="AH2" s="13" t="s">
        <v>213</v>
      </c>
      <c r="AI2" s="13" t="s">
        <v>214</v>
      </c>
      <c r="AJ2" s="13" t="s">
        <v>215</v>
      </c>
      <c r="AK2" s="13" t="s">
        <v>216</v>
      </c>
      <c r="AL2" s="13" t="s">
        <v>217</v>
      </c>
      <c r="AM2" s="13" t="s">
        <v>218</v>
      </c>
      <c r="AN2" s="13" t="s">
        <v>219</v>
      </c>
      <c r="AO2" s="13" t="s">
        <v>220</v>
      </c>
      <c r="AP2" s="13" t="s">
        <v>221</v>
      </c>
      <c r="AQ2" s="13" t="s">
        <v>222</v>
      </c>
      <c r="AR2" s="13" t="s">
        <v>223</v>
      </c>
      <c r="AS2" s="13" t="s">
        <v>224</v>
      </c>
      <c r="AT2" s="13" t="s">
        <v>225</v>
      </c>
      <c r="AU2" s="13" t="s">
        <v>226</v>
      </c>
      <c r="AV2" s="13" t="s">
        <v>227</v>
      </c>
      <c r="AW2" s="13" t="s">
        <v>228</v>
      </c>
      <c r="AX2" s="13" t="s">
        <v>229</v>
      </c>
      <c r="AY2" s="13" t="s">
        <v>230</v>
      </c>
      <c r="AZ2" s="13" t="s">
        <v>231</v>
      </c>
      <c r="BA2" s="13" t="s">
        <v>232</v>
      </c>
      <c r="BB2" s="13" t="s">
        <v>233</v>
      </c>
      <c r="BC2" s="13" t="s">
        <v>234</v>
      </c>
      <c r="BD2" s="13" t="s">
        <v>235</v>
      </c>
      <c r="BE2" s="13" t="s">
        <v>236</v>
      </c>
      <c r="BF2" s="13" t="s">
        <v>237</v>
      </c>
      <c r="BG2" s="13" t="s">
        <v>238</v>
      </c>
      <c r="BH2" s="13" t="s">
        <v>239</v>
      </c>
      <c r="BI2" s="13" t="s">
        <v>240</v>
      </c>
      <c r="BJ2" t="s">
        <v>1599</v>
      </c>
      <c r="BK2" s="13" t="s">
        <v>1628</v>
      </c>
      <c r="BL2" s="13" t="s">
        <v>1629</v>
      </c>
      <c r="BM2" s="54" t="s">
        <v>1965</v>
      </c>
      <c r="BN2" s="54" t="s">
        <v>1966</v>
      </c>
      <c r="BO2" s="54" t="s">
        <v>1967</v>
      </c>
      <c r="BP2" s="54" t="s">
        <v>1968</v>
      </c>
      <c r="BQ2" s="54" t="s">
        <v>1969</v>
      </c>
      <c r="BR2" s="54" t="s">
        <v>1970</v>
      </c>
      <c r="BS2" s="54" t="s">
        <v>1971</v>
      </c>
      <c r="BT2" s="54" t="s">
        <v>1972</v>
      </c>
      <c r="BU2" s="54" t="s">
        <v>1973</v>
      </c>
    </row>
    <row r="3" spans="1:73" ht="15" customHeight="1" x14ac:dyDescent="0.25">
      <c r="A3" s="65" t="s">
        <v>282</v>
      </c>
      <c r="B3" s="65" t="s">
        <v>364</v>
      </c>
      <c r="C3" s="66"/>
      <c r="D3" s="67"/>
      <c r="E3" s="68"/>
      <c r="F3" s="69"/>
      <c r="G3" s="66"/>
      <c r="H3" s="70"/>
      <c r="I3" s="71"/>
      <c r="J3" s="71"/>
      <c r="K3" s="35" t="s">
        <v>65</v>
      </c>
      <c r="L3" s="72">
        <v>3</v>
      </c>
      <c r="M3" s="72"/>
      <c r="N3" s="73"/>
      <c r="O3" s="80" t="s">
        <v>370</v>
      </c>
      <c r="P3" s="82">
        <v>45222.768067129633</v>
      </c>
      <c r="Q3" s="80" t="s">
        <v>435</v>
      </c>
      <c r="R3" s="80">
        <v>2</v>
      </c>
      <c r="S3" s="80">
        <v>5</v>
      </c>
      <c r="T3" s="80">
        <v>0</v>
      </c>
      <c r="U3" s="80">
        <v>1</v>
      </c>
      <c r="V3" s="80">
        <v>1431</v>
      </c>
      <c r="W3" s="80"/>
      <c r="X3" s="85" t="str">
        <f>HYPERLINK("https://ci.uky.edu/about-ci/2024-aejmc-southeast-colloquium/paper-submissions")</f>
        <v>https://ci.uky.edu/about-ci/2024-aejmc-southeast-colloquium/paper-submissions</v>
      </c>
      <c r="Y3" s="80" t="s">
        <v>510</v>
      </c>
      <c r="Z3" s="80" t="s">
        <v>543</v>
      </c>
      <c r="AA3" s="80"/>
      <c r="AB3" s="80"/>
      <c r="AC3" s="87" t="s">
        <v>582</v>
      </c>
      <c r="AD3" s="80" t="s">
        <v>588</v>
      </c>
      <c r="AE3" s="85" t="str">
        <f>HYPERLINK("https://twitter.com/aejmc_nond/status/1716521373886218438")</f>
        <v>https://twitter.com/aejmc_nond/status/1716521373886218438</v>
      </c>
      <c r="AF3" s="82">
        <v>45222.768067129633</v>
      </c>
      <c r="AG3" s="88">
        <v>45222</v>
      </c>
      <c r="AH3" s="87" t="s">
        <v>669</v>
      </c>
      <c r="AI3" s="80" t="b">
        <v>0</v>
      </c>
      <c r="AJ3" s="80"/>
      <c r="AK3" s="80"/>
      <c r="AL3" s="80"/>
      <c r="AM3" s="80"/>
      <c r="AN3" s="80"/>
      <c r="AO3" s="80"/>
      <c r="AP3" s="80"/>
      <c r="AQ3" s="80"/>
      <c r="AR3" s="80"/>
      <c r="AS3" s="80"/>
      <c r="AT3" s="80"/>
      <c r="AU3" s="80"/>
      <c r="AV3" s="85" t="str">
        <f>HYPERLINK("https://pbs.twimg.com/profile_images/884110390493425664/HGSOS2S8_normal.jpg")</f>
        <v>https://pbs.twimg.com/profile_images/884110390493425664/HGSOS2S8_normal.jpg</v>
      </c>
      <c r="AW3" s="87" t="s">
        <v>823</v>
      </c>
      <c r="AX3" s="87" t="s">
        <v>823</v>
      </c>
      <c r="AY3" s="80"/>
      <c r="AZ3" s="87" t="s">
        <v>879</v>
      </c>
      <c r="BA3" s="87" t="s">
        <v>825</v>
      </c>
      <c r="BB3" s="87" t="s">
        <v>879</v>
      </c>
      <c r="BC3" s="87" t="s">
        <v>825</v>
      </c>
      <c r="BD3" s="80">
        <v>744265436</v>
      </c>
      <c r="BE3" s="80"/>
      <c r="BF3" s="80"/>
      <c r="BG3" s="80"/>
      <c r="BH3" s="80"/>
      <c r="BI3" s="80"/>
      <c r="BJ3">
        <v>1</v>
      </c>
      <c r="BK3" s="80" t="str">
        <f>REPLACE(INDEX(GroupVertices[Group], MATCH("~"&amp;Edges27[[#This Row],[Vertex 1]],GroupVertices[Vertex],0)),1,1,"")</f>
        <v>6</v>
      </c>
      <c r="BL3" s="80" t="str">
        <f>REPLACE(INDEX(GroupVertices[Group], MATCH("~"&amp;Edges27[[#This Row],[Vertex 2]],GroupVertices[Vertex],0)),1,1,"")</f>
        <v>6</v>
      </c>
      <c r="BM3" s="49"/>
      <c r="BN3" s="50"/>
      <c r="BO3" s="49"/>
      <c r="BP3" s="50"/>
      <c r="BQ3" s="49"/>
      <c r="BR3" s="50"/>
      <c r="BS3" s="49"/>
      <c r="BT3" s="50"/>
      <c r="BU3" s="49"/>
    </row>
    <row r="4" spans="1:73" ht="15" customHeight="1" x14ac:dyDescent="0.25">
      <c r="A4" s="65" t="s">
        <v>241</v>
      </c>
      <c r="B4" s="65" t="s">
        <v>289</v>
      </c>
      <c r="C4" s="66"/>
      <c r="D4" s="67"/>
      <c r="E4" s="68"/>
      <c r="F4" s="69"/>
      <c r="G4" s="66"/>
      <c r="H4" s="70"/>
      <c r="I4" s="71"/>
      <c r="J4" s="71"/>
      <c r="K4" s="35" t="s">
        <v>65</v>
      </c>
      <c r="L4" s="79">
        <v>4</v>
      </c>
      <c r="M4" s="79"/>
      <c r="N4" s="73"/>
      <c r="O4" s="81" t="s">
        <v>365</v>
      </c>
      <c r="P4" s="83">
        <v>45230.925243055557</v>
      </c>
      <c r="Q4" s="81" t="s">
        <v>372</v>
      </c>
      <c r="R4" s="81">
        <v>5</v>
      </c>
      <c r="S4" s="81">
        <v>0</v>
      </c>
      <c r="T4" s="81">
        <v>0</v>
      </c>
      <c r="U4" s="81">
        <v>0</v>
      </c>
      <c r="V4" s="81"/>
      <c r="W4" s="81"/>
      <c r="X4" s="81"/>
      <c r="Y4" s="81"/>
      <c r="Z4" s="81" t="s">
        <v>289</v>
      </c>
      <c r="AA4" s="81"/>
      <c r="AB4" s="81"/>
      <c r="AC4" s="84" t="s">
        <v>579</v>
      </c>
      <c r="AD4" s="81" t="s">
        <v>588</v>
      </c>
      <c r="AE4" s="86" t="str">
        <f>HYPERLINK("https://twitter.com/med_lafouairas/status/1719477436407021691")</f>
        <v>https://twitter.com/med_lafouairas/status/1719477436407021691</v>
      </c>
      <c r="AF4" s="83">
        <v>45230.925243055557</v>
      </c>
      <c r="AG4" s="89">
        <v>45230</v>
      </c>
      <c r="AH4" s="84" t="s">
        <v>590</v>
      </c>
      <c r="AI4" s="81" t="b">
        <v>0</v>
      </c>
      <c r="AJ4" s="81"/>
      <c r="AK4" s="81"/>
      <c r="AL4" s="81"/>
      <c r="AM4" s="81"/>
      <c r="AN4" s="81"/>
      <c r="AO4" s="81"/>
      <c r="AP4" s="81"/>
      <c r="AQ4" s="81"/>
      <c r="AR4" s="81"/>
      <c r="AS4" s="81"/>
      <c r="AT4" s="81"/>
      <c r="AU4" s="81"/>
      <c r="AV4" s="86" t="str">
        <f>HYPERLINK("https://pbs.twimg.com/profile_images/879370206400958464/D876GW69_normal.jpg")</f>
        <v>https://pbs.twimg.com/profile_images/879370206400958464/D876GW69_normal.jpg</v>
      </c>
      <c r="AW4" s="84" t="s">
        <v>744</v>
      </c>
      <c r="AX4" s="84" t="s">
        <v>744</v>
      </c>
      <c r="AY4" s="81"/>
      <c r="AZ4" s="84" t="s">
        <v>879</v>
      </c>
      <c r="BA4" s="84" t="s">
        <v>879</v>
      </c>
      <c r="BB4" s="84" t="s">
        <v>839</v>
      </c>
      <c r="BC4" s="84" t="s">
        <v>839</v>
      </c>
      <c r="BD4" s="84" t="s">
        <v>881</v>
      </c>
      <c r="BE4" s="81"/>
      <c r="BF4" s="81"/>
      <c r="BG4" s="81"/>
      <c r="BH4" s="81"/>
      <c r="BI4" s="81"/>
      <c r="BJ4">
        <v>1</v>
      </c>
      <c r="BK4" s="80" t="str">
        <f>REPLACE(INDEX(GroupVertices[Group], MATCH("~"&amp;Edges27[[#This Row],[Vertex 1]],GroupVertices[Vertex],0)),1,1,"")</f>
        <v>3</v>
      </c>
      <c r="BL4" s="80" t="str">
        <f>REPLACE(INDEX(GroupVertices[Group], MATCH("~"&amp;Edges27[[#This Row],[Vertex 2]],GroupVertices[Vertex],0)),1,1,"")</f>
        <v>10</v>
      </c>
      <c r="BM4" s="49">
        <v>0</v>
      </c>
      <c r="BN4" s="50">
        <v>0</v>
      </c>
      <c r="BO4" s="49">
        <v>0</v>
      </c>
      <c r="BP4" s="50">
        <v>0</v>
      </c>
      <c r="BQ4" s="49">
        <v>0</v>
      </c>
      <c r="BR4" s="50">
        <v>0</v>
      </c>
      <c r="BS4" s="49">
        <v>13</v>
      </c>
      <c r="BT4" s="50">
        <v>54.166666666666664</v>
      </c>
      <c r="BU4" s="49">
        <v>24</v>
      </c>
    </row>
    <row r="5" spans="1:73" x14ac:dyDescent="0.25">
      <c r="A5" s="65" t="s">
        <v>241</v>
      </c>
      <c r="B5" s="65" t="s">
        <v>275</v>
      </c>
      <c r="C5" s="66"/>
      <c r="D5" s="67"/>
      <c r="E5" s="68"/>
      <c r="F5" s="69"/>
      <c r="G5" s="66"/>
      <c r="H5" s="70"/>
      <c r="I5" s="71"/>
      <c r="J5" s="71"/>
      <c r="K5" s="35" t="s">
        <v>65</v>
      </c>
      <c r="L5" s="79">
        <v>5</v>
      </c>
      <c r="M5" s="79"/>
      <c r="N5" s="73"/>
      <c r="O5" s="81" t="s">
        <v>366</v>
      </c>
      <c r="P5" s="83">
        <v>45232.920590277776</v>
      </c>
      <c r="Q5" s="81" t="s">
        <v>373</v>
      </c>
      <c r="R5" s="81">
        <v>4</v>
      </c>
      <c r="S5" s="81">
        <v>0</v>
      </c>
      <c r="T5" s="81">
        <v>0</v>
      </c>
      <c r="U5" s="81">
        <v>0</v>
      </c>
      <c r="V5" s="81"/>
      <c r="W5" s="81"/>
      <c r="X5" s="81"/>
      <c r="Y5" s="81"/>
      <c r="Z5" s="81" t="s">
        <v>518</v>
      </c>
      <c r="AA5" s="81"/>
      <c r="AB5" s="81"/>
      <c r="AC5" s="84" t="s">
        <v>579</v>
      </c>
      <c r="AD5" s="81" t="s">
        <v>588</v>
      </c>
      <c r="AE5" s="86" t="str">
        <f>HYPERLINK("https://twitter.com/med_lafouairas/status/1720200524060917847")</f>
        <v>https://twitter.com/med_lafouairas/status/1720200524060917847</v>
      </c>
      <c r="AF5" s="83">
        <v>45232.920590277776</v>
      </c>
      <c r="AG5" s="89">
        <v>45232</v>
      </c>
      <c r="AH5" s="84" t="s">
        <v>591</v>
      </c>
      <c r="AI5" s="81" t="b">
        <v>0</v>
      </c>
      <c r="AJ5" s="81"/>
      <c r="AK5" s="81"/>
      <c r="AL5" s="81"/>
      <c r="AM5" s="81"/>
      <c r="AN5" s="81"/>
      <c r="AO5" s="81"/>
      <c r="AP5" s="81"/>
      <c r="AQ5" s="81"/>
      <c r="AR5" s="81"/>
      <c r="AS5" s="81"/>
      <c r="AT5" s="81"/>
      <c r="AU5" s="81"/>
      <c r="AV5" s="86" t="str">
        <f>HYPERLINK("https://pbs.twimg.com/profile_images/879370206400958464/D876GW69_normal.jpg")</f>
        <v>https://pbs.twimg.com/profile_images/879370206400958464/D876GW69_normal.jpg</v>
      </c>
      <c r="AW5" s="84" t="s">
        <v>745</v>
      </c>
      <c r="AX5" s="84" t="s">
        <v>745</v>
      </c>
      <c r="AY5" s="81"/>
      <c r="AZ5" s="84" t="s">
        <v>879</v>
      </c>
      <c r="BA5" s="84" t="s">
        <v>879</v>
      </c>
      <c r="BB5" s="84" t="s">
        <v>801</v>
      </c>
      <c r="BC5" s="84" t="s">
        <v>801</v>
      </c>
      <c r="BD5" s="84" t="s">
        <v>881</v>
      </c>
      <c r="BE5" s="81"/>
      <c r="BF5" s="81"/>
      <c r="BG5" s="81"/>
      <c r="BH5" s="81"/>
      <c r="BI5" s="81"/>
      <c r="BJ5">
        <v>1</v>
      </c>
      <c r="BK5" s="80" t="str">
        <f>REPLACE(INDEX(GroupVertices[Group], MATCH("~"&amp;Edges27[[#This Row],[Vertex 1]],GroupVertices[Vertex],0)),1,1,"")</f>
        <v>3</v>
      </c>
      <c r="BL5" s="80" t="str">
        <f>REPLACE(INDEX(GroupVertices[Group], MATCH("~"&amp;Edges27[[#This Row],[Vertex 2]],GroupVertices[Vertex],0)),1,1,"")</f>
        <v>3</v>
      </c>
      <c r="BM5" s="49"/>
      <c r="BN5" s="50"/>
      <c r="BO5" s="49"/>
      <c r="BP5" s="50"/>
      <c r="BQ5" s="49"/>
      <c r="BR5" s="50"/>
      <c r="BS5" s="49"/>
      <c r="BT5" s="50"/>
      <c r="BU5" s="49"/>
    </row>
    <row r="6" spans="1:73" x14ac:dyDescent="0.25">
      <c r="A6" s="65" t="s">
        <v>242</v>
      </c>
      <c r="B6" s="65" t="s">
        <v>249</v>
      </c>
      <c r="C6" s="66"/>
      <c r="D6" s="67"/>
      <c r="E6" s="68"/>
      <c r="F6" s="69"/>
      <c r="G6" s="66"/>
      <c r="H6" s="70"/>
      <c r="I6" s="71"/>
      <c r="J6" s="71"/>
      <c r="K6" s="35" t="s">
        <v>65</v>
      </c>
      <c r="L6" s="79">
        <v>8</v>
      </c>
      <c r="M6" s="79"/>
      <c r="N6" s="73"/>
      <c r="O6" s="81" t="s">
        <v>365</v>
      </c>
      <c r="P6" s="83">
        <v>45234.655370370368</v>
      </c>
      <c r="Q6" s="81" t="s">
        <v>374</v>
      </c>
      <c r="R6" s="81">
        <v>4</v>
      </c>
      <c r="S6" s="81">
        <v>0</v>
      </c>
      <c r="T6" s="81">
        <v>0</v>
      </c>
      <c r="U6" s="81">
        <v>0</v>
      </c>
      <c r="V6" s="81"/>
      <c r="W6" s="84" t="s">
        <v>470</v>
      </c>
      <c r="X6" s="81"/>
      <c r="Y6" s="81"/>
      <c r="Z6" s="81" t="s">
        <v>249</v>
      </c>
      <c r="AA6" s="81"/>
      <c r="AB6" s="81"/>
      <c r="AC6" s="84" t="s">
        <v>580</v>
      </c>
      <c r="AD6" s="81" t="s">
        <v>588</v>
      </c>
      <c r="AE6" s="86" t="str">
        <f>HYPERLINK("https://twitter.com/mahedikabir2/status/1720829189832483273")</f>
        <v>https://twitter.com/mahedikabir2/status/1720829189832483273</v>
      </c>
      <c r="AF6" s="83">
        <v>45234.655370370368</v>
      </c>
      <c r="AG6" s="89">
        <v>45234</v>
      </c>
      <c r="AH6" s="84" t="s">
        <v>592</v>
      </c>
      <c r="AI6" s="81"/>
      <c r="AJ6" s="81"/>
      <c r="AK6" s="81"/>
      <c r="AL6" s="81"/>
      <c r="AM6" s="81"/>
      <c r="AN6" s="81"/>
      <c r="AO6" s="81"/>
      <c r="AP6" s="81"/>
      <c r="AQ6" s="81"/>
      <c r="AR6" s="81"/>
      <c r="AS6" s="81"/>
      <c r="AT6" s="81"/>
      <c r="AU6" s="81"/>
      <c r="AV6" s="86" t="str">
        <f>HYPERLINK("https://pbs.twimg.com/profile_images/1688156554258771969/atYOIiFN_normal.jpg")</f>
        <v>https://pbs.twimg.com/profile_images/1688156554258771969/atYOIiFN_normal.jpg</v>
      </c>
      <c r="AW6" s="84" t="s">
        <v>746</v>
      </c>
      <c r="AX6" s="84" t="s">
        <v>746</v>
      </c>
      <c r="AY6" s="81"/>
      <c r="AZ6" s="84" t="s">
        <v>879</v>
      </c>
      <c r="BA6" s="84" t="s">
        <v>879</v>
      </c>
      <c r="BB6" s="84" t="s">
        <v>754</v>
      </c>
      <c r="BC6" s="84" t="s">
        <v>754</v>
      </c>
      <c r="BD6" s="81">
        <v>3190959720</v>
      </c>
      <c r="BE6" s="81"/>
      <c r="BF6" s="81"/>
      <c r="BG6" s="81"/>
      <c r="BH6" s="81"/>
      <c r="BI6" s="81"/>
      <c r="BJ6">
        <v>1</v>
      </c>
      <c r="BK6" s="80" t="str">
        <f>REPLACE(INDEX(GroupVertices[Group], MATCH("~"&amp;Edges27[[#This Row],[Vertex 1]],GroupVertices[Vertex],0)),1,1,"")</f>
        <v>3</v>
      </c>
      <c r="BL6" s="80" t="str">
        <f>REPLACE(INDEX(GroupVertices[Group], MATCH("~"&amp;Edges27[[#This Row],[Vertex 2]],GroupVertices[Vertex],0)),1,1,"")</f>
        <v>3</v>
      </c>
      <c r="BM6" s="49">
        <v>3</v>
      </c>
      <c r="BN6" s="50">
        <v>12.5</v>
      </c>
      <c r="BO6" s="49">
        <v>0</v>
      </c>
      <c r="BP6" s="50">
        <v>0</v>
      </c>
      <c r="BQ6" s="49">
        <v>0</v>
      </c>
      <c r="BR6" s="50">
        <v>0</v>
      </c>
      <c r="BS6" s="49">
        <v>9</v>
      </c>
      <c r="BT6" s="50">
        <v>37.5</v>
      </c>
      <c r="BU6" s="49">
        <v>24</v>
      </c>
    </row>
    <row r="7" spans="1:73" x14ac:dyDescent="0.25">
      <c r="A7" s="65" t="s">
        <v>243</v>
      </c>
      <c r="B7" s="65" t="s">
        <v>309</v>
      </c>
      <c r="C7" s="66"/>
      <c r="D7" s="67"/>
      <c r="E7" s="68"/>
      <c r="F7" s="69"/>
      <c r="G7" s="66"/>
      <c r="H7" s="70"/>
      <c r="I7" s="71"/>
      <c r="J7" s="71"/>
      <c r="K7" s="35" t="s">
        <v>65</v>
      </c>
      <c r="L7" s="79">
        <v>9</v>
      </c>
      <c r="M7" s="79"/>
      <c r="N7" s="73"/>
      <c r="O7" s="81" t="s">
        <v>367</v>
      </c>
      <c r="P7" s="83">
        <v>45232.739606481482</v>
      </c>
      <c r="Q7" s="81" t="s">
        <v>375</v>
      </c>
      <c r="R7" s="81">
        <v>1</v>
      </c>
      <c r="S7" s="81">
        <v>4</v>
      </c>
      <c r="T7" s="81">
        <v>0</v>
      </c>
      <c r="U7" s="81">
        <v>0</v>
      </c>
      <c r="V7" s="81">
        <v>852</v>
      </c>
      <c r="W7" s="84" t="s">
        <v>471</v>
      </c>
      <c r="X7" s="86" t="str">
        <f>HYPERLINK("https://newhouse.syracuse.edu/news/newhouse-students-honored-for-visual-projects-in-college-photographer-of-the-year-and-aejmc-competitions/")</f>
        <v>https://newhouse.syracuse.edu/news/newhouse-students-honored-for-visual-projects-in-college-photographer-of-the-year-and-aejmc-competitions/</v>
      </c>
      <c r="Y7" s="81" t="s">
        <v>497</v>
      </c>
      <c r="Z7" s="81" t="s">
        <v>519</v>
      </c>
      <c r="AA7" s="81" t="s">
        <v>557</v>
      </c>
      <c r="AB7" s="81" t="s">
        <v>575</v>
      </c>
      <c r="AC7" s="84" t="s">
        <v>581</v>
      </c>
      <c r="AD7" s="81" t="s">
        <v>588</v>
      </c>
      <c r="AE7" s="86" t="str">
        <f>HYPERLINK("https://twitter.com/newhousesu/status/1720134936496116148")</f>
        <v>https://twitter.com/newhousesu/status/1720134936496116148</v>
      </c>
      <c r="AF7" s="83">
        <v>45232.739606481482</v>
      </c>
      <c r="AG7" s="89">
        <v>45232</v>
      </c>
      <c r="AH7" s="84" t="s">
        <v>593</v>
      </c>
      <c r="AI7" s="81" t="b">
        <v>0</v>
      </c>
      <c r="AJ7" s="81"/>
      <c r="AK7" s="81"/>
      <c r="AL7" s="81"/>
      <c r="AM7" s="81"/>
      <c r="AN7" s="81"/>
      <c r="AO7" s="81"/>
      <c r="AP7" s="81"/>
      <c r="AQ7" s="81" t="s">
        <v>726</v>
      </c>
      <c r="AR7" s="81"/>
      <c r="AS7" s="81"/>
      <c r="AT7" s="81"/>
      <c r="AU7" s="81"/>
      <c r="AV7" s="86" t="str">
        <f>HYPERLINK("https://pbs.twimg.com/media/F98lm41XkAAfs2k.jpg")</f>
        <v>https://pbs.twimg.com/media/F98lm41XkAAfs2k.jpg</v>
      </c>
      <c r="AW7" s="84" t="s">
        <v>747</v>
      </c>
      <c r="AX7" s="84" t="s">
        <v>747</v>
      </c>
      <c r="AY7" s="81"/>
      <c r="AZ7" s="84" t="s">
        <v>879</v>
      </c>
      <c r="BA7" s="84" t="s">
        <v>879</v>
      </c>
      <c r="BB7" s="84" t="s">
        <v>879</v>
      </c>
      <c r="BC7" s="84" t="s">
        <v>747</v>
      </c>
      <c r="BD7" s="81">
        <v>14295896</v>
      </c>
      <c r="BE7" s="81"/>
      <c r="BF7" s="81"/>
      <c r="BG7" s="81"/>
      <c r="BH7" s="81"/>
      <c r="BI7" s="81"/>
      <c r="BJ7">
        <v>1</v>
      </c>
      <c r="BK7" s="80" t="str">
        <f>REPLACE(INDEX(GroupVertices[Group], MATCH("~"&amp;Edges27[[#This Row],[Vertex 1]],GroupVertices[Vertex],0)),1,1,"")</f>
        <v>1</v>
      </c>
      <c r="BL7" s="80" t="str">
        <f>REPLACE(INDEX(GroupVertices[Group], MATCH("~"&amp;Edges27[[#This Row],[Vertex 2]],GroupVertices[Vertex],0)),1,1,"")</f>
        <v>1</v>
      </c>
      <c r="BM7" s="49"/>
      <c r="BN7" s="50"/>
      <c r="BO7" s="49"/>
      <c r="BP7" s="50"/>
      <c r="BQ7" s="49"/>
      <c r="BR7" s="50"/>
      <c r="BS7" s="49"/>
      <c r="BT7" s="50"/>
      <c r="BU7" s="49"/>
    </row>
    <row r="8" spans="1:73" x14ac:dyDescent="0.25">
      <c r="A8" s="65" t="s">
        <v>244</v>
      </c>
      <c r="B8" s="65" t="s">
        <v>309</v>
      </c>
      <c r="C8" s="66"/>
      <c r="D8" s="67"/>
      <c r="E8" s="68"/>
      <c r="F8" s="69"/>
      <c r="G8" s="66"/>
      <c r="H8" s="70"/>
      <c r="I8" s="71"/>
      <c r="J8" s="71"/>
      <c r="K8" s="35" t="s">
        <v>65</v>
      </c>
      <c r="L8" s="79">
        <v>10</v>
      </c>
      <c r="M8" s="79"/>
      <c r="N8" s="73"/>
      <c r="O8" s="81" t="s">
        <v>366</v>
      </c>
      <c r="P8" s="83">
        <v>45232.802835648145</v>
      </c>
      <c r="Q8" s="81" t="s">
        <v>376</v>
      </c>
      <c r="R8" s="81">
        <v>1</v>
      </c>
      <c r="S8" s="81">
        <v>0</v>
      </c>
      <c r="T8" s="81">
        <v>0</v>
      </c>
      <c r="U8" s="81">
        <v>0</v>
      </c>
      <c r="V8" s="81"/>
      <c r="W8" s="81"/>
      <c r="X8" s="81"/>
      <c r="Y8" s="81"/>
      <c r="Z8" s="81" t="s">
        <v>520</v>
      </c>
      <c r="AA8" s="81"/>
      <c r="AB8" s="81"/>
      <c r="AC8" s="84" t="s">
        <v>579</v>
      </c>
      <c r="AD8" s="81" t="s">
        <v>588</v>
      </c>
      <c r="AE8" s="86" t="str">
        <f>HYPERLINK("https://twitter.com/isaiah_photo/status/1720157850465411279")</f>
        <v>https://twitter.com/isaiah_photo/status/1720157850465411279</v>
      </c>
      <c r="AF8" s="83">
        <v>45232.802835648145</v>
      </c>
      <c r="AG8" s="89">
        <v>45232</v>
      </c>
      <c r="AH8" s="84" t="s">
        <v>594</v>
      </c>
      <c r="AI8" s="81"/>
      <c r="AJ8" s="81"/>
      <c r="AK8" s="81"/>
      <c r="AL8" s="81"/>
      <c r="AM8" s="81"/>
      <c r="AN8" s="81"/>
      <c r="AO8" s="81"/>
      <c r="AP8" s="81"/>
      <c r="AQ8" s="81"/>
      <c r="AR8" s="81"/>
      <c r="AS8" s="81"/>
      <c r="AT8" s="81"/>
      <c r="AU8" s="81"/>
      <c r="AV8" s="86" t="str">
        <f>HYPERLINK("https://pbs.twimg.com/profile_images/1531774008953282561/q_a9l7rN_normal.jpg")</f>
        <v>https://pbs.twimg.com/profile_images/1531774008953282561/q_a9l7rN_normal.jpg</v>
      </c>
      <c r="AW8" s="84" t="s">
        <v>748</v>
      </c>
      <c r="AX8" s="84" t="s">
        <v>748</v>
      </c>
      <c r="AY8" s="81"/>
      <c r="AZ8" s="84" t="s">
        <v>879</v>
      </c>
      <c r="BA8" s="84" t="s">
        <v>879</v>
      </c>
      <c r="BB8" s="84" t="s">
        <v>747</v>
      </c>
      <c r="BC8" s="84" t="s">
        <v>747</v>
      </c>
      <c r="BD8" s="81">
        <v>381453828</v>
      </c>
      <c r="BE8" s="81"/>
      <c r="BF8" s="81"/>
      <c r="BG8" s="81"/>
      <c r="BH8" s="81"/>
      <c r="BI8" s="81"/>
      <c r="BJ8">
        <v>1</v>
      </c>
      <c r="BK8" s="80" t="str">
        <f>REPLACE(INDEX(GroupVertices[Group], MATCH("~"&amp;Edges27[[#This Row],[Vertex 1]],GroupVertices[Vertex],0)),1,1,"")</f>
        <v>1</v>
      </c>
      <c r="BL8" s="80" t="str">
        <f>REPLACE(INDEX(GroupVertices[Group], MATCH("~"&amp;Edges27[[#This Row],[Vertex 2]],GroupVertices[Vertex],0)),1,1,"")</f>
        <v>1</v>
      </c>
      <c r="BM8" s="49"/>
      <c r="BN8" s="50"/>
      <c r="BO8" s="49"/>
      <c r="BP8" s="50"/>
      <c r="BQ8" s="49"/>
      <c r="BR8" s="50"/>
      <c r="BS8" s="49"/>
      <c r="BT8" s="50"/>
      <c r="BU8" s="49"/>
    </row>
    <row r="9" spans="1:73" x14ac:dyDescent="0.25">
      <c r="A9" s="65" t="s">
        <v>245</v>
      </c>
      <c r="B9" s="65" t="s">
        <v>310</v>
      </c>
      <c r="C9" s="66"/>
      <c r="D9" s="67"/>
      <c r="E9" s="68"/>
      <c r="F9" s="69"/>
      <c r="G9" s="66"/>
      <c r="H9" s="70"/>
      <c r="I9" s="71"/>
      <c r="J9" s="71"/>
      <c r="K9" s="35" t="s">
        <v>65</v>
      </c>
      <c r="L9" s="79">
        <v>15</v>
      </c>
      <c r="M9" s="79"/>
      <c r="N9" s="73"/>
      <c r="O9" s="81" t="s">
        <v>368</v>
      </c>
      <c r="P9" s="83">
        <v>45234.080277777779</v>
      </c>
      <c r="Q9" s="81" t="s">
        <v>377</v>
      </c>
      <c r="R9" s="81">
        <v>0</v>
      </c>
      <c r="S9" s="81">
        <v>1</v>
      </c>
      <c r="T9" s="81">
        <v>0</v>
      </c>
      <c r="U9" s="81">
        <v>0</v>
      </c>
      <c r="V9" s="81">
        <v>20</v>
      </c>
      <c r="W9" s="81"/>
      <c r="X9" s="81"/>
      <c r="Y9" s="81"/>
      <c r="Z9" s="81" t="s">
        <v>521</v>
      </c>
      <c r="AA9" s="81"/>
      <c r="AB9" s="81"/>
      <c r="AC9" s="84" t="s">
        <v>582</v>
      </c>
      <c r="AD9" s="81" t="s">
        <v>588</v>
      </c>
      <c r="AE9" s="86" t="str">
        <f>HYPERLINK("https://twitter.com/profkakie/status/1720620782651351141")</f>
        <v>https://twitter.com/profkakie/status/1720620782651351141</v>
      </c>
      <c r="AF9" s="83">
        <v>45234.080277777779</v>
      </c>
      <c r="AG9" s="89">
        <v>45234</v>
      </c>
      <c r="AH9" s="84" t="s">
        <v>595</v>
      </c>
      <c r="AI9" s="81"/>
      <c r="AJ9" s="81"/>
      <c r="AK9" s="81"/>
      <c r="AL9" s="81"/>
      <c r="AM9" s="81"/>
      <c r="AN9" s="81"/>
      <c r="AO9" s="81"/>
      <c r="AP9" s="81"/>
      <c r="AQ9" s="81"/>
      <c r="AR9" s="81"/>
      <c r="AS9" s="81"/>
      <c r="AT9" s="81"/>
      <c r="AU9" s="81"/>
      <c r="AV9" s="86" t="str">
        <f>HYPERLINK("https://pbs.twimg.com/profile_images/506305736834428928/l7hB0YVf_normal.jpeg")</f>
        <v>https://pbs.twimg.com/profile_images/506305736834428928/l7hB0YVf_normal.jpeg</v>
      </c>
      <c r="AW9" s="84" t="s">
        <v>749</v>
      </c>
      <c r="AX9" s="84" t="s">
        <v>873</v>
      </c>
      <c r="AY9" s="84" t="s">
        <v>875</v>
      </c>
      <c r="AZ9" s="84" t="s">
        <v>880</v>
      </c>
      <c r="BA9" s="84" t="s">
        <v>879</v>
      </c>
      <c r="BB9" s="84" t="s">
        <v>879</v>
      </c>
      <c r="BC9" s="84" t="s">
        <v>880</v>
      </c>
      <c r="BD9" s="81">
        <v>24373764</v>
      </c>
      <c r="BE9" s="81"/>
      <c r="BF9" s="81"/>
      <c r="BG9" s="81"/>
      <c r="BH9" s="81"/>
      <c r="BI9" s="81"/>
      <c r="BJ9">
        <v>1</v>
      </c>
      <c r="BK9" s="80" t="str">
        <f>REPLACE(INDEX(GroupVertices[Group], MATCH("~"&amp;Edges27[[#This Row],[Vertex 1]],GroupVertices[Vertex],0)),1,1,"")</f>
        <v>12</v>
      </c>
      <c r="BL9" s="80" t="str">
        <f>REPLACE(INDEX(GroupVertices[Group], MATCH("~"&amp;Edges27[[#This Row],[Vertex 2]],GroupVertices[Vertex],0)),1,1,"")</f>
        <v>12</v>
      </c>
      <c r="BM9" s="49"/>
      <c r="BN9" s="50"/>
      <c r="BO9" s="49"/>
      <c r="BP9" s="50"/>
      <c r="BQ9" s="49"/>
      <c r="BR9" s="50"/>
      <c r="BS9" s="49"/>
      <c r="BT9" s="50"/>
      <c r="BU9" s="49"/>
    </row>
    <row r="10" spans="1:73" x14ac:dyDescent="0.25">
      <c r="A10" s="65" t="s">
        <v>246</v>
      </c>
      <c r="B10" s="65" t="s">
        <v>304</v>
      </c>
      <c r="C10" s="66"/>
      <c r="D10" s="67"/>
      <c r="E10" s="68"/>
      <c r="F10" s="69"/>
      <c r="G10" s="66"/>
      <c r="H10" s="70"/>
      <c r="I10" s="71"/>
      <c r="J10" s="71"/>
      <c r="K10" s="35" t="s">
        <v>65</v>
      </c>
      <c r="L10" s="79">
        <v>18</v>
      </c>
      <c r="M10" s="79"/>
      <c r="N10" s="73"/>
      <c r="O10" s="81" t="s">
        <v>366</v>
      </c>
      <c r="P10" s="83">
        <v>45232.629733796297</v>
      </c>
      <c r="Q10" s="81" t="s">
        <v>378</v>
      </c>
      <c r="R10" s="81">
        <v>3</v>
      </c>
      <c r="S10" s="81">
        <v>0</v>
      </c>
      <c r="T10" s="81">
        <v>0</v>
      </c>
      <c r="U10" s="81">
        <v>0</v>
      </c>
      <c r="V10" s="81"/>
      <c r="W10" s="81"/>
      <c r="X10" s="81"/>
      <c r="Y10" s="81"/>
      <c r="Z10" s="81" t="s">
        <v>522</v>
      </c>
      <c r="AA10" s="81"/>
      <c r="AB10" s="81"/>
      <c r="AC10" s="84" t="s">
        <v>582</v>
      </c>
      <c r="AD10" s="81" t="s">
        <v>588</v>
      </c>
      <c r="AE10" s="86" t="str">
        <f>HYPERLINK("https://twitter.com/commscholar/status/1720095122522878120")</f>
        <v>https://twitter.com/commscholar/status/1720095122522878120</v>
      </c>
      <c r="AF10" s="83">
        <v>45232.629733796297</v>
      </c>
      <c r="AG10" s="89">
        <v>45232</v>
      </c>
      <c r="AH10" s="84" t="s">
        <v>596</v>
      </c>
      <c r="AI10" s="81" t="b">
        <v>0</v>
      </c>
      <c r="AJ10" s="81"/>
      <c r="AK10" s="81"/>
      <c r="AL10" s="81"/>
      <c r="AM10" s="81"/>
      <c r="AN10" s="81"/>
      <c r="AO10" s="81"/>
      <c r="AP10" s="81"/>
      <c r="AQ10" s="81"/>
      <c r="AR10" s="81"/>
      <c r="AS10" s="81"/>
      <c r="AT10" s="81"/>
      <c r="AU10" s="81"/>
      <c r="AV10" s="86" t="str">
        <f>HYPERLINK("https://pbs.twimg.com/profile_images/1323088857424867329/wUJsjb2M_normal.jpg")</f>
        <v>https://pbs.twimg.com/profile_images/1323088857424867329/wUJsjb2M_normal.jpg</v>
      </c>
      <c r="AW10" s="84" t="s">
        <v>750</v>
      </c>
      <c r="AX10" s="84" t="s">
        <v>750</v>
      </c>
      <c r="AY10" s="81"/>
      <c r="AZ10" s="84" t="s">
        <v>879</v>
      </c>
      <c r="BA10" s="84" t="s">
        <v>879</v>
      </c>
      <c r="BB10" s="84" t="s">
        <v>866</v>
      </c>
      <c r="BC10" s="84" t="s">
        <v>866</v>
      </c>
      <c r="BD10" s="81">
        <v>282661518</v>
      </c>
      <c r="BE10" s="81"/>
      <c r="BF10" s="81"/>
      <c r="BG10" s="81"/>
      <c r="BH10" s="81"/>
      <c r="BI10" s="81"/>
      <c r="BJ10">
        <v>1</v>
      </c>
      <c r="BK10" s="80" t="str">
        <f>REPLACE(INDEX(GroupVertices[Group], MATCH("~"&amp;Edges27[[#This Row],[Vertex 1]],GroupVertices[Vertex],0)),1,1,"")</f>
        <v>8</v>
      </c>
      <c r="BL10" s="80" t="str">
        <f>REPLACE(INDEX(GroupVertices[Group], MATCH("~"&amp;Edges27[[#This Row],[Vertex 2]],GroupVertices[Vertex],0)),1,1,"")</f>
        <v>8</v>
      </c>
      <c r="BM10" s="49"/>
      <c r="BN10" s="50"/>
      <c r="BO10" s="49"/>
      <c r="BP10" s="50"/>
      <c r="BQ10" s="49"/>
      <c r="BR10" s="50"/>
      <c r="BS10" s="49"/>
      <c r="BT10" s="50"/>
      <c r="BU10" s="49"/>
    </row>
    <row r="11" spans="1:73" x14ac:dyDescent="0.25">
      <c r="A11" s="65" t="s">
        <v>247</v>
      </c>
      <c r="B11" s="65" t="s">
        <v>312</v>
      </c>
      <c r="C11" s="66"/>
      <c r="D11" s="67"/>
      <c r="E11" s="68"/>
      <c r="F11" s="69"/>
      <c r="G11" s="66"/>
      <c r="H11" s="70"/>
      <c r="I11" s="71"/>
      <c r="J11" s="71"/>
      <c r="K11" s="35" t="s">
        <v>65</v>
      </c>
      <c r="L11" s="79">
        <v>20</v>
      </c>
      <c r="M11" s="79"/>
      <c r="N11" s="73"/>
      <c r="O11" s="81" t="s">
        <v>366</v>
      </c>
      <c r="P11" s="83">
        <v>45231.981724537036</v>
      </c>
      <c r="Q11" s="81" t="s">
        <v>379</v>
      </c>
      <c r="R11" s="81">
        <v>5</v>
      </c>
      <c r="S11" s="81">
        <v>0</v>
      </c>
      <c r="T11" s="81">
        <v>0</v>
      </c>
      <c r="U11" s="81">
        <v>0</v>
      </c>
      <c r="V11" s="81"/>
      <c r="W11" s="81"/>
      <c r="X11" s="81"/>
      <c r="Y11" s="81"/>
      <c r="Z11" s="81" t="s">
        <v>523</v>
      </c>
      <c r="AA11" s="81"/>
      <c r="AB11" s="81"/>
      <c r="AC11" s="84" t="s">
        <v>580</v>
      </c>
      <c r="AD11" s="81" t="s">
        <v>588</v>
      </c>
      <c r="AE11" s="86" t="str">
        <f>HYPERLINK("https://twitter.com/drjessmaddox/status/1719860291825979546")</f>
        <v>https://twitter.com/drjessmaddox/status/1719860291825979546</v>
      </c>
      <c r="AF11" s="83">
        <v>45231.981724537036</v>
      </c>
      <c r="AG11" s="89">
        <v>45231</v>
      </c>
      <c r="AH11" s="84" t="s">
        <v>597</v>
      </c>
      <c r="AI11" s="81"/>
      <c r="AJ11" s="81"/>
      <c r="AK11" s="81"/>
      <c r="AL11" s="81"/>
      <c r="AM11" s="81"/>
      <c r="AN11" s="81"/>
      <c r="AO11" s="81"/>
      <c r="AP11" s="81"/>
      <c r="AQ11" s="81"/>
      <c r="AR11" s="81"/>
      <c r="AS11" s="81"/>
      <c r="AT11" s="81"/>
      <c r="AU11" s="81"/>
      <c r="AV11" s="86" t="str">
        <f>HYPERLINK("https://pbs.twimg.com/profile_images/1704325946344341504/RU7QjoX7_normal.jpg")</f>
        <v>https://pbs.twimg.com/profile_images/1704325946344341504/RU7QjoX7_normal.jpg</v>
      </c>
      <c r="AW11" s="84" t="s">
        <v>751</v>
      </c>
      <c r="AX11" s="84" t="s">
        <v>751</v>
      </c>
      <c r="AY11" s="81"/>
      <c r="AZ11" s="84" t="s">
        <v>879</v>
      </c>
      <c r="BA11" s="84" t="s">
        <v>879</v>
      </c>
      <c r="BB11" s="84" t="s">
        <v>757</v>
      </c>
      <c r="BC11" s="84" t="s">
        <v>757</v>
      </c>
      <c r="BD11" s="81">
        <v>747936457</v>
      </c>
      <c r="BE11" s="81"/>
      <c r="BF11" s="81"/>
      <c r="BG11" s="81"/>
      <c r="BH11" s="81"/>
      <c r="BI11" s="81"/>
      <c r="BJ11">
        <v>1</v>
      </c>
      <c r="BK11" s="80" t="str">
        <f>REPLACE(INDEX(GroupVertices[Group], MATCH("~"&amp;Edges27[[#This Row],[Vertex 1]],GroupVertices[Vertex],0)),1,1,"")</f>
        <v>2</v>
      </c>
      <c r="BL11" s="80" t="str">
        <f>REPLACE(INDEX(GroupVertices[Group], MATCH("~"&amp;Edges27[[#This Row],[Vertex 2]],GroupVertices[Vertex],0)),1,1,"")</f>
        <v>2</v>
      </c>
      <c r="BM11" s="49"/>
      <c r="BN11" s="50"/>
      <c r="BO11" s="49"/>
      <c r="BP11" s="50"/>
      <c r="BQ11" s="49"/>
      <c r="BR11" s="50"/>
      <c r="BS11" s="49"/>
      <c r="BT11" s="50"/>
      <c r="BU11" s="49"/>
    </row>
    <row r="12" spans="1:73" x14ac:dyDescent="0.25">
      <c r="A12" s="65" t="s">
        <v>248</v>
      </c>
      <c r="B12" s="65" t="s">
        <v>313</v>
      </c>
      <c r="C12" s="66"/>
      <c r="D12" s="67"/>
      <c r="E12" s="68"/>
      <c r="F12" s="69"/>
      <c r="G12" s="66"/>
      <c r="H12" s="70"/>
      <c r="I12" s="71"/>
      <c r="J12" s="71"/>
      <c r="K12" s="35" t="s">
        <v>65</v>
      </c>
      <c r="L12" s="79">
        <v>22</v>
      </c>
      <c r="M12" s="79"/>
      <c r="N12" s="73"/>
      <c r="O12" s="81" t="s">
        <v>370</v>
      </c>
      <c r="P12" s="83">
        <v>45233.347071759257</v>
      </c>
      <c r="Q12" s="81" t="s">
        <v>380</v>
      </c>
      <c r="R12" s="81">
        <v>0</v>
      </c>
      <c r="S12" s="81">
        <v>5</v>
      </c>
      <c r="T12" s="81">
        <v>0</v>
      </c>
      <c r="U12" s="81">
        <v>0</v>
      </c>
      <c r="V12" s="81">
        <v>625</v>
      </c>
      <c r="W12" s="84" t="s">
        <v>472</v>
      </c>
      <c r="X12" s="81"/>
      <c r="Y12" s="81"/>
      <c r="Z12" s="81" t="s">
        <v>524</v>
      </c>
      <c r="AA12" s="81"/>
      <c r="AB12" s="81"/>
      <c r="AC12" s="84" t="s">
        <v>579</v>
      </c>
      <c r="AD12" s="81" t="s">
        <v>588</v>
      </c>
      <c r="AE12" s="86" t="str">
        <f>HYPERLINK("https://twitter.com/vioreladan/status/1720355075653050557")</f>
        <v>https://twitter.com/vioreladan/status/1720355075653050557</v>
      </c>
      <c r="AF12" s="83">
        <v>45233.347071759257</v>
      </c>
      <c r="AG12" s="89">
        <v>45233</v>
      </c>
      <c r="AH12" s="84" t="s">
        <v>598</v>
      </c>
      <c r="AI12" s="81"/>
      <c r="AJ12" s="81"/>
      <c r="AK12" s="81"/>
      <c r="AL12" s="81"/>
      <c r="AM12" s="81"/>
      <c r="AN12" s="81"/>
      <c r="AO12" s="81"/>
      <c r="AP12" s="81"/>
      <c r="AQ12" s="81"/>
      <c r="AR12" s="81"/>
      <c r="AS12" s="81"/>
      <c r="AT12" s="81"/>
      <c r="AU12" s="81"/>
      <c r="AV12" s="86" t="str">
        <f>HYPERLINK("https://pbs.twimg.com/profile_images/1499394758606671883/eX-QPowP_normal.jpg")</f>
        <v>https://pbs.twimg.com/profile_images/1499394758606671883/eX-QPowP_normal.jpg</v>
      </c>
      <c r="AW12" s="84" t="s">
        <v>752</v>
      </c>
      <c r="AX12" s="84" t="s">
        <v>752</v>
      </c>
      <c r="AY12" s="81"/>
      <c r="AZ12" s="84" t="s">
        <v>879</v>
      </c>
      <c r="BA12" s="84" t="s">
        <v>754</v>
      </c>
      <c r="BB12" s="84" t="s">
        <v>879</v>
      </c>
      <c r="BC12" s="84" t="s">
        <v>754</v>
      </c>
      <c r="BD12" s="84" t="s">
        <v>882</v>
      </c>
      <c r="BE12" s="81"/>
      <c r="BF12" s="81"/>
      <c r="BG12" s="81"/>
      <c r="BH12" s="81"/>
      <c r="BI12" s="81"/>
      <c r="BJ12">
        <v>1</v>
      </c>
      <c r="BK12" s="80" t="str">
        <f>REPLACE(INDEX(GroupVertices[Group], MATCH("~"&amp;Edges27[[#This Row],[Vertex 1]],GroupVertices[Vertex],0)),1,1,"")</f>
        <v>6</v>
      </c>
      <c r="BL12" s="80" t="str">
        <f>REPLACE(INDEX(GroupVertices[Group], MATCH("~"&amp;Edges27[[#This Row],[Vertex 2]],GroupVertices[Vertex],0)),1,1,"")</f>
        <v>6</v>
      </c>
      <c r="BM12" s="49"/>
      <c r="BN12" s="50"/>
      <c r="BO12" s="49"/>
      <c r="BP12" s="50"/>
      <c r="BQ12" s="49"/>
      <c r="BR12" s="50"/>
      <c r="BS12" s="49"/>
      <c r="BT12" s="50"/>
      <c r="BU12" s="49"/>
    </row>
    <row r="13" spans="1:73" x14ac:dyDescent="0.25">
      <c r="A13" s="65" t="s">
        <v>249</v>
      </c>
      <c r="B13" s="65" t="s">
        <v>317</v>
      </c>
      <c r="C13" s="66"/>
      <c r="D13" s="67"/>
      <c r="E13" s="68"/>
      <c r="F13" s="69"/>
      <c r="G13" s="66"/>
      <c r="H13" s="70"/>
      <c r="I13" s="71"/>
      <c r="J13" s="71"/>
      <c r="K13" s="35" t="s">
        <v>65</v>
      </c>
      <c r="L13" s="79">
        <v>26</v>
      </c>
      <c r="M13" s="79"/>
      <c r="N13" s="73"/>
      <c r="O13" s="81" t="s">
        <v>367</v>
      </c>
      <c r="P13" s="83">
        <v>45214.020243055558</v>
      </c>
      <c r="Q13" s="81" t="s">
        <v>381</v>
      </c>
      <c r="R13" s="81">
        <v>1</v>
      </c>
      <c r="S13" s="81">
        <v>10</v>
      </c>
      <c r="T13" s="81">
        <v>0</v>
      </c>
      <c r="U13" s="81">
        <v>1</v>
      </c>
      <c r="V13" s="81">
        <v>848</v>
      </c>
      <c r="W13" s="81"/>
      <c r="X13" s="81"/>
      <c r="Y13" s="81"/>
      <c r="Z13" s="81" t="s">
        <v>525</v>
      </c>
      <c r="AA13" s="81"/>
      <c r="AB13" s="81"/>
      <c r="AC13" s="84" t="s">
        <v>579</v>
      </c>
      <c r="AD13" s="81" t="s">
        <v>588</v>
      </c>
      <c r="AE13" s="86" t="str">
        <f>HYPERLINK("https://twitter.com/jmcquarterly/status/1713351267106336845")</f>
        <v>https://twitter.com/jmcquarterly/status/1713351267106336845</v>
      </c>
      <c r="AF13" s="83">
        <v>45214.020243055558</v>
      </c>
      <c r="AG13" s="89">
        <v>45214</v>
      </c>
      <c r="AH13" s="84" t="s">
        <v>599</v>
      </c>
      <c r="AI13" s="81"/>
      <c r="AJ13" s="81"/>
      <c r="AK13" s="81"/>
      <c r="AL13" s="81"/>
      <c r="AM13" s="81"/>
      <c r="AN13" s="81"/>
      <c r="AO13" s="81"/>
      <c r="AP13" s="81"/>
      <c r="AQ13" s="81"/>
      <c r="AR13" s="81"/>
      <c r="AS13" s="81"/>
      <c r="AT13" s="81"/>
      <c r="AU13" s="81"/>
      <c r="AV13" s="86" t="str">
        <f>HYPERLINK("https://pbs.twimg.com/profile_images/1297970849820147712/3xME2yZ6_normal.jpg")</f>
        <v>https://pbs.twimg.com/profile_images/1297970849820147712/3xME2yZ6_normal.jpg</v>
      </c>
      <c r="AW13" s="84" t="s">
        <v>753</v>
      </c>
      <c r="AX13" s="84" t="s">
        <v>753</v>
      </c>
      <c r="AY13" s="81"/>
      <c r="AZ13" s="84" t="s">
        <v>879</v>
      </c>
      <c r="BA13" s="84" t="s">
        <v>879</v>
      </c>
      <c r="BB13" s="84" t="s">
        <v>879</v>
      </c>
      <c r="BC13" s="84" t="s">
        <v>753</v>
      </c>
      <c r="BD13" s="84" t="s">
        <v>876</v>
      </c>
      <c r="BE13" s="81"/>
      <c r="BF13" s="81"/>
      <c r="BG13" s="81"/>
      <c r="BH13" s="81"/>
      <c r="BI13" s="81"/>
      <c r="BJ13">
        <v>2</v>
      </c>
      <c r="BK13" s="80" t="str">
        <f>REPLACE(INDEX(GroupVertices[Group], MATCH("~"&amp;Edges27[[#This Row],[Vertex 1]],GroupVertices[Vertex],0)),1,1,"")</f>
        <v>3</v>
      </c>
      <c r="BL13" s="80" t="str">
        <f>REPLACE(INDEX(GroupVertices[Group], MATCH("~"&amp;Edges27[[#This Row],[Vertex 2]],GroupVertices[Vertex],0)),1,1,"")</f>
        <v>3</v>
      </c>
      <c r="BM13" s="49"/>
      <c r="BN13" s="50"/>
      <c r="BO13" s="49"/>
      <c r="BP13" s="50"/>
      <c r="BQ13" s="49"/>
      <c r="BR13" s="50"/>
      <c r="BS13" s="49"/>
      <c r="BT13" s="50"/>
      <c r="BU13" s="49"/>
    </row>
    <row r="14" spans="1:73" x14ac:dyDescent="0.25">
      <c r="A14" s="65" t="s">
        <v>249</v>
      </c>
      <c r="B14" s="65" t="s">
        <v>317</v>
      </c>
      <c r="C14" s="66"/>
      <c r="D14" s="67"/>
      <c r="E14" s="68"/>
      <c r="F14" s="69"/>
      <c r="G14" s="66"/>
      <c r="H14" s="70"/>
      <c r="I14" s="71"/>
      <c r="J14" s="71"/>
      <c r="K14" s="35" t="s">
        <v>65</v>
      </c>
      <c r="L14" s="79">
        <v>27</v>
      </c>
      <c r="M14" s="79"/>
      <c r="N14" s="73"/>
      <c r="O14" s="81" t="s">
        <v>367</v>
      </c>
      <c r="P14" s="83">
        <v>45233.33766203704</v>
      </c>
      <c r="Q14" s="81" t="s">
        <v>382</v>
      </c>
      <c r="R14" s="81">
        <v>4</v>
      </c>
      <c r="S14" s="81">
        <v>15</v>
      </c>
      <c r="T14" s="81">
        <v>0</v>
      </c>
      <c r="U14" s="81">
        <v>1</v>
      </c>
      <c r="V14" s="81">
        <v>2001</v>
      </c>
      <c r="W14" s="84" t="s">
        <v>473</v>
      </c>
      <c r="X14" s="81"/>
      <c r="Y14" s="81"/>
      <c r="Z14" s="81" t="s">
        <v>526</v>
      </c>
      <c r="AA14" s="81"/>
      <c r="AB14" s="81"/>
      <c r="AC14" s="84" t="s">
        <v>579</v>
      </c>
      <c r="AD14" s="81" t="s">
        <v>588</v>
      </c>
      <c r="AE14" s="86" t="str">
        <f>HYPERLINK("https://twitter.com/jmcquarterly/status/1720351664719151216")</f>
        <v>https://twitter.com/jmcquarterly/status/1720351664719151216</v>
      </c>
      <c r="AF14" s="83">
        <v>45233.33766203704</v>
      </c>
      <c r="AG14" s="89">
        <v>45233</v>
      </c>
      <c r="AH14" s="84" t="s">
        <v>600</v>
      </c>
      <c r="AI14" s="81"/>
      <c r="AJ14" s="81"/>
      <c r="AK14" s="81"/>
      <c r="AL14" s="81"/>
      <c r="AM14" s="81"/>
      <c r="AN14" s="81"/>
      <c r="AO14" s="81"/>
      <c r="AP14" s="81"/>
      <c r="AQ14" s="81"/>
      <c r="AR14" s="81"/>
      <c r="AS14" s="81"/>
      <c r="AT14" s="81"/>
      <c r="AU14" s="81"/>
      <c r="AV14" s="86" t="str">
        <f>HYPERLINK("https://pbs.twimg.com/profile_images/1297970849820147712/3xME2yZ6_normal.jpg")</f>
        <v>https://pbs.twimg.com/profile_images/1297970849820147712/3xME2yZ6_normal.jpg</v>
      </c>
      <c r="AW14" s="84" t="s">
        <v>754</v>
      </c>
      <c r="AX14" s="84" t="s">
        <v>754</v>
      </c>
      <c r="AY14" s="81"/>
      <c r="AZ14" s="84" t="s">
        <v>879</v>
      </c>
      <c r="BA14" s="84" t="s">
        <v>879</v>
      </c>
      <c r="BB14" s="84" t="s">
        <v>879</v>
      </c>
      <c r="BC14" s="84" t="s">
        <v>754</v>
      </c>
      <c r="BD14" s="84" t="s">
        <v>876</v>
      </c>
      <c r="BE14" s="81"/>
      <c r="BF14" s="81"/>
      <c r="BG14" s="81"/>
      <c r="BH14" s="81"/>
      <c r="BI14" s="81"/>
      <c r="BJ14">
        <v>2</v>
      </c>
      <c r="BK14" s="80" t="str">
        <f>REPLACE(INDEX(GroupVertices[Group], MATCH("~"&amp;Edges27[[#This Row],[Vertex 1]],GroupVertices[Vertex],0)),1,1,"")</f>
        <v>3</v>
      </c>
      <c r="BL14" s="80" t="str">
        <f>REPLACE(INDEX(GroupVertices[Group], MATCH("~"&amp;Edges27[[#This Row],[Vertex 2]],GroupVertices[Vertex],0)),1,1,"")</f>
        <v>3</v>
      </c>
      <c r="BM14" s="49"/>
      <c r="BN14" s="50"/>
      <c r="BO14" s="49"/>
      <c r="BP14" s="50"/>
      <c r="BQ14" s="49"/>
      <c r="BR14" s="50"/>
      <c r="BS14" s="49"/>
      <c r="BT14" s="50"/>
      <c r="BU14" s="49"/>
    </row>
    <row r="15" spans="1:73" x14ac:dyDescent="0.25">
      <c r="A15" s="65" t="s">
        <v>250</v>
      </c>
      <c r="B15" s="65" t="s">
        <v>306</v>
      </c>
      <c r="C15" s="66"/>
      <c r="D15" s="67"/>
      <c r="E15" s="68"/>
      <c r="F15" s="69"/>
      <c r="G15" s="66"/>
      <c r="H15" s="70"/>
      <c r="I15" s="71"/>
      <c r="J15" s="71"/>
      <c r="K15" s="35" t="s">
        <v>65</v>
      </c>
      <c r="L15" s="79">
        <v>28</v>
      </c>
      <c r="M15" s="79"/>
      <c r="N15" s="73"/>
      <c r="O15" s="81" t="s">
        <v>365</v>
      </c>
      <c r="P15" s="83">
        <v>45235.41333333333</v>
      </c>
      <c r="Q15" s="81" t="s">
        <v>383</v>
      </c>
      <c r="R15" s="81">
        <v>4</v>
      </c>
      <c r="S15" s="81">
        <v>0</v>
      </c>
      <c r="T15" s="81">
        <v>0</v>
      </c>
      <c r="U15" s="81">
        <v>0</v>
      </c>
      <c r="V15" s="81"/>
      <c r="W15" s="81"/>
      <c r="X15" s="81"/>
      <c r="Y15" s="81"/>
      <c r="Z15" s="81" t="s">
        <v>306</v>
      </c>
      <c r="AA15" s="81"/>
      <c r="AB15" s="81"/>
      <c r="AC15" s="84" t="s">
        <v>580</v>
      </c>
      <c r="AD15" s="81" t="s">
        <v>588</v>
      </c>
      <c r="AE15" s="86" t="str">
        <f>HYPERLINK("https://twitter.com/profaanderson/status/1721103866161168535")</f>
        <v>https://twitter.com/profaanderson/status/1721103866161168535</v>
      </c>
      <c r="AF15" s="83">
        <v>45235.41333333333</v>
      </c>
      <c r="AG15" s="89">
        <v>45235</v>
      </c>
      <c r="AH15" s="84" t="s">
        <v>601</v>
      </c>
      <c r="AI15" s="81"/>
      <c r="AJ15" s="81"/>
      <c r="AK15" s="81"/>
      <c r="AL15" s="81"/>
      <c r="AM15" s="81"/>
      <c r="AN15" s="81"/>
      <c r="AO15" s="81"/>
      <c r="AP15" s="81"/>
      <c r="AQ15" s="81"/>
      <c r="AR15" s="81"/>
      <c r="AS15" s="81"/>
      <c r="AT15" s="81"/>
      <c r="AU15" s="81"/>
      <c r="AV15" s="86" t="str">
        <f>HYPERLINK("https://pbs.twimg.com/profile_images/1307781872748048384/FEcShCls_normal.jpg")</f>
        <v>https://pbs.twimg.com/profile_images/1307781872748048384/FEcShCls_normal.jpg</v>
      </c>
      <c r="AW15" s="84" t="s">
        <v>755</v>
      </c>
      <c r="AX15" s="84" t="s">
        <v>755</v>
      </c>
      <c r="AY15" s="81"/>
      <c r="AZ15" s="84" t="s">
        <v>879</v>
      </c>
      <c r="BA15" s="84" t="s">
        <v>879</v>
      </c>
      <c r="BB15" s="84" t="s">
        <v>870</v>
      </c>
      <c r="BC15" s="84" t="s">
        <v>870</v>
      </c>
      <c r="BD15" s="81">
        <v>374648509</v>
      </c>
      <c r="BE15" s="81"/>
      <c r="BF15" s="81"/>
      <c r="BG15" s="81"/>
      <c r="BH15" s="81"/>
      <c r="BI15" s="81"/>
      <c r="BJ15">
        <v>1</v>
      </c>
      <c r="BK15" s="80" t="str">
        <f>REPLACE(INDEX(GroupVertices[Group], MATCH("~"&amp;Edges27[[#This Row],[Vertex 1]],GroupVertices[Vertex],0)),1,1,"")</f>
        <v>7</v>
      </c>
      <c r="BL15" s="80" t="str">
        <f>REPLACE(INDEX(GroupVertices[Group], MATCH("~"&amp;Edges27[[#This Row],[Vertex 2]],GroupVertices[Vertex],0)),1,1,"")</f>
        <v>7</v>
      </c>
      <c r="BM15" s="49">
        <v>1</v>
      </c>
      <c r="BN15" s="50">
        <v>4.5454545454545459</v>
      </c>
      <c r="BO15" s="49">
        <v>0</v>
      </c>
      <c r="BP15" s="50">
        <v>0</v>
      </c>
      <c r="BQ15" s="49">
        <v>0</v>
      </c>
      <c r="BR15" s="50">
        <v>0</v>
      </c>
      <c r="BS15" s="49">
        <v>14</v>
      </c>
      <c r="BT15" s="50">
        <v>63.636363636363633</v>
      </c>
      <c r="BU15" s="49">
        <v>22</v>
      </c>
    </row>
    <row r="16" spans="1:73" x14ac:dyDescent="0.25">
      <c r="A16" s="65" t="s">
        <v>251</v>
      </c>
      <c r="B16" s="65" t="s">
        <v>251</v>
      </c>
      <c r="C16" s="66"/>
      <c r="D16" s="67"/>
      <c r="E16" s="68"/>
      <c r="F16" s="69"/>
      <c r="G16" s="66"/>
      <c r="H16" s="70"/>
      <c r="I16" s="71"/>
      <c r="J16" s="71"/>
      <c r="K16" s="35" t="s">
        <v>65</v>
      </c>
      <c r="L16" s="79">
        <v>29</v>
      </c>
      <c r="M16" s="79"/>
      <c r="N16" s="73"/>
      <c r="O16" s="81" t="s">
        <v>196</v>
      </c>
      <c r="P16" s="83">
        <v>45232.913831018515</v>
      </c>
      <c r="Q16" s="81" t="s">
        <v>384</v>
      </c>
      <c r="R16" s="81">
        <v>0</v>
      </c>
      <c r="S16" s="81">
        <v>0</v>
      </c>
      <c r="T16" s="81">
        <v>0</v>
      </c>
      <c r="U16" s="81">
        <v>0</v>
      </c>
      <c r="V16" s="81">
        <v>3</v>
      </c>
      <c r="W16" s="81"/>
      <c r="X16" s="81"/>
      <c r="Y16" s="81"/>
      <c r="Z16" s="81"/>
      <c r="AA16" s="81"/>
      <c r="AB16" s="81"/>
      <c r="AC16" s="84" t="s">
        <v>582</v>
      </c>
      <c r="AD16" s="81" t="s">
        <v>588</v>
      </c>
      <c r="AE16" s="86" t="str">
        <f>HYPERLINK("https://twitter.com/suzie_bell/status/1720198075702968765")</f>
        <v>https://twitter.com/suzie_bell/status/1720198075702968765</v>
      </c>
      <c r="AF16" s="83">
        <v>45232.913831018515</v>
      </c>
      <c r="AG16" s="89">
        <v>45232</v>
      </c>
      <c r="AH16" s="84" t="s">
        <v>602</v>
      </c>
      <c r="AI16" s="81"/>
      <c r="AJ16" s="81"/>
      <c r="AK16" s="81"/>
      <c r="AL16" s="81"/>
      <c r="AM16" s="81"/>
      <c r="AN16" s="81"/>
      <c r="AO16" s="81"/>
      <c r="AP16" s="81"/>
      <c r="AQ16" s="81"/>
      <c r="AR16" s="81"/>
      <c r="AS16" s="81"/>
      <c r="AT16" s="81"/>
      <c r="AU16" s="81"/>
      <c r="AV16" s="86" t="str">
        <f>HYPERLINK("https://abs.twimg.com/sticky/default_profile_images/default_profile_normal.png")</f>
        <v>https://abs.twimg.com/sticky/default_profile_images/default_profile_normal.png</v>
      </c>
      <c r="AW16" s="84" t="s">
        <v>756</v>
      </c>
      <c r="AX16" s="84" t="s">
        <v>756</v>
      </c>
      <c r="AY16" s="81"/>
      <c r="AZ16" s="84" t="s">
        <v>879</v>
      </c>
      <c r="BA16" s="84" t="s">
        <v>879</v>
      </c>
      <c r="BB16" s="84" t="s">
        <v>879</v>
      </c>
      <c r="BC16" s="84" t="s">
        <v>756</v>
      </c>
      <c r="BD16" s="84" t="s">
        <v>883</v>
      </c>
      <c r="BE16" s="81"/>
      <c r="BF16" s="81"/>
      <c r="BG16" s="81"/>
      <c r="BH16" s="81"/>
      <c r="BI16" s="81"/>
      <c r="BJ16">
        <v>1</v>
      </c>
      <c r="BK16" s="80" t="str">
        <f>REPLACE(INDEX(GroupVertices[Group], MATCH("~"&amp;Edges27[[#This Row],[Vertex 1]],GroupVertices[Vertex],0)),1,1,"")</f>
        <v>13</v>
      </c>
      <c r="BL16" s="80" t="str">
        <f>REPLACE(INDEX(GroupVertices[Group], MATCH("~"&amp;Edges27[[#This Row],[Vertex 2]],GroupVertices[Vertex],0)),1,1,"")</f>
        <v>13</v>
      </c>
      <c r="BM16" s="49">
        <v>0</v>
      </c>
      <c r="BN16" s="50">
        <v>0</v>
      </c>
      <c r="BO16" s="49">
        <v>0</v>
      </c>
      <c r="BP16" s="50">
        <v>0</v>
      </c>
      <c r="BQ16" s="49">
        <v>0</v>
      </c>
      <c r="BR16" s="50">
        <v>0</v>
      </c>
      <c r="BS16" s="49">
        <v>25</v>
      </c>
      <c r="BT16" s="50">
        <v>62.5</v>
      </c>
      <c r="BU16" s="49">
        <v>40</v>
      </c>
    </row>
    <row r="17" spans="1:73" x14ac:dyDescent="0.25">
      <c r="A17" s="65" t="s">
        <v>252</v>
      </c>
      <c r="B17" s="65" t="s">
        <v>318</v>
      </c>
      <c r="C17" s="66"/>
      <c r="D17" s="67"/>
      <c r="E17" s="68"/>
      <c r="F17" s="69"/>
      <c r="G17" s="66"/>
      <c r="H17" s="70"/>
      <c r="I17" s="71"/>
      <c r="J17" s="71"/>
      <c r="K17" s="35" t="s">
        <v>65</v>
      </c>
      <c r="L17" s="79">
        <v>30</v>
      </c>
      <c r="M17" s="79"/>
      <c r="N17" s="73"/>
      <c r="O17" s="81" t="s">
        <v>367</v>
      </c>
      <c r="P17" s="83">
        <v>45231.96466435185</v>
      </c>
      <c r="Q17" s="81" t="s">
        <v>385</v>
      </c>
      <c r="R17" s="81">
        <v>5</v>
      </c>
      <c r="S17" s="81">
        <v>8</v>
      </c>
      <c r="T17" s="81">
        <v>0</v>
      </c>
      <c r="U17" s="81">
        <v>1</v>
      </c>
      <c r="V17" s="81">
        <v>1786</v>
      </c>
      <c r="W17" s="84" t="s">
        <v>474</v>
      </c>
      <c r="X17" s="86" t="str">
        <f>HYPERLINK("https://www.higheredjobs.com/faculty/details.cfm?JobCode=178594235")</f>
        <v>https://www.higheredjobs.com/faculty/details.cfm?JobCode=178594235</v>
      </c>
      <c r="Y17" s="81" t="s">
        <v>498</v>
      </c>
      <c r="Z17" s="81" t="s">
        <v>527</v>
      </c>
      <c r="AA17" s="81"/>
      <c r="AB17" s="81"/>
      <c r="AC17" s="84" t="s">
        <v>580</v>
      </c>
      <c r="AD17" s="81" t="s">
        <v>588</v>
      </c>
      <c r="AE17" s="86" t="str">
        <f>HYPERLINK("https://twitter.com/willthewordguy/status/1719854110231371957")</f>
        <v>https://twitter.com/willthewordguy/status/1719854110231371957</v>
      </c>
      <c r="AF17" s="83">
        <v>45231.96466435185</v>
      </c>
      <c r="AG17" s="89">
        <v>45231</v>
      </c>
      <c r="AH17" s="84" t="s">
        <v>603</v>
      </c>
      <c r="AI17" s="81" t="b">
        <v>0</v>
      </c>
      <c r="AJ17" s="81"/>
      <c r="AK17" s="81"/>
      <c r="AL17" s="81"/>
      <c r="AM17" s="81"/>
      <c r="AN17" s="81"/>
      <c r="AO17" s="81"/>
      <c r="AP17" s="81"/>
      <c r="AQ17" s="81"/>
      <c r="AR17" s="81"/>
      <c r="AS17" s="81"/>
      <c r="AT17" s="81"/>
      <c r="AU17" s="81"/>
      <c r="AV17" s="86" t="str">
        <f>HYPERLINK("https://pbs.twimg.com/profile_images/1331376273755664384/mF7tQg3B_normal.jpg")</f>
        <v>https://pbs.twimg.com/profile_images/1331376273755664384/mF7tQg3B_normal.jpg</v>
      </c>
      <c r="AW17" s="84" t="s">
        <v>757</v>
      </c>
      <c r="AX17" s="84" t="s">
        <v>757</v>
      </c>
      <c r="AY17" s="81"/>
      <c r="AZ17" s="84" t="s">
        <v>879</v>
      </c>
      <c r="BA17" s="84" t="s">
        <v>879</v>
      </c>
      <c r="BB17" s="84" t="s">
        <v>879</v>
      </c>
      <c r="BC17" s="84" t="s">
        <v>757</v>
      </c>
      <c r="BD17" s="81">
        <v>414179273</v>
      </c>
      <c r="BE17" s="81"/>
      <c r="BF17" s="81"/>
      <c r="BG17" s="81"/>
      <c r="BH17" s="81"/>
      <c r="BI17" s="81"/>
      <c r="BJ17">
        <v>1</v>
      </c>
      <c r="BK17" s="80" t="str">
        <f>REPLACE(INDEX(GroupVertices[Group], MATCH("~"&amp;Edges27[[#This Row],[Vertex 1]],GroupVertices[Vertex],0)),1,1,"")</f>
        <v>2</v>
      </c>
      <c r="BL17" s="80" t="str">
        <f>REPLACE(INDEX(GroupVertices[Group], MATCH("~"&amp;Edges27[[#This Row],[Vertex 2]],GroupVertices[Vertex],0)),1,1,"")</f>
        <v>2</v>
      </c>
      <c r="BM17" s="49"/>
      <c r="BN17" s="50"/>
      <c r="BO17" s="49"/>
      <c r="BP17" s="50"/>
      <c r="BQ17" s="49"/>
      <c r="BR17" s="50"/>
      <c r="BS17" s="49"/>
      <c r="BT17" s="50"/>
      <c r="BU17" s="49"/>
    </row>
    <row r="18" spans="1:73" x14ac:dyDescent="0.25">
      <c r="A18" s="65" t="s">
        <v>253</v>
      </c>
      <c r="B18" s="65" t="s">
        <v>289</v>
      </c>
      <c r="C18" s="66"/>
      <c r="D18" s="67"/>
      <c r="E18" s="68"/>
      <c r="F18" s="69"/>
      <c r="G18" s="66"/>
      <c r="H18" s="70"/>
      <c r="I18" s="71"/>
      <c r="J18" s="71"/>
      <c r="K18" s="35" t="s">
        <v>65</v>
      </c>
      <c r="L18" s="79">
        <v>32</v>
      </c>
      <c r="M18" s="79"/>
      <c r="N18" s="73"/>
      <c r="O18" s="81" t="s">
        <v>365</v>
      </c>
      <c r="P18" s="83">
        <v>45230.847384259258</v>
      </c>
      <c r="Q18" s="81" t="s">
        <v>372</v>
      </c>
      <c r="R18" s="81">
        <v>5</v>
      </c>
      <c r="S18" s="81">
        <v>0</v>
      </c>
      <c r="T18" s="81">
        <v>0</v>
      </c>
      <c r="U18" s="81">
        <v>0</v>
      </c>
      <c r="V18" s="81"/>
      <c r="W18" s="81"/>
      <c r="X18" s="81"/>
      <c r="Y18" s="81"/>
      <c r="Z18" s="81" t="s">
        <v>289</v>
      </c>
      <c r="AA18" s="81"/>
      <c r="AB18" s="81"/>
      <c r="AC18" s="84" t="s">
        <v>582</v>
      </c>
      <c r="AD18" s="81" t="s">
        <v>588</v>
      </c>
      <c r="AE18" s="86" t="str">
        <f>HYPERLINK("https://twitter.com/carabyrd/status/1719449220498022851")</f>
        <v>https://twitter.com/carabyrd/status/1719449220498022851</v>
      </c>
      <c r="AF18" s="83">
        <v>45230.847384259258</v>
      </c>
      <c r="AG18" s="89">
        <v>45230</v>
      </c>
      <c r="AH18" s="84" t="s">
        <v>604</v>
      </c>
      <c r="AI18" s="81" t="b">
        <v>0</v>
      </c>
      <c r="AJ18" s="81"/>
      <c r="AK18" s="81"/>
      <c r="AL18" s="81"/>
      <c r="AM18" s="81"/>
      <c r="AN18" s="81"/>
      <c r="AO18" s="81"/>
      <c r="AP18" s="81"/>
      <c r="AQ18" s="81"/>
      <c r="AR18" s="81"/>
      <c r="AS18" s="81"/>
      <c r="AT18" s="81"/>
      <c r="AU18" s="81"/>
      <c r="AV18" s="86" t="str">
        <f>HYPERLINK("https://pbs.twimg.com/profile_images/1641843825688838144/sHCTtMet_normal.jpg")</f>
        <v>https://pbs.twimg.com/profile_images/1641843825688838144/sHCTtMet_normal.jpg</v>
      </c>
      <c r="AW18" s="84" t="s">
        <v>758</v>
      </c>
      <c r="AX18" s="84" t="s">
        <v>758</v>
      </c>
      <c r="AY18" s="81"/>
      <c r="AZ18" s="84" t="s">
        <v>879</v>
      </c>
      <c r="BA18" s="84" t="s">
        <v>879</v>
      </c>
      <c r="BB18" s="84" t="s">
        <v>839</v>
      </c>
      <c r="BC18" s="84" t="s">
        <v>839</v>
      </c>
      <c r="BD18" s="81">
        <v>17179241</v>
      </c>
      <c r="BE18" s="81"/>
      <c r="BF18" s="81"/>
      <c r="BG18" s="81"/>
      <c r="BH18" s="81"/>
      <c r="BI18" s="81"/>
      <c r="BJ18">
        <v>1</v>
      </c>
      <c r="BK18" s="80" t="str">
        <f>REPLACE(INDEX(GroupVertices[Group], MATCH("~"&amp;Edges27[[#This Row],[Vertex 1]],GroupVertices[Vertex],0)),1,1,"")</f>
        <v>10</v>
      </c>
      <c r="BL18" s="80" t="str">
        <f>REPLACE(INDEX(GroupVertices[Group], MATCH("~"&amp;Edges27[[#This Row],[Vertex 2]],GroupVertices[Vertex],0)),1,1,"")</f>
        <v>10</v>
      </c>
      <c r="BM18" s="49">
        <v>0</v>
      </c>
      <c r="BN18" s="50">
        <v>0</v>
      </c>
      <c r="BO18" s="49">
        <v>0</v>
      </c>
      <c r="BP18" s="50">
        <v>0</v>
      </c>
      <c r="BQ18" s="49">
        <v>0</v>
      </c>
      <c r="BR18" s="50">
        <v>0</v>
      </c>
      <c r="BS18" s="49">
        <v>13</v>
      </c>
      <c r="BT18" s="50">
        <v>54.166666666666664</v>
      </c>
      <c r="BU18" s="49">
        <v>24</v>
      </c>
    </row>
    <row r="19" spans="1:73" x14ac:dyDescent="0.25">
      <c r="A19" s="65" t="s">
        <v>253</v>
      </c>
      <c r="B19" s="65" t="s">
        <v>261</v>
      </c>
      <c r="C19" s="66"/>
      <c r="D19" s="67"/>
      <c r="E19" s="68"/>
      <c r="F19" s="69"/>
      <c r="G19" s="66"/>
      <c r="H19" s="70"/>
      <c r="I19" s="71"/>
      <c r="J19" s="71"/>
      <c r="K19" s="35" t="s">
        <v>65</v>
      </c>
      <c r="L19" s="79">
        <v>33</v>
      </c>
      <c r="M19" s="79"/>
      <c r="N19" s="73"/>
      <c r="O19" s="81" t="s">
        <v>366</v>
      </c>
      <c r="P19" s="83">
        <v>45234.834687499999</v>
      </c>
      <c r="Q19" s="81" t="s">
        <v>386</v>
      </c>
      <c r="R19" s="81">
        <v>1</v>
      </c>
      <c r="S19" s="81">
        <v>0</v>
      </c>
      <c r="T19" s="81">
        <v>0</v>
      </c>
      <c r="U19" s="81">
        <v>0</v>
      </c>
      <c r="V19" s="81"/>
      <c r="W19" s="84" t="s">
        <v>475</v>
      </c>
      <c r="X19" s="81"/>
      <c r="Y19" s="81"/>
      <c r="Z19" s="81" t="s">
        <v>528</v>
      </c>
      <c r="AA19" s="81"/>
      <c r="AB19" s="81"/>
      <c r="AC19" s="84" t="s">
        <v>579</v>
      </c>
      <c r="AD19" s="81" t="s">
        <v>588</v>
      </c>
      <c r="AE19" s="86" t="str">
        <f>HYPERLINK("https://twitter.com/carabyrd/status/1720894169428988212")</f>
        <v>https://twitter.com/carabyrd/status/1720894169428988212</v>
      </c>
      <c r="AF19" s="83">
        <v>45234.834687499999</v>
      </c>
      <c r="AG19" s="89">
        <v>45234</v>
      </c>
      <c r="AH19" s="84" t="s">
        <v>605</v>
      </c>
      <c r="AI19" s="81"/>
      <c r="AJ19" s="81"/>
      <c r="AK19" s="81"/>
      <c r="AL19" s="81"/>
      <c r="AM19" s="81"/>
      <c r="AN19" s="81"/>
      <c r="AO19" s="81"/>
      <c r="AP19" s="81"/>
      <c r="AQ19" s="81"/>
      <c r="AR19" s="81"/>
      <c r="AS19" s="81"/>
      <c r="AT19" s="81"/>
      <c r="AU19" s="81"/>
      <c r="AV19" s="86" t="str">
        <f>HYPERLINK("https://pbs.twimg.com/profile_images/1641843825688838144/sHCTtMet_normal.jpg")</f>
        <v>https://pbs.twimg.com/profile_images/1641843825688838144/sHCTtMet_normal.jpg</v>
      </c>
      <c r="AW19" s="84" t="s">
        <v>759</v>
      </c>
      <c r="AX19" s="84" t="s">
        <v>759</v>
      </c>
      <c r="AY19" s="81"/>
      <c r="AZ19" s="84" t="s">
        <v>879</v>
      </c>
      <c r="BA19" s="84" t="s">
        <v>879</v>
      </c>
      <c r="BB19" s="84" t="s">
        <v>770</v>
      </c>
      <c r="BC19" s="84" t="s">
        <v>770</v>
      </c>
      <c r="BD19" s="81">
        <v>17179241</v>
      </c>
      <c r="BE19" s="81"/>
      <c r="BF19" s="81"/>
      <c r="BG19" s="81"/>
      <c r="BH19" s="81"/>
      <c r="BI19" s="81"/>
      <c r="BJ19">
        <v>1</v>
      </c>
      <c r="BK19" s="80" t="str">
        <f>REPLACE(INDEX(GroupVertices[Group], MATCH("~"&amp;Edges27[[#This Row],[Vertex 1]],GroupVertices[Vertex],0)),1,1,"")</f>
        <v>10</v>
      </c>
      <c r="BL19" s="80" t="str">
        <f>REPLACE(INDEX(GroupVertices[Group], MATCH("~"&amp;Edges27[[#This Row],[Vertex 2]],GroupVertices[Vertex],0)),1,1,"")</f>
        <v>2</v>
      </c>
      <c r="BM19" s="49"/>
      <c r="BN19" s="50"/>
      <c r="BO19" s="49"/>
      <c r="BP19" s="50"/>
      <c r="BQ19" s="49"/>
      <c r="BR19" s="50"/>
      <c r="BS19" s="49"/>
      <c r="BT19" s="50"/>
      <c r="BU19" s="49"/>
    </row>
    <row r="20" spans="1:73" x14ac:dyDescent="0.25">
      <c r="A20" s="65" t="s">
        <v>254</v>
      </c>
      <c r="B20" s="65" t="s">
        <v>261</v>
      </c>
      <c r="C20" s="66"/>
      <c r="D20" s="67"/>
      <c r="E20" s="68"/>
      <c r="F20" s="69"/>
      <c r="G20" s="66"/>
      <c r="H20" s="70"/>
      <c r="I20" s="71"/>
      <c r="J20" s="71"/>
      <c r="K20" s="35" t="s">
        <v>65</v>
      </c>
      <c r="L20" s="79">
        <v>35</v>
      </c>
      <c r="M20" s="79"/>
      <c r="N20" s="73"/>
      <c r="O20" s="81" t="s">
        <v>366</v>
      </c>
      <c r="P20" s="83">
        <v>45231.083877314813</v>
      </c>
      <c r="Q20" s="81" t="s">
        <v>387</v>
      </c>
      <c r="R20" s="81">
        <v>2</v>
      </c>
      <c r="S20" s="81">
        <v>0</v>
      </c>
      <c r="T20" s="81">
        <v>0</v>
      </c>
      <c r="U20" s="81">
        <v>0</v>
      </c>
      <c r="V20" s="81"/>
      <c r="W20" s="84" t="s">
        <v>476</v>
      </c>
      <c r="X20" s="86" t="str">
        <f>HYPERLINK("https://www.schooljobs.com/careers/bgsu/jobs/4264712/assistant-professor-school-of-media-and-communication?page=3&amp;pagetype=jobOpportunitiesJobs")</f>
        <v>https://www.schooljobs.com/careers/bgsu/jobs/4264712/assistant-professor-school-of-media-and-communication?page=3&amp;pagetype=jobOpportunitiesJobs</v>
      </c>
      <c r="Y20" s="81" t="s">
        <v>499</v>
      </c>
      <c r="Z20" s="81" t="s">
        <v>529</v>
      </c>
      <c r="AA20" s="81"/>
      <c r="AB20" s="81"/>
      <c r="AC20" s="84" t="s">
        <v>582</v>
      </c>
      <c r="AD20" s="81" t="s">
        <v>588</v>
      </c>
      <c r="AE20" s="86" t="str">
        <f>HYPERLINK("https://twitter.com/j_o_rawlins/status/1719534921486901428")</f>
        <v>https://twitter.com/j_o_rawlins/status/1719534921486901428</v>
      </c>
      <c r="AF20" s="83">
        <v>45231.083877314813</v>
      </c>
      <c r="AG20" s="89">
        <v>45231</v>
      </c>
      <c r="AH20" s="84" t="s">
        <v>606</v>
      </c>
      <c r="AI20" s="81" t="b">
        <v>0</v>
      </c>
      <c r="AJ20" s="81"/>
      <c r="AK20" s="81"/>
      <c r="AL20" s="81"/>
      <c r="AM20" s="81"/>
      <c r="AN20" s="81"/>
      <c r="AO20" s="81"/>
      <c r="AP20" s="81"/>
      <c r="AQ20" s="81"/>
      <c r="AR20" s="81"/>
      <c r="AS20" s="81"/>
      <c r="AT20" s="81"/>
      <c r="AU20" s="81"/>
      <c r="AV20" s="86" t="str">
        <f>HYPERLINK("https://pbs.twimg.com/profile_images/1380239699550298115/81rHaRRe_normal.jpg")</f>
        <v>https://pbs.twimg.com/profile_images/1380239699550298115/81rHaRRe_normal.jpg</v>
      </c>
      <c r="AW20" s="84" t="s">
        <v>760</v>
      </c>
      <c r="AX20" s="84" t="s">
        <v>760</v>
      </c>
      <c r="AY20" s="81"/>
      <c r="AZ20" s="84" t="s">
        <v>879</v>
      </c>
      <c r="BA20" s="84" t="s">
        <v>879</v>
      </c>
      <c r="BB20" s="84" t="s">
        <v>766</v>
      </c>
      <c r="BC20" s="84" t="s">
        <v>766</v>
      </c>
      <c r="BD20" s="81">
        <v>445932915</v>
      </c>
      <c r="BE20" s="81"/>
      <c r="BF20" s="81"/>
      <c r="BG20" s="81"/>
      <c r="BH20" s="81"/>
      <c r="BI20" s="81"/>
      <c r="BJ20">
        <v>1</v>
      </c>
      <c r="BK20" s="80" t="str">
        <f>REPLACE(INDEX(GroupVertices[Group], MATCH("~"&amp;Edges27[[#This Row],[Vertex 1]],GroupVertices[Vertex],0)),1,1,"")</f>
        <v>2</v>
      </c>
      <c r="BL20" s="80" t="str">
        <f>REPLACE(INDEX(GroupVertices[Group], MATCH("~"&amp;Edges27[[#This Row],[Vertex 2]],GroupVertices[Vertex],0)),1,1,"")</f>
        <v>2</v>
      </c>
      <c r="BM20" s="49"/>
      <c r="BN20" s="50"/>
      <c r="BO20" s="49"/>
      <c r="BP20" s="50"/>
      <c r="BQ20" s="49"/>
      <c r="BR20" s="50"/>
      <c r="BS20" s="49"/>
      <c r="BT20" s="50"/>
      <c r="BU20" s="49"/>
    </row>
    <row r="21" spans="1:73" x14ac:dyDescent="0.25">
      <c r="A21" s="65" t="s">
        <v>255</v>
      </c>
      <c r="B21" s="65" t="s">
        <v>268</v>
      </c>
      <c r="C21" s="66"/>
      <c r="D21" s="67"/>
      <c r="E21" s="68"/>
      <c r="F21" s="69"/>
      <c r="G21" s="66"/>
      <c r="H21" s="70"/>
      <c r="I21" s="71"/>
      <c r="J21" s="71"/>
      <c r="K21" s="35" t="s">
        <v>65</v>
      </c>
      <c r="L21" s="79">
        <v>39</v>
      </c>
      <c r="M21" s="79"/>
      <c r="N21" s="73"/>
      <c r="O21" s="81" t="s">
        <v>366</v>
      </c>
      <c r="P21" s="83">
        <v>45233.074571759258</v>
      </c>
      <c r="Q21" s="81" t="s">
        <v>388</v>
      </c>
      <c r="R21" s="81">
        <v>2</v>
      </c>
      <c r="S21" s="81">
        <v>0</v>
      </c>
      <c r="T21" s="81">
        <v>0</v>
      </c>
      <c r="U21" s="81">
        <v>0</v>
      </c>
      <c r="V21" s="81"/>
      <c r="W21" s="84" t="s">
        <v>476</v>
      </c>
      <c r="X21" s="86" t="str">
        <f>HYPERLINK("https://employment.marquette.edu/postings/20457")</f>
        <v>https://employment.marquette.edu/postings/20457</v>
      </c>
      <c r="Y21" s="81" t="s">
        <v>500</v>
      </c>
      <c r="Z21" s="81" t="s">
        <v>530</v>
      </c>
      <c r="AA21" s="81"/>
      <c r="AB21" s="81"/>
      <c r="AC21" s="84" t="s">
        <v>582</v>
      </c>
      <c r="AD21" s="81" t="s">
        <v>588</v>
      </c>
      <c r="AE21" s="86" t="str">
        <f>HYPERLINK("https://twitter.com/workacademic/status/1720256325337440397")</f>
        <v>https://twitter.com/workacademic/status/1720256325337440397</v>
      </c>
      <c r="AF21" s="83">
        <v>45233.074571759258</v>
      </c>
      <c r="AG21" s="89">
        <v>45233</v>
      </c>
      <c r="AH21" s="84" t="s">
        <v>607</v>
      </c>
      <c r="AI21" s="81" t="b">
        <v>0</v>
      </c>
      <c r="AJ21" s="81"/>
      <c r="AK21" s="81"/>
      <c r="AL21" s="81"/>
      <c r="AM21" s="81"/>
      <c r="AN21" s="81"/>
      <c r="AO21" s="81"/>
      <c r="AP21" s="81"/>
      <c r="AQ21" s="81"/>
      <c r="AR21" s="81"/>
      <c r="AS21" s="81"/>
      <c r="AT21" s="81"/>
      <c r="AU21" s="81"/>
      <c r="AV21" s="86" t="str">
        <f>HYPERLINK("https://pbs.twimg.com/profile_images/1311339449926598657/wnL-4fEN_normal.jpg")</f>
        <v>https://pbs.twimg.com/profile_images/1311339449926598657/wnL-4fEN_normal.jpg</v>
      </c>
      <c r="AW21" s="84" t="s">
        <v>761</v>
      </c>
      <c r="AX21" s="84" t="s">
        <v>761</v>
      </c>
      <c r="AY21" s="81"/>
      <c r="AZ21" s="84" t="s">
        <v>879</v>
      </c>
      <c r="BA21" s="84" t="s">
        <v>879</v>
      </c>
      <c r="BB21" s="84" t="s">
        <v>855</v>
      </c>
      <c r="BC21" s="84" t="s">
        <v>855</v>
      </c>
      <c r="BD21" s="84" t="s">
        <v>884</v>
      </c>
      <c r="BE21" s="81"/>
      <c r="BF21" s="81"/>
      <c r="BG21" s="81"/>
      <c r="BH21" s="81"/>
      <c r="BI21" s="81"/>
      <c r="BJ21">
        <v>1</v>
      </c>
      <c r="BK21" s="80" t="str">
        <f>REPLACE(INDEX(GroupVertices[Group], MATCH("~"&amp;Edges27[[#This Row],[Vertex 1]],GroupVertices[Vertex],0)),1,1,"")</f>
        <v>1</v>
      </c>
      <c r="BL21" s="80" t="str">
        <f>REPLACE(INDEX(GroupVertices[Group], MATCH("~"&amp;Edges27[[#This Row],[Vertex 2]],GroupVertices[Vertex],0)),1,1,"")</f>
        <v>1</v>
      </c>
      <c r="BM21" s="49"/>
      <c r="BN21" s="50"/>
      <c r="BO21" s="49"/>
      <c r="BP21" s="50"/>
      <c r="BQ21" s="49"/>
      <c r="BR21" s="50"/>
      <c r="BS21" s="49"/>
      <c r="BT21" s="50"/>
      <c r="BU21" s="49"/>
    </row>
    <row r="22" spans="1:73" x14ac:dyDescent="0.25">
      <c r="A22" s="65" t="s">
        <v>256</v>
      </c>
      <c r="B22" s="65" t="s">
        <v>312</v>
      </c>
      <c r="C22" s="66"/>
      <c r="D22" s="67"/>
      <c r="E22" s="68"/>
      <c r="F22" s="69"/>
      <c r="G22" s="66"/>
      <c r="H22" s="70"/>
      <c r="I22" s="71"/>
      <c r="J22" s="71"/>
      <c r="K22" s="35" t="s">
        <v>65</v>
      </c>
      <c r="L22" s="79">
        <v>41</v>
      </c>
      <c r="M22" s="79"/>
      <c r="N22" s="73"/>
      <c r="O22" s="81" t="s">
        <v>366</v>
      </c>
      <c r="P22" s="83">
        <v>45231.994120370371</v>
      </c>
      <c r="Q22" s="81" t="s">
        <v>379</v>
      </c>
      <c r="R22" s="81">
        <v>5</v>
      </c>
      <c r="S22" s="81">
        <v>0</v>
      </c>
      <c r="T22" s="81">
        <v>0</v>
      </c>
      <c r="U22" s="81">
        <v>0</v>
      </c>
      <c r="V22" s="81"/>
      <c r="W22" s="81"/>
      <c r="X22" s="81"/>
      <c r="Y22" s="81"/>
      <c r="Z22" s="81" t="s">
        <v>523</v>
      </c>
      <c r="AA22" s="81"/>
      <c r="AB22" s="81"/>
      <c r="AC22" s="84" t="s">
        <v>580</v>
      </c>
      <c r="AD22" s="81" t="s">
        <v>588</v>
      </c>
      <c r="AE22" s="86" t="str">
        <f>HYPERLINK("https://twitter.com/princeadugyamf6/status/1719864784147878315")</f>
        <v>https://twitter.com/princeadugyamf6/status/1719864784147878315</v>
      </c>
      <c r="AF22" s="83">
        <v>45231.994120370371</v>
      </c>
      <c r="AG22" s="89">
        <v>45231</v>
      </c>
      <c r="AH22" s="84" t="s">
        <v>608</v>
      </c>
      <c r="AI22" s="81"/>
      <c r="AJ22" s="81"/>
      <c r="AK22" s="81"/>
      <c r="AL22" s="81"/>
      <c r="AM22" s="81"/>
      <c r="AN22" s="81"/>
      <c r="AO22" s="81"/>
      <c r="AP22" s="81"/>
      <c r="AQ22" s="81"/>
      <c r="AR22" s="81"/>
      <c r="AS22" s="81"/>
      <c r="AT22" s="81"/>
      <c r="AU22" s="81"/>
      <c r="AV22" s="86" t="str">
        <f>HYPERLINK("https://pbs.twimg.com/profile_images/1702778522324946944/SRV3oyhE_normal.jpg")</f>
        <v>https://pbs.twimg.com/profile_images/1702778522324946944/SRV3oyhE_normal.jpg</v>
      </c>
      <c r="AW22" s="84" t="s">
        <v>762</v>
      </c>
      <c r="AX22" s="84" t="s">
        <v>762</v>
      </c>
      <c r="AY22" s="81"/>
      <c r="AZ22" s="84" t="s">
        <v>879</v>
      </c>
      <c r="BA22" s="84" t="s">
        <v>879</v>
      </c>
      <c r="BB22" s="84" t="s">
        <v>757</v>
      </c>
      <c r="BC22" s="84" t="s">
        <v>757</v>
      </c>
      <c r="BD22" s="81">
        <v>890840216</v>
      </c>
      <c r="BE22" s="81"/>
      <c r="BF22" s="81"/>
      <c r="BG22" s="81"/>
      <c r="BH22" s="81"/>
      <c r="BI22" s="81"/>
      <c r="BJ22">
        <v>1</v>
      </c>
      <c r="BK22" s="80" t="str">
        <f>REPLACE(INDEX(GroupVertices[Group], MATCH("~"&amp;Edges27[[#This Row],[Vertex 1]],GroupVertices[Vertex],0)),1,1,"")</f>
        <v>2</v>
      </c>
      <c r="BL22" s="80" t="str">
        <f>REPLACE(INDEX(GroupVertices[Group], MATCH("~"&amp;Edges27[[#This Row],[Vertex 2]],GroupVertices[Vertex],0)),1,1,"")</f>
        <v>2</v>
      </c>
      <c r="BM22" s="49"/>
      <c r="BN22" s="50"/>
      <c r="BO22" s="49"/>
      <c r="BP22" s="50"/>
      <c r="BQ22" s="49"/>
      <c r="BR22" s="50"/>
      <c r="BS22" s="49"/>
      <c r="BT22" s="50"/>
      <c r="BU22" s="49"/>
    </row>
    <row r="23" spans="1:73" x14ac:dyDescent="0.25">
      <c r="A23" s="65" t="s">
        <v>257</v>
      </c>
      <c r="B23" s="65" t="s">
        <v>258</v>
      </c>
      <c r="C23" s="66"/>
      <c r="D23" s="67"/>
      <c r="E23" s="68"/>
      <c r="F23" s="69"/>
      <c r="G23" s="66"/>
      <c r="H23" s="70"/>
      <c r="I23" s="71"/>
      <c r="J23" s="71"/>
      <c r="K23" s="35" t="s">
        <v>66</v>
      </c>
      <c r="L23" s="79">
        <v>43</v>
      </c>
      <c r="M23" s="79"/>
      <c r="N23" s="73"/>
      <c r="O23" s="81" t="s">
        <v>367</v>
      </c>
      <c r="P23" s="83">
        <v>45228.975543981483</v>
      </c>
      <c r="Q23" s="81" t="s">
        <v>389</v>
      </c>
      <c r="R23" s="81">
        <v>2</v>
      </c>
      <c r="S23" s="81">
        <v>7</v>
      </c>
      <c r="T23" s="81">
        <v>0</v>
      </c>
      <c r="U23" s="81">
        <v>0</v>
      </c>
      <c r="V23" s="81">
        <v>901</v>
      </c>
      <c r="W23" s="81"/>
      <c r="X23" s="86" t="str">
        <f>HYPERLINK("https://isu.wd1.myworkdayjobs.com/en-US/IowaStateJobs/job/Assistant-Professor-of-Practice-or-Assistant-Teaching-Professor-in-Broadcast-Media-and-Video-Production_R13235")</f>
        <v>https://isu.wd1.myworkdayjobs.com/en-US/IowaStateJobs/job/Assistant-Professor-of-Practice-or-Assistant-Teaching-Professor-in-Broadcast-Media-and-Video-Production_R13235</v>
      </c>
      <c r="Y23" s="81" t="s">
        <v>501</v>
      </c>
      <c r="Z23" s="81" t="s">
        <v>531</v>
      </c>
      <c r="AA23" s="81"/>
      <c r="AB23" s="81"/>
      <c r="AC23" s="84" t="s">
        <v>582</v>
      </c>
      <c r="AD23" s="81" t="s">
        <v>588</v>
      </c>
      <c r="AE23" s="86" t="str">
        <f>HYPERLINK("https://twitter.com/janlaurenb/status/1718770888999411881")</f>
        <v>https://twitter.com/janlaurenb/status/1718770888999411881</v>
      </c>
      <c r="AF23" s="83">
        <v>45228.975543981483</v>
      </c>
      <c r="AG23" s="89">
        <v>45228</v>
      </c>
      <c r="AH23" s="84" t="s">
        <v>609</v>
      </c>
      <c r="AI23" s="81" t="b">
        <v>0</v>
      </c>
      <c r="AJ23" s="81"/>
      <c r="AK23" s="81"/>
      <c r="AL23" s="81"/>
      <c r="AM23" s="81"/>
      <c r="AN23" s="81"/>
      <c r="AO23" s="81"/>
      <c r="AP23" s="81"/>
      <c r="AQ23" s="81"/>
      <c r="AR23" s="81"/>
      <c r="AS23" s="81"/>
      <c r="AT23" s="81"/>
      <c r="AU23" s="81"/>
      <c r="AV23" s="86" t="str">
        <f>HYPERLINK("https://pbs.twimg.com/profile_images/1662608670343962627/AZ_wcehv_normal.jpg")</f>
        <v>https://pbs.twimg.com/profile_images/1662608670343962627/AZ_wcehv_normal.jpg</v>
      </c>
      <c r="AW23" s="84" t="s">
        <v>763</v>
      </c>
      <c r="AX23" s="84" t="s">
        <v>763</v>
      </c>
      <c r="AY23" s="81"/>
      <c r="AZ23" s="84" t="s">
        <v>879</v>
      </c>
      <c r="BA23" s="84" t="s">
        <v>879</v>
      </c>
      <c r="BB23" s="84" t="s">
        <v>879</v>
      </c>
      <c r="BC23" s="84" t="s">
        <v>763</v>
      </c>
      <c r="BD23" s="81">
        <v>27266818</v>
      </c>
      <c r="BE23" s="81"/>
      <c r="BF23" s="81"/>
      <c r="BG23" s="81"/>
      <c r="BH23" s="81"/>
      <c r="BI23" s="81"/>
      <c r="BJ23">
        <v>1</v>
      </c>
      <c r="BK23" s="80" t="str">
        <f>REPLACE(INDEX(GroupVertices[Group], MATCH("~"&amp;Edges27[[#This Row],[Vertex 1]],GroupVertices[Vertex],0)),1,1,"")</f>
        <v>2</v>
      </c>
      <c r="BL23" s="80" t="str">
        <f>REPLACE(INDEX(GroupVertices[Group], MATCH("~"&amp;Edges27[[#This Row],[Vertex 2]],GroupVertices[Vertex],0)),1,1,"")</f>
        <v>2</v>
      </c>
      <c r="BM23" s="49">
        <v>0</v>
      </c>
      <c r="BN23" s="50">
        <v>0</v>
      </c>
      <c r="BO23" s="49">
        <v>0</v>
      </c>
      <c r="BP23" s="50">
        <v>0</v>
      </c>
      <c r="BQ23" s="49">
        <v>0</v>
      </c>
      <c r="BR23" s="50">
        <v>0</v>
      </c>
      <c r="BS23" s="49">
        <v>26</v>
      </c>
      <c r="BT23" s="50">
        <v>60.465116279069768</v>
      </c>
      <c r="BU23" s="49">
        <v>43</v>
      </c>
    </row>
    <row r="24" spans="1:73" x14ac:dyDescent="0.25">
      <c r="A24" s="65" t="s">
        <v>258</v>
      </c>
      <c r="B24" s="65" t="s">
        <v>257</v>
      </c>
      <c r="C24" s="66"/>
      <c r="D24" s="67"/>
      <c r="E24" s="68"/>
      <c r="F24" s="69"/>
      <c r="G24" s="66"/>
      <c r="H24" s="70"/>
      <c r="I24" s="71"/>
      <c r="J24" s="71"/>
      <c r="K24" s="35" t="s">
        <v>66</v>
      </c>
      <c r="L24" s="79">
        <v>45</v>
      </c>
      <c r="M24" s="79"/>
      <c r="N24" s="73"/>
      <c r="O24" s="81" t="s">
        <v>365</v>
      </c>
      <c r="P24" s="83">
        <v>45229.559571759259</v>
      </c>
      <c r="Q24" s="81" t="s">
        <v>390</v>
      </c>
      <c r="R24" s="81">
        <v>2</v>
      </c>
      <c r="S24" s="81">
        <v>0</v>
      </c>
      <c r="T24" s="81">
        <v>0</v>
      </c>
      <c r="U24" s="81">
        <v>0</v>
      </c>
      <c r="V24" s="81"/>
      <c r="W24" s="81"/>
      <c r="X24" s="81"/>
      <c r="Y24" s="81"/>
      <c r="Z24" s="81" t="s">
        <v>532</v>
      </c>
      <c r="AA24" s="81"/>
      <c r="AB24" s="81"/>
      <c r="AC24" s="84" t="s">
        <v>582</v>
      </c>
      <c r="AD24" s="81" t="s">
        <v>588</v>
      </c>
      <c r="AE24" s="86" t="str">
        <f>HYPERLINK("https://twitter.com/isu_gsjc/status/1718982530567913695")</f>
        <v>https://twitter.com/isu_gsjc/status/1718982530567913695</v>
      </c>
      <c r="AF24" s="83">
        <v>45229.559571759259</v>
      </c>
      <c r="AG24" s="89">
        <v>45229</v>
      </c>
      <c r="AH24" s="84" t="s">
        <v>610</v>
      </c>
      <c r="AI24" s="81"/>
      <c r="AJ24" s="81"/>
      <c r="AK24" s="81"/>
      <c r="AL24" s="81"/>
      <c r="AM24" s="81"/>
      <c r="AN24" s="81"/>
      <c r="AO24" s="81"/>
      <c r="AP24" s="81"/>
      <c r="AQ24" s="81"/>
      <c r="AR24" s="81"/>
      <c r="AS24" s="81"/>
      <c r="AT24" s="81"/>
      <c r="AU24" s="81"/>
      <c r="AV24" s="86" t="str">
        <f>HYPERLINK("https://pbs.twimg.com/profile_images/1222976911833321472/d_rRF3Kl_normal.jpg")</f>
        <v>https://pbs.twimg.com/profile_images/1222976911833321472/d_rRF3Kl_normal.jpg</v>
      </c>
      <c r="AW24" s="84" t="s">
        <v>764</v>
      </c>
      <c r="AX24" s="84" t="s">
        <v>764</v>
      </c>
      <c r="AY24" s="81"/>
      <c r="AZ24" s="84" t="s">
        <v>879</v>
      </c>
      <c r="BA24" s="84" t="s">
        <v>879</v>
      </c>
      <c r="BB24" s="84" t="s">
        <v>763</v>
      </c>
      <c r="BC24" s="84" t="s">
        <v>763</v>
      </c>
      <c r="BD24" s="81">
        <v>2542104865</v>
      </c>
      <c r="BE24" s="81"/>
      <c r="BF24" s="81"/>
      <c r="BG24" s="81"/>
      <c r="BH24" s="81"/>
      <c r="BI24" s="81"/>
      <c r="BJ24">
        <v>1</v>
      </c>
      <c r="BK24" s="80" t="str">
        <f>REPLACE(INDEX(GroupVertices[Group], MATCH("~"&amp;Edges27[[#This Row],[Vertex 1]],GroupVertices[Vertex],0)),1,1,"")</f>
        <v>2</v>
      </c>
      <c r="BL24" s="80" t="str">
        <f>REPLACE(INDEX(GroupVertices[Group], MATCH("~"&amp;Edges27[[#This Row],[Vertex 2]],GroupVertices[Vertex],0)),1,1,"")</f>
        <v>2</v>
      </c>
      <c r="BM24" s="49"/>
      <c r="BN24" s="50"/>
      <c r="BO24" s="49"/>
      <c r="BP24" s="50"/>
      <c r="BQ24" s="49"/>
      <c r="BR24" s="50"/>
      <c r="BS24" s="49"/>
      <c r="BT24" s="50"/>
      <c r="BU24" s="49"/>
    </row>
    <row r="25" spans="1:73" x14ac:dyDescent="0.25">
      <c r="A25" s="65" t="s">
        <v>259</v>
      </c>
      <c r="B25" s="65" t="s">
        <v>257</v>
      </c>
      <c r="C25" s="66"/>
      <c r="D25" s="67"/>
      <c r="E25" s="68"/>
      <c r="F25" s="69"/>
      <c r="G25" s="66"/>
      <c r="H25" s="70"/>
      <c r="I25" s="71"/>
      <c r="J25" s="71"/>
      <c r="K25" s="35" t="s">
        <v>65</v>
      </c>
      <c r="L25" s="79">
        <v>46</v>
      </c>
      <c r="M25" s="79"/>
      <c r="N25" s="73"/>
      <c r="O25" s="81" t="s">
        <v>365</v>
      </c>
      <c r="P25" s="83">
        <v>45229.129756944443</v>
      </c>
      <c r="Q25" s="81" t="s">
        <v>390</v>
      </c>
      <c r="R25" s="81">
        <v>2</v>
      </c>
      <c r="S25" s="81">
        <v>0</v>
      </c>
      <c r="T25" s="81">
        <v>0</v>
      </c>
      <c r="U25" s="81">
        <v>0</v>
      </c>
      <c r="V25" s="81"/>
      <c r="W25" s="81"/>
      <c r="X25" s="81"/>
      <c r="Y25" s="81"/>
      <c r="Z25" s="81" t="s">
        <v>532</v>
      </c>
      <c r="AA25" s="81"/>
      <c r="AB25" s="81"/>
      <c r="AC25" s="84" t="s">
        <v>582</v>
      </c>
      <c r="AD25" s="81" t="s">
        <v>588</v>
      </c>
      <c r="AE25" s="86" t="str">
        <f>HYPERLINK("https://twitter.com/annefmaclennan/status/1718826772110676208")</f>
        <v>https://twitter.com/annefmaclennan/status/1718826772110676208</v>
      </c>
      <c r="AF25" s="83">
        <v>45229.129756944443</v>
      </c>
      <c r="AG25" s="89">
        <v>45229</v>
      </c>
      <c r="AH25" s="84" t="s">
        <v>611</v>
      </c>
      <c r="AI25" s="81"/>
      <c r="AJ25" s="81"/>
      <c r="AK25" s="81"/>
      <c r="AL25" s="81"/>
      <c r="AM25" s="81"/>
      <c r="AN25" s="81"/>
      <c r="AO25" s="81"/>
      <c r="AP25" s="81"/>
      <c r="AQ25" s="81"/>
      <c r="AR25" s="81"/>
      <c r="AS25" s="81"/>
      <c r="AT25" s="81"/>
      <c r="AU25" s="81"/>
      <c r="AV25" s="86" t="str">
        <f>HYPERLINK("https://pbs.twimg.com/profile_images/605544839652843521/bJuIHXNl_normal.jpg")</f>
        <v>https://pbs.twimg.com/profile_images/605544839652843521/bJuIHXNl_normal.jpg</v>
      </c>
      <c r="AW25" s="84" t="s">
        <v>765</v>
      </c>
      <c r="AX25" s="84" t="s">
        <v>765</v>
      </c>
      <c r="AY25" s="81"/>
      <c r="AZ25" s="84" t="s">
        <v>879</v>
      </c>
      <c r="BA25" s="84" t="s">
        <v>879</v>
      </c>
      <c r="BB25" s="84" t="s">
        <v>763</v>
      </c>
      <c r="BC25" s="84" t="s">
        <v>763</v>
      </c>
      <c r="BD25" s="81">
        <v>3306005770</v>
      </c>
      <c r="BE25" s="81"/>
      <c r="BF25" s="81"/>
      <c r="BG25" s="81"/>
      <c r="BH25" s="81"/>
      <c r="BI25" s="81"/>
      <c r="BJ25">
        <v>1</v>
      </c>
      <c r="BK25" s="80" t="str">
        <f>REPLACE(INDEX(GroupVertices[Group], MATCH("~"&amp;Edges27[[#This Row],[Vertex 1]],GroupVertices[Vertex],0)),1,1,"")</f>
        <v>2</v>
      </c>
      <c r="BL25" s="80" t="str">
        <f>REPLACE(INDEX(GroupVertices[Group], MATCH("~"&amp;Edges27[[#This Row],[Vertex 2]],GroupVertices[Vertex],0)),1,1,"")</f>
        <v>2</v>
      </c>
      <c r="BM25" s="49"/>
      <c r="BN25" s="50"/>
      <c r="BO25" s="49"/>
      <c r="BP25" s="50"/>
      <c r="BQ25" s="49"/>
      <c r="BR25" s="50"/>
      <c r="BS25" s="49"/>
      <c r="BT25" s="50"/>
      <c r="BU25" s="49"/>
    </row>
    <row r="26" spans="1:73" x14ac:dyDescent="0.25">
      <c r="A26" s="65" t="s">
        <v>252</v>
      </c>
      <c r="B26" s="65" t="s">
        <v>320</v>
      </c>
      <c r="C26" s="66"/>
      <c r="D26" s="67"/>
      <c r="E26" s="68"/>
      <c r="F26" s="69"/>
      <c r="G26" s="66"/>
      <c r="H26" s="70"/>
      <c r="I26" s="71"/>
      <c r="J26" s="71"/>
      <c r="K26" s="35" t="s">
        <v>65</v>
      </c>
      <c r="L26" s="79">
        <v>47</v>
      </c>
      <c r="M26" s="79"/>
      <c r="N26" s="73"/>
      <c r="O26" s="81" t="s">
        <v>367</v>
      </c>
      <c r="P26" s="83">
        <v>45231.048402777778</v>
      </c>
      <c r="Q26" s="81" t="s">
        <v>391</v>
      </c>
      <c r="R26" s="81">
        <v>2</v>
      </c>
      <c r="S26" s="81">
        <v>2</v>
      </c>
      <c r="T26" s="81">
        <v>0</v>
      </c>
      <c r="U26" s="81">
        <v>0</v>
      </c>
      <c r="V26" s="81">
        <v>396</v>
      </c>
      <c r="W26" s="84" t="s">
        <v>476</v>
      </c>
      <c r="X26" s="86" t="str">
        <f>HYPERLINK("https://www.schooljobs.com/careers/bgsu/jobs/4264712/assistant-professor-school-of-media-and-communication?page=3&amp;pagetype=jobOpportunitiesJobs")</f>
        <v>https://www.schooljobs.com/careers/bgsu/jobs/4264712/assistant-professor-school-of-media-and-communication?page=3&amp;pagetype=jobOpportunitiesJobs</v>
      </c>
      <c r="Y26" s="81" t="s">
        <v>499</v>
      </c>
      <c r="Z26" s="81" t="s">
        <v>533</v>
      </c>
      <c r="AA26" s="81"/>
      <c r="AB26" s="81"/>
      <c r="AC26" s="84" t="s">
        <v>580</v>
      </c>
      <c r="AD26" s="81" t="s">
        <v>588</v>
      </c>
      <c r="AE26" s="86" t="str">
        <f>HYPERLINK("https://twitter.com/willthewordguy/status/1719522068411085041")</f>
        <v>https://twitter.com/willthewordguy/status/1719522068411085041</v>
      </c>
      <c r="AF26" s="83">
        <v>45231.048402777778</v>
      </c>
      <c r="AG26" s="89">
        <v>45231</v>
      </c>
      <c r="AH26" s="84" t="s">
        <v>612</v>
      </c>
      <c r="AI26" s="81" t="b">
        <v>0</v>
      </c>
      <c r="AJ26" s="81"/>
      <c r="AK26" s="81"/>
      <c r="AL26" s="81"/>
      <c r="AM26" s="81"/>
      <c r="AN26" s="81"/>
      <c r="AO26" s="81"/>
      <c r="AP26" s="81"/>
      <c r="AQ26" s="81"/>
      <c r="AR26" s="81"/>
      <c r="AS26" s="81"/>
      <c r="AT26" s="81"/>
      <c r="AU26" s="81"/>
      <c r="AV26" s="86" t="str">
        <f>HYPERLINK("https://pbs.twimg.com/profile_images/1331376273755664384/mF7tQg3B_normal.jpg")</f>
        <v>https://pbs.twimg.com/profile_images/1331376273755664384/mF7tQg3B_normal.jpg</v>
      </c>
      <c r="AW26" s="84" t="s">
        <v>766</v>
      </c>
      <c r="AX26" s="84" t="s">
        <v>766</v>
      </c>
      <c r="AY26" s="81"/>
      <c r="AZ26" s="84" t="s">
        <v>879</v>
      </c>
      <c r="BA26" s="84" t="s">
        <v>879</v>
      </c>
      <c r="BB26" s="84" t="s">
        <v>879</v>
      </c>
      <c r="BC26" s="84" t="s">
        <v>766</v>
      </c>
      <c r="BD26" s="81">
        <v>414179273</v>
      </c>
      <c r="BE26" s="81"/>
      <c r="BF26" s="81"/>
      <c r="BG26" s="81"/>
      <c r="BH26" s="81"/>
      <c r="BI26" s="81"/>
      <c r="BJ26">
        <v>1</v>
      </c>
      <c r="BK26" s="80" t="str">
        <f>REPLACE(INDEX(GroupVertices[Group], MATCH("~"&amp;Edges27[[#This Row],[Vertex 1]],GroupVertices[Vertex],0)),1,1,"")</f>
        <v>2</v>
      </c>
      <c r="BL26" s="80" t="str">
        <f>REPLACE(INDEX(GroupVertices[Group], MATCH("~"&amp;Edges27[[#This Row],[Vertex 2]],GroupVertices[Vertex],0)),1,1,"")</f>
        <v>2</v>
      </c>
      <c r="BM26" s="49">
        <v>0</v>
      </c>
      <c r="BN26" s="50">
        <v>0</v>
      </c>
      <c r="BO26" s="49">
        <v>0</v>
      </c>
      <c r="BP26" s="50">
        <v>0</v>
      </c>
      <c r="BQ26" s="49">
        <v>0</v>
      </c>
      <c r="BR26" s="50">
        <v>0</v>
      </c>
      <c r="BS26" s="49">
        <v>9</v>
      </c>
      <c r="BT26" s="50">
        <v>81.818181818181813</v>
      </c>
      <c r="BU26" s="49">
        <v>11</v>
      </c>
    </row>
    <row r="27" spans="1:73" x14ac:dyDescent="0.25">
      <c r="A27" s="65" t="s">
        <v>259</v>
      </c>
      <c r="B27" s="65" t="s">
        <v>320</v>
      </c>
      <c r="C27" s="66"/>
      <c r="D27" s="67"/>
      <c r="E27" s="68"/>
      <c r="F27" s="69"/>
      <c r="G27" s="66"/>
      <c r="H27" s="70"/>
      <c r="I27" s="71"/>
      <c r="J27" s="71"/>
      <c r="K27" s="35" t="s">
        <v>65</v>
      </c>
      <c r="L27" s="79">
        <v>48</v>
      </c>
      <c r="M27" s="79"/>
      <c r="N27" s="73"/>
      <c r="O27" s="81" t="s">
        <v>366</v>
      </c>
      <c r="P27" s="83">
        <v>45231.06653935185</v>
      </c>
      <c r="Q27" s="81" t="s">
        <v>387</v>
      </c>
      <c r="R27" s="81">
        <v>2</v>
      </c>
      <c r="S27" s="81">
        <v>0</v>
      </c>
      <c r="T27" s="81">
        <v>0</v>
      </c>
      <c r="U27" s="81">
        <v>0</v>
      </c>
      <c r="V27" s="81"/>
      <c r="W27" s="84" t="s">
        <v>476</v>
      </c>
      <c r="X27" s="86" t="str">
        <f>HYPERLINK("https://www.schooljobs.com/careers/bgsu/jobs/4264712/assistant-professor-school-of-media-and-communication?page=3&amp;pagetype=jobOpportunitiesJobs")</f>
        <v>https://www.schooljobs.com/careers/bgsu/jobs/4264712/assistant-professor-school-of-media-and-communication?page=3&amp;pagetype=jobOpportunitiesJobs</v>
      </c>
      <c r="Y27" s="81" t="s">
        <v>499</v>
      </c>
      <c r="Z27" s="81" t="s">
        <v>529</v>
      </c>
      <c r="AA27" s="81"/>
      <c r="AB27" s="81"/>
      <c r="AC27" s="84" t="s">
        <v>582</v>
      </c>
      <c r="AD27" s="81" t="s">
        <v>588</v>
      </c>
      <c r="AE27" s="86" t="str">
        <f>HYPERLINK("https://twitter.com/annefmaclennan/status/1719528640973516901")</f>
        <v>https://twitter.com/annefmaclennan/status/1719528640973516901</v>
      </c>
      <c r="AF27" s="83">
        <v>45231.06653935185</v>
      </c>
      <c r="AG27" s="89">
        <v>45231</v>
      </c>
      <c r="AH27" s="84" t="s">
        <v>613</v>
      </c>
      <c r="AI27" s="81" t="b">
        <v>0</v>
      </c>
      <c r="AJ27" s="81"/>
      <c r="AK27" s="81"/>
      <c r="AL27" s="81"/>
      <c r="AM27" s="81"/>
      <c r="AN27" s="81"/>
      <c r="AO27" s="81"/>
      <c r="AP27" s="81"/>
      <c r="AQ27" s="81"/>
      <c r="AR27" s="81"/>
      <c r="AS27" s="81"/>
      <c r="AT27" s="81"/>
      <c r="AU27" s="81"/>
      <c r="AV27" s="86" t="str">
        <f>HYPERLINK("https://pbs.twimg.com/profile_images/605544839652843521/bJuIHXNl_normal.jpg")</f>
        <v>https://pbs.twimg.com/profile_images/605544839652843521/bJuIHXNl_normal.jpg</v>
      </c>
      <c r="AW27" s="84" t="s">
        <v>767</v>
      </c>
      <c r="AX27" s="84" t="s">
        <v>767</v>
      </c>
      <c r="AY27" s="81"/>
      <c r="AZ27" s="84" t="s">
        <v>879</v>
      </c>
      <c r="BA27" s="84" t="s">
        <v>879</v>
      </c>
      <c r="BB27" s="84" t="s">
        <v>766</v>
      </c>
      <c r="BC27" s="84" t="s">
        <v>766</v>
      </c>
      <c r="BD27" s="81">
        <v>3306005770</v>
      </c>
      <c r="BE27" s="81"/>
      <c r="BF27" s="81"/>
      <c r="BG27" s="81"/>
      <c r="BH27" s="81"/>
      <c r="BI27" s="81"/>
      <c r="BJ27">
        <v>1</v>
      </c>
      <c r="BK27" s="80" t="str">
        <f>REPLACE(INDEX(GroupVertices[Group], MATCH("~"&amp;Edges27[[#This Row],[Vertex 1]],GroupVertices[Vertex],0)),1,1,"")</f>
        <v>2</v>
      </c>
      <c r="BL27" s="80" t="str">
        <f>REPLACE(INDEX(GroupVertices[Group], MATCH("~"&amp;Edges27[[#This Row],[Vertex 2]],GroupVertices[Vertex],0)),1,1,"")</f>
        <v>2</v>
      </c>
      <c r="BM27" s="49"/>
      <c r="BN27" s="50"/>
      <c r="BO27" s="49"/>
      <c r="BP27" s="50"/>
      <c r="BQ27" s="49"/>
      <c r="BR27" s="50"/>
      <c r="BS27" s="49"/>
      <c r="BT27" s="50"/>
      <c r="BU27" s="49"/>
    </row>
    <row r="28" spans="1:73" x14ac:dyDescent="0.25">
      <c r="A28" s="65" t="s">
        <v>259</v>
      </c>
      <c r="B28" s="65" t="s">
        <v>268</v>
      </c>
      <c r="C28" s="66"/>
      <c r="D28" s="67"/>
      <c r="E28" s="68"/>
      <c r="F28" s="69"/>
      <c r="G28" s="66"/>
      <c r="H28" s="70"/>
      <c r="I28" s="71"/>
      <c r="J28" s="71"/>
      <c r="K28" s="35" t="s">
        <v>65</v>
      </c>
      <c r="L28" s="79">
        <v>49</v>
      </c>
      <c r="M28" s="79"/>
      <c r="N28" s="73"/>
      <c r="O28" s="81" t="s">
        <v>366</v>
      </c>
      <c r="P28" s="83">
        <v>45231.242812500001</v>
      </c>
      <c r="Q28" s="81" t="s">
        <v>388</v>
      </c>
      <c r="R28" s="81">
        <v>2</v>
      </c>
      <c r="S28" s="81">
        <v>0</v>
      </c>
      <c r="T28" s="81">
        <v>0</v>
      </c>
      <c r="U28" s="81">
        <v>0</v>
      </c>
      <c r="V28" s="81"/>
      <c r="W28" s="84" t="s">
        <v>476</v>
      </c>
      <c r="X28" s="86" t="str">
        <f>HYPERLINK("https://employment.marquette.edu/postings/20457")</f>
        <v>https://employment.marquette.edu/postings/20457</v>
      </c>
      <c r="Y28" s="81" t="s">
        <v>500</v>
      </c>
      <c r="Z28" s="81" t="s">
        <v>530</v>
      </c>
      <c r="AA28" s="81"/>
      <c r="AB28" s="81"/>
      <c r="AC28" s="84" t="s">
        <v>582</v>
      </c>
      <c r="AD28" s="81" t="s">
        <v>588</v>
      </c>
      <c r="AE28" s="86" t="str">
        <f>HYPERLINK("https://twitter.com/annefmaclennan/status/1719592518806114639")</f>
        <v>https://twitter.com/annefmaclennan/status/1719592518806114639</v>
      </c>
      <c r="AF28" s="83">
        <v>45231.242812500001</v>
      </c>
      <c r="AG28" s="89">
        <v>45231</v>
      </c>
      <c r="AH28" s="84" t="s">
        <v>614</v>
      </c>
      <c r="AI28" s="81" t="b">
        <v>0</v>
      </c>
      <c r="AJ28" s="81"/>
      <c r="AK28" s="81"/>
      <c r="AL28" s="81"/>
      <c r="AM28" s="81"/>
      <c r="AN28" s="81"/>
      <c r="AO28" s="81"/>
      <c r="AP28" s="81"/>
      <c r="AQ28" s="81"/>
      <c r="AR28" s="81"/>
      <c r="AS28" s="81"/>
      <c r="AT28" s="81"/>
      <c r="AU28" s="81"/>
      <c r="AV28" s="86" t="str">
        <f>HYPERLINK("https://pbs.twimg.com/profile_images/605544839652843521/bJuIHXNl_normal.jpg")</f>
        <v>https://pbs.twimg.com/profile_images/605544839652843521/bJuIHXNl_normal.jpg</v>
      </c>
      <c r="AW28" s="84" t="s">
        <v>768</v>
      </c>
      <c r="AX28" s="84" t="s">
        <v>768</v>
      </c>
      <c r="AY28" s="81"/>
      <c r="AZ28" s="84" t="s">
        <v>879</v>
      </c>
      <c r="BA28" s="84" t="s">
        <v>879</v>
      </c>
      <c r="BB28" s="84" t="s">
        <v>855</v>
      </c>
      <c r="BC28" s="84" t="s">
        <v>855</v>
      </c>
      <c r="BD28" s="81">
        <v>3306005770</v>
      </c>
      <c r="BE28" s="81"/>
      <c r="BF28" s="81"/>
      <c r="BG28" s="81"/>
      <c r="BH28" s="81"/>
      <c r="BI28" s="81"/>
      <c r="BJ28">
        <v>3</v>
      </c>
      <c r="BK28" s="80" t="str">
        <f>REPLACE(INDEX(GroupVertices[Group], MATCH("~"&amp;Edges27[[#This Row],[Vertex 1]],GroupVertices[Vertex],0)),1,1,"")</f>
        <v>2</v>
      </c>
      <c r="BL28" s="80" t="str">
        <f>REPLACE(INDEX(GroupVertices[Group], MATCH("~"&amp;Edges27[[#This Row],[Vertex 2]],GroupVertices[Vertex],0)),1,1,"")</f>
        <v>1</v>
      </c>
      <c r="BM28" s="49"/>
      <c r="BN28" s="50"/>
      <c r="BO28" s="49"/>
      <c r="BP28" s="50"/>
      <c r="BQ28" s="49"/>
      <c r="BR28" s="50"/>
      <c r="BS28" s="49"/>
      <c r="BT28" s="50"/>
      <c r="BU28" s="49"/>
    </row>
    <row r="29" spans="1:73" x14ac:dyDescent="0.25">
      <c r="A29" s="65" t="s">
        <v>260</v>
      </c>
      <c r="B29" s="65" t="s">
        <v>292</v>
      </c>
      <c r="C29" s="66"/>
      <c r="D29" s="67"/>
      <c r="E29" s="68"/>
      <c r="F29" s="69"/>
      <c r="G29" s="66"/>
      <c r="H29" s="70"/>
      <c r="I29" s="71"/>
      <c r="J29" s="71"/>
      <c r="K29" s="35" t="s">
        <v>65</v>
      </c>
      <c r="L29" s="79">
        <v>56</v>
      </c>
      <c r="M29" s="79"/>
      <c r="N29" s="73"/>
      <c r="O29" s="81" t="s">
        <v>365</v>
      </c>
      <c r="P29" s="83">
        <v>45228.748900462961</v>
      </c>
      <c r="Q29" s="81" t="s">
        <v>392</v>
      </c>
      <c r="R29" s="81">
        <v>6</v>
      </c>
      <c r="S29" s="81">
        <v>0</v>
      </c>
      <c r="T29" s="81">
        <v>0</v>
      </c>
      <c r="U29" s="81">
        <v>0</v>
      </c>
      <c r="V29" s="81"/>
      <c r="W29" s="81"/>
      <c r="X29" s="81"/>
      <c r="Y29" s="81"/>
      <c r="Z29" s="81" t="s">
        <v>292</v>
      </c>
      <c r="AA29" s="81"/>
      <c r="AB29" s="81"/>
      <c r="AC29" s="84" t="s">
        <v>580</v>
      </c>
      <c r="AD29" s="81" t="s">
        <v>588</v>
      </c>
      <c r="AE29" s="86" t="str">
        <f>HYPERLINK("https://twitter.com/aejmc_rmig/status/1718688756105126073")</f>
        <v>https://twitter.com/aejmc_rmig/status/1718688756105126073</v>
      </c>
      <c r="AF29" s="83">
        <v>45228.748900462961</v>
      </c>
      <c r="AG29" s="89">
        <v>45228</v>
      </c>
      <c r="AH29" s="84" t="s">
        <v>615</v>
      </c>
      <c r="AI29" s="81"/>
      <c r="AJ29" s="81"/>
      <c r="AK29" s="81"/>
      <c r="AL29" s="81"/>
      <c r="AM29" s="81"/>
      <c r="AN29" s="81"/>
      <c r="AO29" s="81"/>
      <c r="AP29" s="81"/>
      <c r="AQ29" s="81"/>
      <c r="AR29" s="81"/>
      <c r="AS29" s="81"/>
      <c r="AT29" s="81"/>
      <c r="AU29" s="81"/>
      <c r="AV29" s="86" t="str">
        <f>HYPERLINK("https://pbs.twimg.com/profile_images/1422692606962716672/vssCrcL1_normal.jpg")</f>
        <v>https://pbs.twimg.com/profile_images/1422692606962716672/vssCrcL1_normal.jpg</v>
      </c>
      <c r="AW29" s="84" t="s">
        <v>769</v>
      </c>
      <c r="AX29" s="84" t="s">
        <v>769</v>
      </c>
      <c r="AY29" s="81"/>
      <c r="AZ29" s="84" t="s">
        <v>879</v>
      </c>
      <c r="BA29" s="84" t="s">
        <v>879</v>
      </c>
      <c r="BB29" s="84" t="s">
        <v>843</v>
      </c>
      <c r="BC29" s="84" t="s">
        <v>843</v>
      </c>
      <c r="BD29" s="84" t="s">
        <v>885</v>
      </c>
      <c r="BE29" s="81"/>
      <c r="BF29" s="81"/>
      <c r="BG29" s="81"/>
      <c r="BH29" s="81"/>
      <c r="BI29" s="81"/>
      <c r="BJ29">
        <v>1</v>
      </c>
      <c r="BK29" s="80" t="str">
        <f>REPLACE(INDEX(GroupVertices[Group], MATCH("~"&amp;Edges27[[#This Row],[Vertex 1]],GroupVertices[Vertex],0)),1,1,"")</f>
        <v>15</v>
      </c>
      <c r="BL29" s="80" t="str">
        <f>REPLACE(INDEX(GroupVertices[Group], MATCH("~"&amp;Edges27[[#This Row],[Vertex 2]],GroupVertices[Vertex],0)),1,1,"")</f>
        <v>15</v>
      </c>
      <c r="BM29" s="49">
        <v>2</v>
      </c>
      <c r="BN29" s="50">
        <v>9.0909090909090917</v>
      </c>
      <c r="BO29" s="49">
        <v>0</v>
      </c>
      <c r="BP29" s="50">
        <v>0</v>
      </c>
      <c r="BQ29" s="49">
        <v>0</v>
      </c>
      <c r="BR29" s="50">
        <v>0</v>
      </c>
      <c r="BS29" s="49">
        <v>10</v>
      </c>
      <c r="BT29" s="50">
        <v>45.454545454545453</v>
      </c>
      <c r="BU29" s="49">
        <v>22</v>
      </c>
    </row>
    <row r="30" spans="1:73" x14ac:dyDescent="0.25">
      <c r="A30" s="65" t="s">
        <v>261</v>
      </c>
      <c r="B30" s="65" t="s">
        <v>261</v>
      </c>
      <c r="C30" s="66"/>
      <c r="D30" s="67"/>
      <c r="E30" s="68"/>
      <c r="F30" s="69"/>
      <c r="G30" s="66"/>
      <c r="H30" s="70"/>
      <c r="I30" s="71"/>
      <c r="J30" s="71"/>
      <c r="K30" s="35" t="s">
        <v>65</v>
      </c>
      <c r="L30" s="79">
        <v>59</v>
      </c>
      <c r="M30" s="79"/>
      <c r="N30" s="73"/>
      <c r="O30" s="81" t="s">
        <v>367</v>
      </c>
      <c r="P30" s="83">
        <v>45234.818124999998</v>
      </c>
      <c r="Q30" s="81" t="s">
        <v>393</v>
      </c>
      <c r="R30" s="81">
        <v>1</v>
      </c>
      <c r="S30" s="81">
        <v>3</v>
      </c>
      <c r="T30" s="81">
        <v>0</v>
      </c>
      <c r="U30" s="81">
        <v>1</v>
      </c>
      <c r="V30" s="81">
        <v>580</v>
      </c>
      <c r="W30" s="84" t="s">
        <v>477</v>
      </c>
      <c r="X30" s="86" t="str">
        <f>HYPERLINK("https://olemiss.zoom.us/j/91781083553")</f>
        <v>https://olemiss.zoom.us/j/91781083553</v>
      </c>
      <c r="Y30" s="81" t="s">
        <v>502</v>
      </c>
      <c r="Z30" s="81" t="s">
        <v>261</v>
      </c>
      <c r="AA30" s="81" t="s">
        <v>558</v>
      </c>
      <c r="AB30" s="81" t="s">
        <v>575</v>
      </c>
      <c r="AC30" s="84" t="s">
        <v>582</v>
      </c>
      <c r="AD30" s="81" t="s">
        <v>588</v>
      </c>
      <c r="AE30" s="86" t="str">
        <f>HYPERLINK("https://twitter.com/aejmc_prd/status/1720888166104592768")</f>
        <v>https://twitter.com/aejmc_prd/status/1720888166104592768</v>
      </c>
      <c r="AF30" s="83">
        <v>45234.818124999998</v>
      </c>
      <c r="AG30" s="89">
        <v>45234</v>
      </c>
      <c r="AH30" s="84" t="s">
        <v>616</v>
      </c>
      <c r="AI30" s="81" t="b">
        <v>0</v>
      </c>
      <c r="AJ30" s="81"/>
      <c r="AK30" s="81"/>
      <c r="AL30" s="81"/>
      <c r="AM30" s="81"/>
      <c r="AN30" s="81"/>
      <c r="AO30" s="81"/>
      <c r="AP30" s="81"/>
      <c r="AQ30" s="81" t="s">
        <v>727</v>
      </c>
      <c r="AR30" s="81"/>
      <c r="AS30" s="81"/>
      <c r="AT30" s="81"/>
      <c r="AU30" s="81"/>
      <c r="AV30" s="86" t="str">
        <f>HYPERLINK("https://pbs.twimg.com/media/F-HRsi1WMAA2DI-.jpg")</f>
        <v>https://pbs.twimg.com/media/F-HRsi1WMAA2DI-.jpg</v>
      </c>
      <c r="AW30" s="84" t="s">
        <v>770</v>
      </c>
      <c r="AX30" s="84" t="s">
        <v>770</v>
      </c>
      <c r="AY30" s="81"/>
      <c r="AZ30" s="84" t="s">
        <v>879</v>
      </c>
      <c r="BA30" s="84" t="s">
        <v>879</v>
      </c>
      <c r="BB30" s="84" t="s">
        <v>879</v>
      </c>
      <c r="BC30" s="84" t="s">
        <v>770</v>
      </c>
      <c r="BD30" s="81">
        <v>48711250</v>
      </c>
      <c r="BE30" s="81"/>
      <c r="BF30" s="81"/>
      <c r="BG30" s="81"/>
      <c r="BH30" s="81"/>
      <c r="BI30" s="81"/>
      <c r="BJ30">
        <v>1</v>
      </c>
      <c r="BK30" s="80" t="str">
        <f>REPLACE(INDEX(GroupVertices[Group], MATCH("~"&amp;Edges27[[#This Row],[Vertex 1]],GroupVertices[Vertex],0)),1,1,"")</f>
        <v>2</v>
      </c>
      <c r="BL30" s="80" t="str">
        <f>REPLACE(INDEX(GroupVertices[Group], MATCH("~"&amp;Edges27[[#This Row],[Vertex 2]],GroupVertices[Vertex],0)),1,1,"")</f>
        <v>2</v>
      </c>
      <c r="BM30" s="49">
        <v>2</v>
      </c>
      <c r="BN30" s="50">
        <v>5.1282051282051286</v>
      </c>
      <c r="BO30" s="49">
        <v>0</v>
      </c>
      <c r="BP30" s="50">
        <v>0</v>
      </c>
      <c r="BQ30" s="49">
        <v>0</v>
      </c>
      <c r="BR30" s="50">
        <v>0</v>
      </c>
      <c r="BS30" s="49">
        <v>20</v>
      </c>
      <c r="BT30" s="50">
        <v>51.282051282051285</v>
      </c>
      <c r="BU30" s="49">
        <v>39</v>
      </c>
    </row>
    <row r="31" spans="1:73" x14ac:dyDescent="0.25">
      <c r="A31" s="65" t="s">
        <v>261</v>
      </c>
      <c r="B31" s="65" t="s">
        <v>268</v>
      </c>
      <c r="C31" s="66"/>
      <c r="D31" s="67"/>
      <c r="E31" s="68"/>
      <c r="F31" s="69"/>
      <c r="G31" s="66"/>
      <c r="H31" s="70"/>
      <c r="I31" s="71"/>
      <c r="J31" s="71"/>
      <c r="K31" s="35" t="s">
        <v>65</v>
      </c>
      <c r="L31" s="79">
        <v>60</v>
      </c>
      <c r="M31" s="79"/>
      <c r="N31" s="73"/>
      <c r="O31" s="81" t="s">
        <v>367</v>
      </c>
      <c r="P31" s="83">
        <v>45222.782685185186</v>
      </c>
      <c r="Q31" s="81" t="s">
        <v>394</v>
      </c>
      <c r="R31" s="81">
        <v>2</v>
      </c>
      <c r="S31" s="81">
        <v>10</v>
      </c>
      <c r="T31" s="81">
        <v>1</v>
      </c>
      <c r="U31" s="81">
        <v>5</v>
      </c>
      <c r="V31" s="81">
        <v>2697</v>
      </c>
      <c r="W31" s="84" t="s">
        <v>478</v>
      </c>
      <c r="X31" s="81"/>
      <c r="Y31" s="81"/>
      <c r="Z31" s="81" t="s">
        <v>268</v>
      </c>
      <c r="AA31" s="81" t="s">
        <v>559</v>
      </c>
      <c r="AB31" s="81" t="s">
        <v>575</v>
      </c>
      <c r="AC31" s="84" t="s">
        <v>582</v>
      </c>
      <c r="AD31" s="81" t="s">
        <v>588</v>
      </c>
      <c r="AE31" s="86" t="str">
        <f>HYPERLINK("https://twitter.com/aejmc_prd/status/1716526669639614760")</f>
        <v>https://twitter.com/aejmc_prd/status/1716526669639614760</v>
      </c>
      <c r="AF31" s="83">
        <v>45222.782685185186</v>
      </c>
      <c r="AG31" s="89">
        <v>45222</v>
      </c>
      <c r="AH31" s="84" t="s">
        <v>617</v>
      </c>
      <c r="AI31" s="81" t="b">
        <v>0</v>
      </c>
      <c r="AJ31" s="81"/>
      <c r="AK31" s="81"/>
      <c r="AL31" s="81"/>
      <c r="AM31" s="81"/>
      <c r="AN31" s="81"/>
      <c r="AO31" s="81"/>
      <c r="AP31" s="81"/>
      <c r="AQ31" s="81" t="s">
        <v>728</v>
      </c>
      <c r="AR31" s="81"/>
      <c r="AS31" s="81"/>
      <c r="AT31" s="81"/>
      <c r="AU31" s="81"/>
      <c r="AV31" s="86" t="str">
        <f>HYPERLINK("https://pbs.twimg.com/media/F9JTS4GagAEmrtd.jpg")</f>
        <v>https://pbs.twimg.com/media/F9JTS4GagAEmrtd.jpg</v>
      </c>
      <c r="AW31" s="84" t="s">
        <v>771</v>
      </c>
      <c r="AX31" s="84" t="s">
        <v>771</v>
      </c>
      <c r="AY31" s="81"/>
      <c r="AZ31" s="84" t="s">
        <v>879</v>
      </c>
      <c r="BA31" s="84" t="s">
        <v>879</v>
      </c>
      <c r="BB31" s="84" t="s">
        <v>879</v>
      </c>
      <c r="BC31" s="84" t="s">
        <v>771</v>
      </c>
      <c r="BD31" s="81">
        <v>48711250</v>
      </c>
      <c r="BE31" s="81"/>
      <c r="BF31" s="81"/>
      <c r="BG31" s="81"/>
      <c r="BH31" s="81"/>
      <c r="BI31" s="81"/>
      <c r="BJ31">
        <v>1</v>
      </c>
      <c r="BK31" s="80" t="str">
        <f>REPLACE(INDEX(GroupVertices[Group], MATCH("~"&amp;Edges27[[#This Row],[Vertex 1]],GroupVertices[Vertex],0)),1,1,"")</f>
        <v>2</v>
      </c>
      <c r="BL31" s="80" t="str">
        <f>REPLACE(INDEX(GroupVertices[Group], MATCH("~"&amp;Edges27[[#This Row],[Vertex 2]],GroupVertices[Vertex],0)),1,1,"")</f>
        <v>1</v>
      </c>
      <c r="BM31" s="49">
        <v>2</v>
      </c>
      <c r="BN31" s="50">
        <v>4.5454545454545459</v>
      </c>
      <c r="BO31" s="49">
        <v>0</v>
      </c>
      <c r="BP31" s="50">
        <v>0</v>
      </c>
      <c r="BQ31" s="49">
        <v>0</v>
      </c>
      <c r="BR31" s="50">
        <v>0</v>
      </c>
      <c r="BS31" s="49">
        <v>23</v>
      </c>
      <c r="BT31" s="50">
        <v>52.272727272727273</v>
      </c>
      <c r="BU31" s="49">
        <v>44</v>
      </c>
    </row>
    <row r="32" spans="1:73" x14ac:dyDescent="0.25">
      <c r="A32" s="65" t="s">
        <v>261</v>
      </c>
      <c r="B32" s="65" t="s">
        <v>261</v>
      </c>
      <c r="C32" s="66"/>
      <c r="D32" s="67"/>
      <c r="E32" s="68"/>
      <c r="F32" s="69"/>
      <c r="G32" s="66"/>
      <c r="H32" s="70"/>
      <c r="I32" s="71"/>
      <c r="J32" s="71"/>
      <c r="K32" s="35" t="s">
        <v>65</v>
      </c>
      <c r="L32" s="79">
        <v>61</v>
      </c>
      <c r="M32" s="79"/>
      <c r="N32" s="73"/>
      <c r="O32" s="81" t="s">
        <v>196</v>
      </c>
      <c r="P32" s="83">
        <v>45233.80972222222</v>
      </c>
      <c r="Q32" s="81" t="s">
        <v>395</v>
      </c>
      <c r="R32" s="81">
        <v>0</v>
      </c>
      <c r="S32" s="81">
        <v>1</v>
      </c>
      <c r="T32" s="81">
        <v>0</v>
      </c>
      <c r="U32" s="81">
        <v>0</v>
      </c>
      <c r="V32" s="81">
        <v>100</v>
      </c>
      <c r="W32" s="84" t="s">
        <v>479</v>
      </c>
      <c r="X32" s="86" t="str">
        <f>HYPERLINK("https://community.aejmc.org/publi.../publications/newsletter")</f>
        <v>https://community.aejmc.org/publi.../publications/newsletter</v>
      </c>
      <c r="Y32" s="81" t="s">
        <v>503</v>
      </c>
      <c r="Z32" s="81"/>
      <c r="AA32" s="81" t="s">
        <v>560</v>
      </c>
      <c r="AB32" s="81" t="s">
        <v>575</v>
      </c>
      <c r="AC32" s="84" t="s">
        <v>582</v>
      </c>
      <c r="AD32" s="81" t="s">
        <v>588</v>
      </c>
      <c r="AE32" s="86" t="str">
        <f>HYPERLINK("https://twitter.com/aejmc_prd/status/1720522733946093576")</f>
        <v>https://twitter.com/aejmc_prd/status/1720522733946093576</v>
      </c>
      <c r="AF32" s="83">
        <v>45233.80972222222</v>
      </c>
      <c r="AG32" s="89">
        <v>45233</v>
      </c>
      <c r="AH32" s="84" t="s">
        <v>618</v>
      </c>
      <c r="AI32" s="81" t="b">
        <v>0</v>
      </c>
      <c r="AJ32" s="81"/>
      <c r="AK32" s="81"/>
      <c r="AL32" s="81"/>
      <c r="AM32" s="81"/>
      <c r="AN32" s="81"/>
      <c r="AO32" s="81"/>
      <c r="AP32" s="81"/>
      <c r="AQ32" s="81" t="s">
        <v>729</v>
      </c>
      <c r="AR32" s="81"/>
      <c r="AS32" s="81"/>
      <c r="AT32" s="81"/>
      <c r="AU32" s="81"/>
      <c r="AV32" s="86" t="str">
        <f>HYPERLINK("https://pbs.twimg.com/media/F9tgJw4XIAAbXgn.jpg")</f>
        <v>https://pbs.twimg.com/media/F9tgJw4XIAAbXgn.jpg</v>
      </c>
      <c r="AW32" s="84" t="s">
        <v>772</v>
      </c>
      <c r="AX32" s="84" t="s">
        <v>772</v>
      </c>
      <c r="AY32" s="81"/>
      <c r="AZ32" s="84" t="s">
        <v>879</v>
      </c>
      <c r="BA32" s="84" t="s">
        <v>879</v>
      </c>
      <c r="BB32" s="84" t="s">
        <v>879</v>
      </c>
      <c r="BC32" s="84" t="s">
        <v>772</v>
      </c>
      <c r="BD32" s="81">
        <v>48711250</v>
      </c>
      <c r="BE32" s="81"/>
      <c r="BF32" s="81"/>
      <c r="BG32" s="81"/>
      <c r="BH32" s="81"/>
      <c r="BI32" s="81"/>
      <c r="BJ32">
        <v>3</v>
      </c>
      <c r="BK32" s="80" t="str">
        <f>REPLACE(INDEX(GroupVertices[Group], MATCH("~"&amp;Edges27[[#This Row],[Vertex 1]],GroupVertices[Vertex],0)),1,1,"")</f>
        <v>2</v>
      </c>
      <c r="BL32" s="80" t="str">
        <f>REPLACE(INDEX(GroupVertices[Group], MATCH("~"&amp;Edges27[[#This Row],[Vertex 2]],GroupVertices[Vertex],0)),1,1,"")</f>
        <v>2</v>
      </c>
      <c r="BM32" s="49">
        <v>0</v>
      </c>
      <c r="BN32" s="50">
        <v>0</v>
      </c>
      <c r="BO32" s="49">
        <v>1</v>
      </c>
      <c r="BP32" s="50">
        <v>4</v>
      </c>
      <c r="BQ32" s="49">
        <v>0</v>
      </c>
      <c r="BR32" s="50">
        <v>0</v>
      </c>
      <c r="BS32" s="49">
        <v>19</v>
      </c>
      <c r="BT32" s="50">
        <v>76</v>
      </c>
      <c r="BU32" s="49">
        <v>25</v>
      </c>
    </row>
    <row r="33" spans="1:73" x14ac:dyDescent="0.25">
      <c r="A33" s="65" t="s">
        <v>261</v>
      </c>
      <c r="B33" s="65" t="s">
        <v>261</v>
      </c>
      <c r="C33" s="66"/>
      <c r="D33" s="67"/>
      <c r="E33" s="68"/>
      <c r="F33" s="69"/>
      <c r="G33" s="66"/>
      <c r="H33" s="70"/>
      <c r="I33" s="71"/>
      <c r="J33" s="71"/>
      <c r="K33" s="35" t="s">
        <v>65</v>
      </c>
      <c r="L33" s="79">
        <v>62</v>
      </c>
      <c r="M33" s="79"/>
      <c r="N33" s="73"/>
      <c r="O33" s="81" t="s">
        <v>196</v>
      </c>
      <c r="P33" s="83">
        <v>45230.655752314815</v>
      </c>
      <c r="Q33" s="81" t="s">
        <v>396</v>
      </c>
      <c r="R33" s="81">
        <v>0</v>
      </c>
      <c r="S33" s="81">
        <v>4</v>
      </c>
      <c r="T33" s="81">
        <v>0</v>
      </c>
      <c r="U33" s="81">
        <v>1</v>
      </c>
      <c r="V33" s="81">
        <v>336</v>
      </c>
      <c r="W33" s="84" t="s">
        <v>480</v>
      </c>
      <c r="X33" s="86" t="str">
        <f>HYPERLINK("https://kennesaw-edu.zoom.us/meeting/register/tZcpd-GurD0vHtOBt6ciqEa1hWY15Dijyo3R#/registration")</f>
        <v>https://kennesaw-edu.zoom.us/meeting/register/tZcpd-GurD0vHtOBt6ciqEa1hWY15Dijyo3R#/registration</v>
      </c>
      <c r="Y33" s="81" t="s">
        <v>502</v>
      </c>
      <c r="Z33" s="81"/>
      <c r="AA33" s="81" t="s">
        <v>561</v>
      </c>
      <c r="AB33" s="81" t="s">
        <v>575</v>
      </c>
      <c r="AC33" s="84" t="s">
        <v>582</v>
      </c>
      <c r="AD33" s="81" t="s">
        <v>588</v>
      </c>
      <c r="AE33" s="86" t="str">
        <f>HYPERLINK("https://twitter.com/aejmc_prd/status/1719379773795750043")</f>
        <v>https://twitter.com/aejmc_prd/status/1719379773795750043</v>
      </c>
      <c r="AF33" s="83">
        <v>45230.655752314815</v>
      </c>
      <c r="AG33" s="89">
        <v>45230</v>
      </c>
      <c r="AH33" s="84" t="s">
        <v>619</v>
      </c>
      <c r="AI33" s="81" t="b">
        <v>0</v>
      </c>
      <c r="AJ33" s="81"/>
      <c r="AK33" s="81"/>
      <c r="AL33" s="81"/>
      <c r="AM33" s="81"/>
      <c r="AN33" s="81"/>
      <c r="AO33" s="81"/>
      <c r="AP33" s="81"/>
      <c r="AQ33" s="81" t="s">
        <v>730</v>
      </c>
      <c r="AR33" s="81"/>
      <c r="AS33" s="81"/>
      <c r="AT33" s="81"/>
      <c r="AU33" s="81"/>
      <c r="AV33" s="86" t="str">
        <f>HYPERLINK("https://pbs.twimg.com/media/F9xslKgWEAAwHeM.jpg")</f>
        <v>https://pbs.twimg.com/media/F9xslKgWEAAwHeM.jpg</v>
      </c>
      <c r="AW33" s="84" t="s">
        <v>773</v>
      </c>
      <c r="AX33" s="84" t="s">
        <v>773</v>
      </c>
      <c r="AY33" s="81"/>
      <c r="AZ33" s="84" t="s">
        <v>879</v>
      </c>
      <c r="BA33" s="84" t="s">
        <v>879</v>
      </c>
      <c r="BB33" s="84" t="s">
        <v>879</v>
      </c>
      <c r="BC33" s="84" t="s">
        <v>773</v>
      </c>
      <c r="BD33" s="81">
        <v>48711250</v>
      </c>
      <c r="BE33" s="81"/>
      <c r="BF33" s="81"/>
      <c r="BG33" s="81"/>
      <c r="BH33" s="81"/>
      <c r="BI33" s="81"/>
      <c r="BJ33">
        <v>3</v>
      </c>
      <c r="BK33" s="80" t="str">
        <f>REPLACE(INDEX(GroupVertices[Group], MATCH("~"&amp;Edges27[[#This Row],[Vertex 1]],GroupVertices[Vertex],0)),1,1,"")</f>
        <v>2</v>
      </c>
      <c r="BL33" s="80" t="str">
        <f>REPLACE(INDEX(GroupVertices[Group], MATCH("~"&amp;Edges27[[#This Row],[Vertex 2]],GroupVertices[Vertex],0)),1,1,"")</f>
        <v>2</v>
      </c>
      <c r="BM33" s="49">
        <v>0</v>
      </c>
      <c r="BN33" s="50">
        <v>0</v>
      </c>
      <c r="BO33" s="49">
        <v>0</v>
      </c>
      <c r="BP33" s="50">
        <v>0</v>
      </c>
      <c r="BQ33" s="49">
        <v>0</v>
      </c>
      <c r="BR33" s="50">
        <v>0</v>
      </c>
      <c r="BS33" s="49">
        <v>14</v>
      </c>
      <c r="BT33" s="50">
        <v>58.333333333333336</v>
      </c>
      <c r="BU33" s="49">
        <v>24</v>
      </c>
    </row>
    <row r="34" spans="1:73" x14ac:dyDescent="0.25">
      <c r="A34" s="65" t="s">
        <v>261</v>
      </c>
      <c r="B34" s="65" t="s">
        <v>261</v>
      </c>
      <c r="C34" s="66"/>
      <c r="D34" s="67"/>
      <c r="E34" s="68"/>
      <c r="F34" s="69"/>
      <c r="G34" s="66"/>
      <c r="H34" s="70"/>
      <c r="I34" s="71"/>
      <c r="J34" s="71"/>
      <c r="K34" s="35" t="s">
        <v>65</v>
      </c>
      <c r="L34" s="79">
        <v>63</v>
      </c>
      <c r="M34" s="79"/>
      <c r="N34" s="73"/>
      <c r="O34" s="81" t="s">
        <v>196</v>
      </c>
      <c r="P34" s="83">
        <v>45229.923611111109</v>
      </c>
      <c r="Q34" s="81" t="s">
        <v>397</v>
      </c>
      <c r="R34" s="81">
        <v>1</v>
      </c>
      <c r="S34" s="81">
        <v>4</v>
      </c>
      <c r="T34" s="81">
        <v>0</v>
      </c>
      <c r="U34" s="81">
        <v>0</v>
      </c>
      <c r="V34" s="81">
        <v>253</v>
      </c>
      <c r="W34" s="84" t="s">
        <v>481</v>
      </c>
      <c r="X34" s="81"/>
      <c r="Y34" s="81"/>
      <c r="Z34" s="81"/>
      <c r="AA34" s="81" t="s">
        <v>562</v>
      </c>
      <c r="AB34" s="81" t="s">
        <v>575</v>
      </c>
      <c r="AC34" s="84" t="s">
        <v>582</v>
      </c>
      <c r="AD34" s="81" t="s">
        <v>588</v>
      </c>
      <c r="AE34" s="86" t="str">
        <f>HYPERLINK("https://twitter.com/aejmc_prd/status/1719114454913446213")</f>
        <v>https://twitter.com/aejmc_prd/status/1719114454913446213</v>
      </c>
      <c r="AF34" s="83">
        <v>45229.923611111109</v>
      </c>
      <c r="AG34" s="89">
        <v>45229</v>
      </c>
      <c r="AH34" s="84" t="s">
        <v>620</v>
      </c>
      <c r="AI34" s="81" t="b">
        <v>0</v>
      </c>
      <c r="AJ34" s="81"/>
      <c r="AK34" s="81"/>
      <c r="AL34" s="81"/>
      <c r="AM34" s="81"/>
      <c r="AN34" s="81"/>
      <c r="AO34" s="81"/>
      <c r="AP34" s="81"/>
      <c r="AQ34" s="81" t="s">
        <v>731</v>
      </c>
      <c r="AR34" s="81"/>
      <c r="AS34" s="81"/>
      <c r="AT34" s="81"/>
      <c r="AU34" s="81"/>
      <c r="AV34" s="86" t="str">
        <f>HYPERLINK("https://pbs.twimg.com/media/F9tcXGJXEAAOUf6.jpg")</f>
        <v>https://pbs.twimg.com/media/F9tcXGJXEAAOUf6.jpg</v>
      </c>
      <c r="AW34" s="84" t="s">
        <v>774</v>
      </c>
      <c r="AX34" s="84" t="s">
        <v>774</v>
      </c>
      <c r="AY34" s="81"/>
      <c r="AZ34" s="84" t="s">
        <v>879</v>
      </c>
      <c r="BA34" s="84" t="s">
        <v>879</v>
      </c>
      <c r="BB34" s="84" t="s">
        <v>879</v>
      </c>
      <c r="BC34" s="84" t="s">
        <v>774</v>
      </c>
      <c r="BD34" s="81">
        <v>48711250</v>
      </c>
      <c r="BE34" s="81"/>
      <c r="BF34" s="81"/>
      <c r="BG34" s="81"/>
      <c r="BH34" s="81"/>
      <c r="BI34" s="81"/>
      <c r="BJ34">
        <v>3</v>
      </c>
      <c r="BK34" s="80" t="str">
        <f>REPLACE(INDEX(GroupVertices[Group], MATCH("~"&amp;Edges27[[#This Row],[Vertex 1]],GroupVertices[Vertex],0)),1,1,"")</f>
        <v>2</v>
      </c>
      <c r="BL34" s="80" t="str">
        <f>REPLACE(INDEX(GroupVertices[Group], MATCH("~"&amp;Edges27[[#This Row],[Vertex 2]],GroupVertices[Vertex],0)),1,1,"")</f>
        <v>2</v>
      </c>
      <c r="BM34" s="49">
        <v>1</v>
      </c>
      <c r="BN34" s="50">
        <v>7.1428571428571432</v>
      </c>
      <c r="BO34" s="49">
        <v>0</v>
      </c>
      <c r="BP34" s="50">
        <v>0</v>
      </c>
      <c r="BQ34" s="49">
        <v>0</v>
      </c>
      <c r="BR34" s="50">
        <v>0</v>
      </c>
      <c r="BS34" s="49">
        <v>10</v>
      </c>
      <c r="BT34" s="50">
        <v>71.428571428571431</v>
      </c>
      <c r="BU34" s="49">
        <v>14</v>
      </c>
    </row>
    <row r="35" spans="1:73" x14ac:dyDescent="0.25">
      <c r="A35" s="65" t="s">
        <v>262</v>
      </c>
      <c r="B35" s="65" t="s">
        <v>261</v>
      </c>
      <c r="C35" s="66"/>
      <c r="D35" s="67"/>
      <c r="E35" s="68"/>
      <c r="F35" s="69"/>
      <c r="G35" s="66"/>
      <c r="H35" s="70"/>
      <c r="I35" s="71"/>
      <c r="J35" s="71"/>
      <c r="K35" s="35" t="s">
        <v>65</v>
      </c>
      <c r="L35" s="79">
        <v>64</v>
      </c>
      <c r="M35" s="79"/>
      <c r="N35" s="73"/>
      <c r="O35" s="81" t="s">
        <v>365</v>
      </c>
      <c r="P35" s="83">
        <v>45229.842766203707</v>
      </c>
      <c r="Q35" s="81" t="s">
        <v>398</v>
      </c>
      <c r="R35" s="81">
        <v>2</v>
      </c>
      <c r="S35" s="81">
        <v>0</v>
      </c>
      <c r="T35" s="81">
        <v>0</v>
      </c>
      <c r="U35" s="81">
        <v>0</v>
      </c>
      <c r="V35" s="81"/>
      <c r="W35" s="81"/>
      <c r="X35" s="81"/>
      <c r="Y35" s="81"/>
      <c r="Z35" s="81" t="s">
        <v>261</v>
      </c>
      <c r="AA35" s="81"/>
      <c r="AB35" s="81"/>
      <c r="AC35" s="84" t="s">
        <v>582</v>
      </c>
      <c r="AD35" s="81" t="s">
        <v>588</v>
      </c>
      <c r="AE35" s="86" t="str">
        <f>HYPERLINK("https://twitter.com/jpreprd/status/1719085160015229016")</f>
        <v>https://twitter.com/jpreprd/status/1719085160015229016</v>
      </c>
      <c r="AF35" s="83">
        <v>45229.842766203707</v>
      </c>
      <c r="AG35" s="89">
        <v>45229</v>
      </c>
      <c r="AH35" s="84" t="s">
        <v>621</v>
      </c>
      <c r="AI35" s="81"/>
      <c r="AJ35" s="81"/>
      <c r="AK35" s="81"/>
      <c r="AL35" s="81"/>
      <c r="AM35" s="81"/>
      <c r="AN35" s="81"/>
      <c r="AO35" s="81"/>
      <c r="AP35" s="81"/>
      <c r="AQ35" s="81"/>
      <c r="AR35" s="81"/>
      <c r="AS35" s="81"/>
      <c r="AT35" s="81"/>
      <c r="AU35" s="81"/>
      <c r="AV35" s="86" t="str">
        <f>HYPERLINK("https://pbs.twimg.com/profile_images/1436489393309683718/NZYg-bsj_normal.png")</f>
        <v>https://pbs.twimg.com/profile_images/1436489393309683718/NZYg-bsj_normal.png</v>
      </c>
      <c r="AW35" s="84" t="s">
        <v>775</v>
      </c>
      <c r="AX35" s="84" t="s">
        <v>775</v>
      </c>
      <c r="AY35" s="81"/>
      <c r="AZ35" s="84" t="s">
        <v>879</v>
      </c>
      <c r="BA35" s="84" t="s">
        <v>879</v>
      </c>
      <c r="BB35" s="84" t="s">
        <v>771</v>
      </c>
      <c r="BC35" s="84" t="s">
        <v>771</v>
      </c>
      <c r="BD35" s="84" t="s">
        <v>886</v>
      </c>
      <c r="BE35" s="81"/>
      <c r="BF35" s="81"/>
      <c r="BG35" s="81"/>
      <c r="BH35" s="81"/>
      <c r="BI35" s="81"/>
      <c r="BJ35">
        <v>1</v>
      </c>
      <c r="BK35" s="80" t="str">
        <f>REPLACE(INDEX(GroupVertices[Group], MATCH("~"&amp;Edges27[[#This Row],[Vertex 1]],GroupVertices[Vertex],0)),1,1,"")</f>
        <v>2</v>
      </c>
      <c r="BL35" s="80" t="str">
        <f>REPLACE(INDEX(GroupVertices[Group], MATCH("~"&amp;Edges27[[#This Row],[Vertex 2]],GroupVertices[Vertex],0)),1,1,"")</f>
        <v>2</v>
      </c>
      <c r="BM35" s="49">
        <v>1</v>
      </c>
      <c r="BN35" s="50">
        <v>4.5454545454545459</v>
      </c>
      <c r="BO35" s="49">
        <v>0</v>
      </c>
      <c r="BP35" s="50">
        <v>0</v>
      </c>
      <c r="BQ35" s="49">
        <v>0</v>
      </c>
      <c r="BR35" s="50">
        <v>0</v>
      </c>
      <c r="BS35" s="49">
        <v>14</v>
      </c>
      <c r="BT35" s="50">
        <v>63.636363636363633</v>
      </c>
      <c r="BU35" s="49">
        <v>22</v>
      </c>
    </row>
    <row r="36" spans="1:73" x14ac:dyDescent="0.25">
      <c r="A36" s="65" t="s">
        <v>263</v>
      </c>
      <c r="B36" s="65" t="s">
        <v>263</v>
      </c>
      <c r="C36" s="66"/>
      <c r="D36" s="67"/>
      <c r="E36" s="68"/>
      <c r="F36" s="69"/>
      <c r="G36" s="66"/>
      <c r="H36" s="70"/>
      <c r="I36" s="71"/>
      <c r="J36" s="71"/>
      <c r="K36" s="35" t="s">
        <v>65</v>
      </c>
      <c r="L36" s="79">
        <v>65</v>
      </c>
      <c r="M36" s="79"/>
      <c r="N36" s="73"/>
      <c r="O36" s="81" t="s">
        <v>196</v>
      </c>
      <c r="P36" s="83">
        <v>45230.79315972222</v>
      </c>
      <c r="Q36" s="81" t="s">
        <v>399</v>
      </c>
      <c r="R36" s="81">
        <v>0</v>
      </c>
      <c r="S36" s="81">
        <v>0</v>
      </c>
      <c r="T36" s="81">
        <v>0</v>
      </c>
      <c r="U36" s="81">
        <v>0</v>
      </c>
      <c r="V36" s="81">
        <v>98</v>
      </c>
      <c r="W36" s="81"/>
      <c r="X36" s="81"/>
      <c r="Y36" s="81"/>
      <c r="Z36" s="81"/>
      <c r="AA36" s="81" t="s">
        <v>563</v>
      </c>
      <c r="AB36" s="81" t="s">
        <v>576</v>
      </c>
      <c r="AC36" s="84" t="s">
        <v>582</v>
      </c>
      <c r="AD36" s="81" t="s">
        <v>588</v>
      </c>
      <c r="AE36" s="86" t="str">
        <f>HYPERLINK("https://twitter.com/icd_aejmc/status/1719429570024091940")</f>
        <v>https://twitter.com/icd_aejmc/status/1719429570024091940</v>
      </c>
      <c r="AF36" s="83">
        <v>45230.79315972222</v>
      </c>
      <c r="AG36" s="89">
        <v>45230</v>
      </c>
      <c r="AH36" s="84" t="s">
        <v>622</v>
      </c>
      <c r="AI36" s="81" t="b">
        <v>0</v>
      </c>
      <c r="AJ36" s="81"/>
      <c r="AK36" s="81"/>
      <c r="AL36" s="81"/>
      <c r="AM36" s="81"/>
      <c r="AN36" s="81"/>
      <c r="AO36" s="81"/>
      <c r="AP36" s="81"/>
      <c r="AQ36" s="81" t="s">
        <v>732</v>
      </c>
      <c r="AR36" s="81"/>
      <c r="AS36" s="81"/>
      <c r="AT36" s="81"/>
      <c r="AU36" s="81"/>
      <c r="AV36" s="86" t="str">
        <f>HYPERLINK("https://pbs.twimg.com/media/F9ykDLJX0AAhAKG.jpg")</f>
        <v>https://pbs.twimg.com/media/F9ykDLJX0AAhAKG.jpg</v>
      </c>
      <c r="AW36" s="84" t="s">
        <v>776</v>
      </c>
      <c r="AX36" s="84" t="s">
        <v>776</v>
      </c>
      <c r="AY36" s="81"/>
      <c r="AZ36" s="84" t="s">
        <v>879</v>
      </c>
      <c r="BA36" s="84" t="s">
        <v>879</v>
      </c>
      <c r="BB36" s="84" t="s">
        <v>879</v>
      </c>
      <c r="BC36" s="84" t="s">
        <v>776</v>
      </c>
      <c r="BD36" s="81">
        <v>1636606320</v>
      </c>
      <c r="BE36" s="81"/>
      <c r="BF36" s="81"/>
      <c r="BG36" s="81"/>
      <c r="BH36" s="81"/>
      <c r="BI36" s="81"/>
      <c r="BJ36">
        <v>1</v>
      </c>
      <c r="BK36" s="80" t="str">
        <f>REPLACE(INDEX(GroupVertices[Group], MATCH("~"&amp;Edges27[[#This Row],[Vertex 1]],GroupVertices[Vertex],0)),1,1,"")</f>
        <v>13</v>
      </c>
      <c r="BL36" s="80" t="str">
        <f>REPLACE(INDEX(GroupVertices[Group], MATCH("~"&amp;Edges27[[#This Row],[Vertex 2]],GroupVertices[Vertex],0)),1,1,"")</f>
        <v>13</v>
      </c>
      <c r="BM36" s="49">
        <v>0</v>
      </c>
      <c r="BN36" s="50">
        <v>0</v>
      </c>
      <c r="BO36" s="49">
        <v>0</v>
      </c>
      <c r="BP36" s="50">
        <v>0</v>
      </c>
      <c r="BQ36" s="49">
        <v>0</v>
      </c>
      <c r="BR36" s="50">
        <v>0</v>
      </c>
      <c r="BS36" s="49">
        <v>22</v>
      </c>
      <c r="BT36" s="50">
        <v>68.75</v>
      </c>
      <c r="BU36" s="49">
        <v>32</v>
      </c>
    </row>
    <row r="37" spans="1:73" x14ac:dyDescent="0.25">
      <c r="A37" s="65" t="s">
        <v>264</v>
      </c>
      <c r="B37" s="65" t="s">
        <v>306</v>
      </c>
      <c r="C37" s="66"/>
      <c r="D37" s="67"/>
      <c r="E37" s="68"/>
      <c r="F37" s="69"/>
      <c r="G37" s="66"/>
      <c r="H37" s="70"/>
      <c r="I37" s="71"/>
      <c r="J37" s="71"/>
      <c r="K37" s="35" t="s">
        <v>65</v>
      </c>
      <c r="L37" s="79">
        <v>66</v>
      </c>
      <c r="M37" s="79"/>
      <c r="N37" s="73"/>
      <c r="O37" s="81" t="s">
        <v>365</v>
      </c>
      <c r="P37" s="83">
        <v>45235.070960648147</v>
      </c>
      <c r="Q37" s="81" t="s">
        <v>383</v>
      </c>
      <c r="R37" s="81">
        <v>4</v>
      </c>
      <c r="S37" s="81">
        <v>0</v>
      </c>
      <c r="T37" s="81">
        <v>0</v>
      </c>
      <c r="U37" s="81">
        <v>0</v>
      </c>
      <c r="V37" s="81"/>
      <c r="W37" s="81"/>
      <c r="X37" s="81"/>
      <c r="Y37" s="81"/>
      <c r="Z37" s="81" t="s">
        <v>306</v>
      </c>
      <c r="AA37" s="81"/>
      <c r="AB37" s="81"/>
      <c r="AC37" s="84" t="s">
        <v>580</v>
      </c>
      <c r="AD37" s="81" t="s">
        <v>588</v>
      </c>
      <c r="AE37" s="86" t="str">
        <f>HYPERLINK("https://twitter.com/drefb1/status/1720979792630370409")</f>
        <v>https://twitter.com/drefb1/status/1720979792630370409</v>
      </c>
      <c r="AF37" s="83">
        <v>45235.070960648147</v>
      </c>
      <c r="AG37" s="89">
        <v>45235</v>
      </c>
      <c r="AH37" s="84" t="s">
        <v>623</v>
      </c>
      <c r="AI37" s="81"/>
      <c r="AJ37" s="81"/>
      <c r="AK37" s="81"/>
      <c r="AL37" s="81"/>
      <c r="AM37" s="81"/>
      <c r="AN37" s="81"/>
      <c r="AO37" s="81"/>
      <c r="AP37" s="81"/>
      <c r="AQ37" s="81"/>
      <c r="AR37" s="81"/>
      <c r="AS37" s="81"/>
      <c r="AT37" s="81"/>
      <c r="AU37" s="81"/>
      <c r="AV37" s="86" t="str">
        <f>HYPERLINK("https://pbs.twimg.com/profile_images/1250098700296175618/S-7T9ZM4_normal.jpg")</f>
        <v>https://pbs.twimg.com/profile_images/1250098700296175618/S-7T9ZM4_normal.jpg</v>
      </c>
      <c r="AW37" s="84" t="s">
        <v>777</v>
      </c>
      <c r="AX37" s="84" t="s">
        <v>777</v>
      </c>
      <c r="AY37" s="81"/>
      <c r="AZ37" s="84" t="s">
        <v>879</v>
      </c>
      <c r="BA37" s="84" t="s">
        <v>879</v>
      </c>
      <c r="BB37" s="84" t="s">
        <v>870</v>
      </c>
      <c r="BC37" s="84" t="s">
        <v>870</v>
      </c>
      <c r="BD37" s="84" t="s">
        <v>887</v>
      </c>
      <c r="BE37" s="81"/>
      <c r="BF37" s="81"/>
      <c r="BG37" s="81"/>
      <c r="BH37" s="81"/>
      <c r="BI37" s="81"/>
      <c r="BJ37">
        <v>1</v>
      </c>
      <c r="BK37" s="80" t="str">
        <f>REPLACE(INDEX(GroupVertices[Group], MATCH("~"&amp;Edges27[[#This Row],[Vertex 1]],GroupVertices[Vertex],0)),1,1,"")</f>
        <v>7</v>
      </c>
      <c r="BL37" s="80" t="str">
        <f>REPLACE(INDEX(GroupVertices[Group], MATCH("~"&amp;Edges27[[#This Row],[Vertex 2]],GroupVertices[Vertex],0)),1,1,"")</f>
        <v>7</v>
      </c>
      <c r="BM37" s="49">
        <v>1</v>
      </c>
      <c r="BN37" s="50">
        <v>4.5454545454545459</v>
      </c>
      <c r="BO37" s="49">
        <v>0</v>
      </c>
      <c r="BP37" s="50">
        <v>0</v>
      </c>
      <c r="BQ37" s="49">
        <v>0</v>
      </c>
      <c r="BR37" s="50">
        <v>0</v>
      </c>
      <c r="BS37" s="49">
        <v>14</v>
      </c>
      <c r="BT37" s="50">
        <v>63.636363636363633</v>
      </c>
      <c r="BU37" s="49">
        <v>22</v>
      </c>
    </row>
    <row r="38" spans="1:73" x14ac:dyDescent="0.25">
      <c r="A38" s="65" t="s">
        <v>265</v>
      </c>
      <c r="B38" s="65" t="s">
        <v>312</v>
      </c>
      <c r="C38" s="66"/>
      <c r="D38" s="67"/>
      <c r="E38" s="68"/>
      <c r="F38" s="69"/>
      <c r="G38" s="66"/>
      <c r="H38" s="70"/>
      <c r="I38" s="71"/>
      <c r="J38" s="71"/>
      <c r="K38" s="35" t="s">
        <v>65</v>
      </c>
      <c r="L38" s="79">
        <v>67</v>
      </c>
      <c r="M38" s="79"/>
      <c r="N38" s="73"/>
      <c r="O38" s="81" t="s">
        <v>366</v>
      </c>
      <c r="P38" s="83">
        <v>45232.01703703704</v>
      </c>
      <c r="Q38" s="81" t="s">
        <v>379</v>
      </c>
      <c r="R38" s="81">
        <v>5</v>
      </c>
      <c r="S38" s="81">
        <v>0</v>
      </c>
      <c r="T38" s="81">
        <v>0</v>
      </c>
      <c r="U38" s="81">
        <v>0</v>
      </c>
      <c r="V38" s="81"/>
      <c r="W38" s="81"/>
      <c r="X38" s="81"/>
      <c r="Y38" s="81"/>
      <c r="Z38" s="81" t="s">
        <v>523</v>
      </c>
      <c r="AA38" s="81"/>
      <c r="AB38" s="81"/>
      <c r="AC38" s="84" t="s">
        <v>579</v>
      </c>
      <c r="AD38" s="81" t="s">
        <v>588</v>
      </c>
      <c r="AE38" s="86" t="str">
        <f>HYPERLINK("https://twitter.com/dave_parisi/status/1719873085816369246")</f>
        <v>https://twitter.com/dave_parisi/status/1719873085816369246</v>
      </c>
      <c r="AF38" s="83">
        <v>45232.01703703704</v>
      </c>
      <c r="AG38" s="89">
        <v>45232</v>
      </c>
      <c r="AH38" s="84" t="s">
        <v>624</v>
      </c>
      <c r="AI38" s="81"/>
      <c r="AJ38" s="81"/>
      <c r="AK38" s="81"/>
      <c r="AL38" s="81"/>
      <c r="AM38" s="81"/>
      <c r="AN38" s="81"/>
      <c r="AO38" s="81"/>
      <c r="AP38" s="81"/>
      <c r="AQ38" s="81"/>
      <c r="AR38" s="81"/>
      <c r="AS38" s="81"/>
      <c r="AT38" s="81"/>
      <c r="AU38" s="81"/>
      <c r="AV38" s="86" t="str">
        <f>HYPERLINK("https://pbs.twimg.com/profile_images/1495073752341782540/tSJocytd_normal.jpg")</f>
        <v>https://pbs.twimg.com/profile_images/1495073752341782540/tSJocytd_normal.jpg</v>
      </c>
      <c r="AW38" s="84" t="s">
        <v>778</v>
      </c>
      <c r="AX38" s="84" t="s">
        <v>778</v>
      </c>
      <c r="AY38" s="81"/>
      <c r="AZ38" s="84" t="s">
        <v>879</v>
      </c>
      <c r="BA38" s="84" t="s">
        <v>879</v>
      </c>
      <c r="BB38" s="84" t="s">
        <v>757</v>
      </c>
      <c r="BC38" s="84" t="s">
        <v>757</v>
      </c>
      <c r="BD38" s="81">
        <v>438476687</v>
      </c>
      <c r="BE38" s="81"/>
      <c r="BF38" s="81"/>
      <c r="BG38" s="81"/>
      <c r="BH38" s="81"/>
      <c r="BI38" s="81"/>
      <c r="BJ38">
        <v>1</v>
      </c>
      <c r="BK38" s="80" t="str">
        <f>REPLACE(INDEX(GroupVertices[Group], MATCH("~"&amp;Edges27[[#This Row],[Vertex 1]],GroupVertices[Vertex],0)),1,1,"")</f>
        <v>2</v>
      </c>
      <c r="BL38" s="80" t="str">
        <f>REPLACE(INDEX(GroupVertices[Group], MATCH("~"&amp;Edges27[[#This Row],[Vertex 2]],GroupVertices[Vertex],0)),1,1,"")</f>
        <v>2</v>
      </c>
      <c r="BM38" s="49"/>
      <c r="BN38" s="50"/>
      <c r="BO38" s="49"/>
      <c r="BP38" s="50"/>
      <c r="BQ38" s="49"/>
      <c r="BR38" s="50"/>
      <c r="BS38" s="49"/>
      <c r="BT38" s="50"/>
      <c r="BU38" s="49"/>
    </row>
    <row r="39" spans="1:73" x14ac:dyDescent="0.25">
      <c r="A39" s="65" t="s">
        <v>266</v>
      </c>
      <c r="B39" s="65" t="s">
        <v>268</v>
      </c>
      <c r="C39" s="66"/>
      <c r="D39" s="67"/>
      <c r="E39" s="68"/>
      <c r="F39" s="69"/>
      <c r="G39" s="66"/>
      <c r="H39" s="70"/>
      <c r="I39" s="71"/>
      <c r="J39" s="71"/>
      <c r="K39" s="35" t="s">
        <v>65</v>
      </c>
      <c r="L39" s="79">
        <v>69</v>
      </c>
      <c r="M39" s="79"/>
      <c r="N39" s="73"/>
      <c r="O39" s="81" t="s">
        <v>366</v>
      </c>
      <c r="P39" s="83">
        <v>45233.898136574076</v>
      </c>
      <c r="Q39" s="81" t="s">
        <v>400</v>
      </c>
      <c r="R39" s="81">
        <v>1</v>
      </c>
      <c r="S39" s="81">
        <v>0</v>
      </c>
      <c r="T39" s="81">
        <v>0</v>
      </c>
      <c r="U39" s="81">
        <v>0</v>
      </c>
      <c r="V39" s="81"/>
      <c r="W39" s="84" t="s">
        <v>474</v>
      </c>
      <c r="X39" s="86" t="str">
        <f>HYPERLINK("https://www.higheredjobs.com/faculty/details.cfm?JobCode=178596886")</f>
        <v>https://www.higheredjobs.com/faculty/details.cfm?JobCode=178596886</v>
      </c>
      <c r="Y39" s="81" t="s">
        <v>498</v>
      </c>
      <c r="Z39" s="81" t="s">
        <v>530</v>
      </c>
      <c r="AA39" s="81"/>
      <c r="AB39" s="81"/>
      <c r="AC39" s="84" t="s">
        <v>580</v>
      </c>
      <c r="AD39" s="81" t="s">
        <v>588</v>
      </c>
      <c r="AE39" s="86" t="str">
        <f>HYPERLINK("https://twitter.com/llassabe/status/1720554776251838636")</f>
        <v>https://twitter.com/llassabe/status/1720554776251838636</v>
      </c>
      <c r="AF39" s="83">
        <v>45233.898136574076</v>
      </c>
      <c r="AG39" s="89">
        <v>45233</v>
      </c>
      <c r="AH39" s="84" t="s">
        <v>625</v>
      </c>
      <c r="AI39" s="81" t="b">
        <v>0</v>
      </c>
      <c r="AJ39" s="81"/>
      <c r="AK39" s="81"/>
      <c r="AL39" s="81"/>
      <c r="AM39" s="81"/>
      <c r="AN39" s="81"/>
      <c r="AO39" s="81"/>
      <c r="AP39" s="81"/>
      <c r="AQ39" s="81"/>
      <c r="AR39" s="81"/>
      <c r="AS39" s="81"/>
      <c r="AT39" s="81"/>
      <c r="AU39" s="81"/>
      <c r="AV39" s="86" t="str">
        <f>HYPERLINK("https://pbs.twimg.com/profile_images/1695196813077237760/dUrkZteM_normal.jpg")</f>
        <v>https://pbs.twimg.com/profile_images/1695196813077237760/dUrkZteM_normal.jpg</v>
      </c>
      <c r="AW39" s="84" t="s">
        <v>779</v>
      </c>
      <c r="AX39" s="84" t="s">
        <v>779</v>
      </c>
      <c r="AY39" s="81"/>
      <c r="AZ39" s="84" t="s">
        <v>879</v>
      </c>
      <c r="BA39" s="84" t="s">
        <v>879</v>
      </c>
      <c r="BB39" s="84" t="s">
        <v>856</v>
      </c>
      <c r="BC39" s="84" t="s">
        <v>856</v>
      </c>
      <c r="BD39" s="81">
        <v>48086979</v>
      </c>
      <c r="BE39" s="81"/>
      <c r="BF39" s="81"/>
      <c r="BG39" s="81"/>
      <c r="BH39" s="81"/>
      <c r="BI39" s="81"/>
      <c r="BJ39">
        <v>1</v>
      </c>
      <c r="BK39" s="80" t="str">
        <f>REPLACE(INDEX(GroupVertices[Group], MATCH("~"&amp;Edges27[[#This Row],[Vertex 1]],GroupVertices[Vertex],0)),1,1,"")</f>
        <v>2</v>
      </c>
      <c r="BL39" s="80" t="str">
        <f>REPLACE(INDEX(GroupVertices[Group], MATCH("~"&amp;Edges27[[#This Row],[Vertex 2]],GroupVertices[Vertex],0)),1,1,"")</f>
        <v>1</v>
      </c>
      <c r="BM39" s="49"/>
      <c r="BN39" s="50"/>
      <c r="BO39" s="49"/>
      <c r="BP39" s="50"/>
      <c r="BQ39" s="49"/>
      <c r="BR39" s="50"/>
      <c r="BS39" s="49"/>
      <c r="BT39" s="50"/>
      <c r="BU39" s="49"/>
    </row>
    <row r="40" spans="1:73" x14ac:dyDescent="0.25">
      <c r="A40" s="65" t="s">
        <v>252</v>
      </c>
      <c r="B40" s="65" t="s">
        <v>267</v>
      </c>
      <c r="C40" s="66"/>
      <c r="D40" s="67"/>
      <c r="E40" s="68"/>
      <c r="F40" s="69"/>
      <c r="G40" s="66"/>
      <c r="H40" s="70"/>
      <c r="I40" s="71"/>
      <c r="J40" s="71"/>
      <c r="K40" s="35" t="s">
        <v>65</v>
      </c>
      <c r="L40" s="79">
        <v>71</v>
      </c>
      <c r="M40" s="79"/>
      <c r="N40" s="73"/>
      <c r="O40" s="81" t="s">
        <v>367</v>
      </c>
      <c r="P40" s="83">
        <v>45233.693148148152</v>
      </c>
      <c r="Q40" s="81" t="s">
        <v>401</v>
      </c>
      <c r="R40" s="81">
        <v>0</v>
      </c>
      <c r="S40" s="81">
        <v>1</v>
      </c>
      <c r="T40" s="81">
        <v>0</v>
      </c>
      <c r="U40" s="81">
        <v>0</v>
      </c>
      <c r="V40" s="81">
        <v>148</v>
      </c>
      <c r="W40" s="84" t="s">
        <v>474</v>
      </c>
      <c r="X40" s="86" t="str">
        <f>HYPERLINK("https://eeik.fa.us2.oraclecloud.com/hcmUI/CandidateExperience/en/sites/CX_1/requisitions/preview/233303/?keyword=Professor&amp;mode=location")</f>
        <v>https://eeik.fa.us2.oraclecloud.com/hcmUI/CandidateExperience/en/sites/CX_1/requisitions/preview/233303/?keyword=Professor&amp;mode=location</v>
      </c>
      <c r="Y40" s="81" t="s">
        <v>504</v>
      </c>
      <c r="Z40" s="81" t="s">
        <v>534</v>
      </c>
      <c r="AA40" s="81"/>
      <c r="AB40" s="81"/>
      <c r="AC40" s="84" t="s">
        <v>580</v>
      </c>
      <c r="AD40" s="81" t="s">
        <v>588</v>
      </c>
      <c r="AE40" s="86" t="str">
        <f>HYPERLINK("https://twitter.com/willthewordguy/status/1720480491709534567")</f>
        <v>https://twitter.com/willthewordguy/status/1720480491709534567</v>
      </c>
      <c r="AF40" s="83">
        <v>45233.693148148152</v>
      </c>
      <c r="AG40" s="89">
        <v>45233</v>
      </c>
      <c r="AH40" s="84" t="s">
        <v>626</v>
      </c>
      <c r="AI40" s="81" t="b">
        <v>0</v>
      </c>
      <c r="AJ40" s="81"/>
      <c r="AK40" s="81"/>
      <c r="AL40" s="81"/>
      <c r="AM40" s="81"/>
      <c r="AN40" s="81"/>
      <c r="AO40" s="81"/>
      <c r="AP40" s="81"/>
      <c r="AQ40" s="81"/>
      <c r="AR40" s="81"/>
      <c r="AS40" s="81"/>
      <c r="AT40" s="81"/>
      <c r="AU40" s="81"/>
      <c r="AV40" s="86" t="str">
        <f>HYPERLINK("https://pbs.twimg.com/profile_images/1331376273755664384/mF7tQg3B_normal.jpg")</f>
        <v>https://pbs.twimg.com/profile_images/1331376273755664384/mF7tQg3B_normal.jpg</v>
      </c>
      <c r="AW40" s="84" t="s">
        <v>780</v>
      </c>
      <c r="AX40" s="84" t="s">
        <v>780</v>
      </c>
      <c r="AY40" s="81"/>
      <c r="AZ40" s="84" t="s">
        <v>879</v>
      </c>
      <c r="BA40" s="84" t="s">
        <v>879</v>
      </c>
      <c r="BB40" s="84" t="s">
        <v>879</v>
      </c>
      <c r="BC40" s="84" t="s">
        <v>780</v>
      </c>
      <c r="BD40" s="81">
        <v>414179273</v>
      </c>
      <c r="BE40" s="81"/>
      <c r="BF40" s="81"/>
      <c r="BG40" s="81"/>
      <c r="BH40" s="81"/>
      <c r="BI40" s="81"/>
      <c r="BJ40">
        <v>2</v>
      </c>
      <c r="BK40" s="80" t="str">
        <f>REPLACE(INDEX(GroupVertices[Group], MATCH("~"&amp;Edges27[[#This Row],[Vertex 1]],GroupVertices[Vertex],0)),1,1,"")</f>
        <v>2</v>
      </c>
      <c r="BL40" s="80" t="str">
        <f>REPLACE(INDEX(GroupVertices[Group], MATCH("~"&amp;Edges27[[#This Row],[Vertex 2]],GroupVertices[Vertex],0)),1,1,"")</f>
        <v>2</v>
      </c>
      <c r="BM40" s="49">
        <v>0</v>
      </c>
      <c r="BN40" s="50">
        <v>0</v>
      </c>
      <c r="BO40" s="49">
        <v>0</v>
      </c>
      <c r="BP40" s="50">
        <v>0</v>
      </c>
      <c r="BQ40" s="49">
        <v>0</v>
      </c>
      <c r="BR40" s="50">
        <v>0</v>
      </c>
      <c r="BS40" s="49">
        <v>14</v>
      </c>
      <c r="BT40" s="50">
        <v>82.352941176470594</v>
      </c>
      <c r="BU40" s="49">
        <v>17</v>
      </c>
    </row>
    <row r="41" spans="1:73" x14ac:dyDescent="0.25">
      <c r="A41" s="65" t="s">
        <v>252</v>
      </c>
      <c r="B41" s="65" t="s">
        <v>267</v>
      </c>
      <c r="C41" s="66"/>
      <c r="D41" s="67"/>
      <c r="E41" s="68"/>
      <c r="F41" s="69"/>
      <c r="G41" s="66"/>
      <c r="H41" s="70"/>
      <c r="I41" s="71"/>
      <c r="J41" s="71"/>
      <c r="K41" s="35" t="s">
        <v>65</v>
      </c>
      <c r="L41" s="79">
        <v>72</v>
      </c>
      <c r="M41" s="79"/>
      <c r="N41" s="73"/>
      <c r="O41" s="81" t="s">
        <v>367</v>
      </c>
      <c r="P41" s="83">
        <v>45233.679722222223</v>
      </c>
      <c r="Q41" s="81" t="s">
        <v>402</v>
      </c>
      <c r="R41" s="81">
        <v>0</v>
      </c>
      <c r="S41" s="81">
        <v>1</v>
      </c>
      <c r="T41" s="81">
        <v>0</v>
      </c>
      <c r="U41" s="81">
        <v>0</v>
      </c>
      <c r="V41" s="81">
        <v>104</v>
      </c>
      <c r="W41" s="84" t="s">
        <v>474</v>
      </c>
      <c r="X41" s="86" t="str">
        <f>HYPERLINK("https://www.higheredjobs.com/faculty/details.cfm?JobCode=178595177")</f>
        <v>https://www.higheredjobs.com/faculty/details.cfm?JobCode=178595177</v>
      </c>
      <c r="Y41" s="81" t="s">
        <v>498</v>
      </c>
      <c r="Z41" s="81" t="s">
        <v>534</v>
      </c>
      <c r="AA41" s="81"/>
      <c r="AB41" s="81"/>
      <c r="AC41" s="84" t="s">
        <v>580</v>
      </c>
      <c r="AD41" s="81" t="s">
        <v>588</v>
      </c>
      <c r="AE41" s="86" t="str">
        <f>HYPERLINK("https://twitter.com/willthewordguy/status/1720475626551881857")</f>
        <v>https://twitter.com/willthewordguy/status/1720475626551881857</v>
      </c>
      <c r="AF41" s="83">
        <v>45233.679722222223</v>
      </c>
      <c r="AG41" s="89">
        <v>45233</v>
      </c>
      <c r="AH41" s="84" t="s">
        <v>627</v>
      </c>
      <c r="AI41" s="81" t="b">
        <v>0</v>
      </c>
      <c r="AJ41" s="81"/>
      <c r="AK41" s="81"/>
      <c r="AL41" s="81"/>
      <c r="AM41" s="81"/>
      <c r="AN41" s="81"/>
      <c r="AO41" s="81"/>
      <c r="AP41" s="81"/>
      <c r="AQ41" s="81"/>
      <c r="AR41" s="81"/>
      <c r="AS41" s="81"/>
      <c r="AT41" s="81"/>
      <c r="AU41" s="81"/>
      <c r="AV41" s="86" t="str">
        <f>HYPERLINK("https://pbs.twimg.com/profile_images/1331376273755664384/mF7tQg3B_normal.jpg")</f>
        <v>https://pbs.twimg.com/profile_images/1331376273755664384/mF7tQg3B_normal.jpg</v>
      </c>
      <c r="AW41" s="84" t="s">
        <v>781</v>
      </c>
      <c r="AX41" s="84" t="s">
        <v>781</v>
      </c>
      <c r="AY41" s="81"/>
      <c r="AZ41" s="84" t="s">
        <v>879</v>
      </c>
      <c r="BA41" s="84" t="s">
        <v>879</v>
      </c>
      <c r="BB41" s="84" t="s">
        <v>879</v>
      </c>
      <c r="BC41" s="84" t="s">
        <v>781</v>
      </c>
      <c r="BD41" s="81">
        <v>414179273</v>
      </c>
      <c r="BE41" s="81"/>
      <c r="BF41" s="81"/>
      <c r="BG41" s="81"/>
      <c r="BH41" s="81"/>
      <c r="BI41" s="81"/>
      <c r="BJ41">
        <v>2</v>
      </c>
      <c r="BK41" s="80" t="str">
        <f>REPLACE(INDEX(GroupVertices[Group], MATCH("~"&amp;Edges27[[#This Row],[Vertex 1]],GroupVertices[Vertex],0)),1,1,"")</f>
        <v>2</v>
      </c>
      <c r="BL41" s="80" t="str">
        <f>REPLACE(INDEX(GroupVertices[Group], MATCH("~"&amp;Edges27[[#This Row],[Vertex 2]],GroupVertices[Vertex],0)),1,1,"")</f>
        <v>2</v>
      </c>
      <c r="BM41" s="49">
        <v>0</v>
      </c>
      <c r="BN41" s="50">
        <v>0</v>
      </c>
      <c r="BO41" s="49">
        <v>0</v>
      </c>
      <c r="BP41" s="50">
        <v>0</v>
      </c>
      <c r="BQ41" s="49">
        <v>0</v>
      </c>
      <c r="BR41" s="50">
        <v>0</v>
      </c>
      <c r="BS41" s="49">
        <v>9</v>
      </c>
      <c r="BT41" s="50">
        <v>81.818181818181813</v>
      </c>
      <c r="BU41" s="49">
        <v>11</v>
      </c>
    </row>
    <row r="42" spans="1:73" x14ac:dyDescent="0.25">
      <c r="A42" s="65" t="s">
        <v>267</v>
      </c>
      <c r="B42" s="65" t="s">
        <v>267</v>
      </c>
      <c r="C42" s="66"/>
      <c r="D42" s="67"/>
      <c r="E42" s="68"/>
      <c r="F42" s="69"/>
      <c r="G42" s="66"/>
      <c r="H42" s="70"/>
      <c r="I42" s="71"/>
      <c r="J42" s="71"/>
      <c r="K42" s="35" t="s">
        <v>65</v>
      </c>
      <c r="L42" s="79">
        <v>73</v>
      </c>
      <c r="M42" s="79"/>
      <c r="N42" s="73"/>
      <c r="O42" s="81" t="s">
        <v>196</v>
      </c>
      <c r="P42" s="83">
        <v>45232.656469907408</v>
      </c>
      <c r="Q42" s="81" t="s">
        <v>403</v>
      </c>
      <c r="R42" s="81">
        <v>3</v>
      </c>
      <c r="S42" s="81">
        <v>4</v>
      </c>
      <c r="T42" s="81">
        <v>0</v>
      </c>
      <c r="U42" s="81">
        <v>0</v>
      </c>
      <c r="V42" s="81">
        <v>491</v>
      </c>
      <c r="W42" s="81"/>
      <c r="X42" s="86" t="str">
        <f>HYPERLINK("https://bit.ly/3FJt4WK")</f>
        <v>https://bit.ly/3FJt4WK</v>
      </c>
      <c r="Y42" s="81" t="s">
        <v>505</v>
      </c>
      <c r="Z42" s="81"/>
      <c r="AA42" s="81"/>
      <c r="AB42" s="81"/>
      <c r="AC42" s="84" t="s">
        <v>582</v>
      </c>
      <c r="AD42" s="81" t="s">
        <v>588</v>
      </c>
      <c r="AE42" s="86" t="str">
        <f>HYPERLINK("https://twitter.com/aejmcviscom/status/1720104809574109277")</f>
        <v>https://twitter.com/aejmcviscom/status/1720104809574109277</v>
      </c>
      <c r="AF42" s="83">
        <v>45232.656469907408</v>
      </c>
      <c r="AG42" s="89">
        <v>45232</v>
      </c>
      <c r="AH42" s="84" t="s">
        <v>628</v>
      </c>
      <c r="AI42" s="81" t="b">
        <v>0</v>
      </c>
      <c r="AJ42" s="81"/>
      <c r="AK42" s="81"/>
      <c r="AL42" s="81"/>
      <c r="AM42" s="81"/>
      <c r="AN42" s="81"/>
      <c r="AO42" s="81"/>
      <c r="AP42" s="81"/>
      <c r="AQ42" s="81"/>
      <c r="AR42" s="81"/>
      <c r="AS42" s="81"/>
      <c r="AT42" s="81"/>
      <c r="AU42" s="81"/>
      <c r="AV42" s="86" t="str">
        <f>HYPERLINK("https://pbs.twimg.com/profile_images/378800000281230339/6ad02fea0dccd5f899ccdd79092deb23_normal.jpeg")</f>
        <v>https://pbs.twimg.com/profile_images/378800000281230339/6ad02fea0dccd5f899ccdd79092deb23_normal.jpeg</v>
      </c>
      <c r="AW42" s="84" t="s">
        <v>782</v>
      </c>
      <c r="AX42" s="84" t="s">
        <v>782</v>
      </c>
      <c r="AY42" s="81"/>
      <c r="AZ42" s="84" t="s">
        <v>879</v>
      </c>
      <c r="BA42" s="84" t="s">
        <v>879</v>
      </c>
      <c r="BB42" s="84" t="s">
        <v>879</v>
      </c>
      <c r="BC42" s="84" t="s">
        <v>782</v>
      </c>
      <c r="BD42" s="81">
        <v>1663878439</v>
      </c>
      <c r="BE42" s="81"/>
      <c r="BF42" s="81"/>
      <c r="BG42" s="81"/>
      <c r="BH42" s="81"/>
      <c r="BI42" s="81"/>
      <c r="BJ42">
        <v>1</v>
      </c>
      <c r="BK42" s="80" t="str">
        <f>REPLACE(INDEX(GroupVertices[Group], MATCH("~"&amp;Edges27[[#This Row],[Vertex 1]],GroupVertices[Vertex],0)),1,1,"")</f>
        <v>2</v>
      </c>
      <c r="BL42" s="80" t="str">
        <f>REPLACE(INDEX(GroupVertices[Group], MATCH("~"&amp;Edges27[[#This Row],[Vertex 2]],GroupVertices[Vertex],0)),1,1,"")</f>
        <v>2</v>
      </c>
      <c r="BM42" s="49">
        <v>1</v>
      </c>
      <c r="BN42" s="50">
        <v>3.5714285714285716</v>
      </c>
      <c r="BO42" s="49">
        <v>1</v>
      </c>
      <c r="BP42" s="50">
        <v>3.5714285714285716</v>
      </c>
      <c r="BQ42" s="49">
        <v>0</v>
      </c>
      <c r="BR42" s="50">
        <v>0</v>
      </c>
      <c r="BS42" s="49">
        <v>11</v>
      </c>
      <c r="BT42" s="50">
        <v>39.285714285714285</v>
      </c>
      <c r="BU42" s="49">
        <v>28</v>
      </c>
    </row>
    <row r="43" spans="1:73" x14ac:dyDescent="0.25">
      <c r="A43" s="65" t="s">
        <v>268</v>
      </c>
      <c r="B43" s="65" t="s">
        <v>267</v>
      </c>
      <c r="C43" s="66"/>
      <c r="D43" s="67"/>
      <c r="E43" s="68"/>
      <c r="F43" s="69"/>
      <c r="G43" s="66"/>
      <c r="H43" s="70"/>
      <c r="I43" s="71"/>
      <c r="J43" s="71"/>
      <c r="K43" s="35" t="s">
        <v>65</v>
      </c>
      <c r="L43" s="79">
        <v>74</v>
      </c>
      <c r="M43" s="79"/>
      <c r="N43" s="73"/>
      <c r="O43" s="81" t="s">
        <v>365</v>
      </c>
      <c r="P43" s="83">
        <v>45233.732766203706</v>
      </c>
      <c r="Q43" s="81" t="s">
        <v>404</v>
      </c>
      <c r="R43" s="81">
        <v>3</v>
      </c>
      <c r="S43" s="81">
        <v>0</v>
      </c>
      <c r="T43" s="81">
        <v>0</v>
      </c>
      <c r="U43" s="81">
        <v>0</v>
      </c>
      <c r="V43" s="81"/>
      <c r="W43" s="81"/>
      <c r="X43" s="81"/>
      <c r="Y43" s="81"/>
      <c r="Z43" s="81" t="s">
        <v>267</v>
      </c>
      <c r="AA43" s="81"/>
      <c r="AB43" s="81"/>
      <c r="AC43" s="84" t="s">
        <v>582</v>
      </c>
      <c r="AD43" s="81" t="s">
        <v>588</v>
      </c>
      <c r="AE43" s="86" t="str">
        <f>HYPERLINK("https://twitter.com/aejmc/status/1720494848510206134")</f>
        <v>https://twitter.com/aejmc/status/1720494848510206134</v>
      </c>
      <c r="AF43" s="83">
        <v>45233.732766203706</v>
      </c>
      <c r="AG43" s="89">
        <v>45233</v>
      </c>
      <c r="AH43" s="84" t="s">
        <v>629</v>
      </c>
      <c r="AI43" s="81" t="b">
        <v>0</v>
      </c>
      <c r="AJ43" s="81"/>
      <c r="AK43" s="81"/>
      <c r="AL43" s="81"/>
      <c r="AM43" s="81"/>
      <c r="AN43" s="81"/>
      <c r="AO43" s="81"/>
      <c r="AP43" s="81"/>
      <c r="AQ43" s="81"/>
      <c r="AR43" s="81"/>
      <c r="AS43" s="81"/>
      <c r="AT43" s="81"/>
      <c r="AU43" s="81"/>
      <c r="AV43" s="86" t="str">
        <f>HYPERLINK("https://pbs.twimg.com/profile_images/1559584982439444482/vOVkFGh3_normal.png")</f>
        <v>https://pbs.twimg.com/profile_images/1559584982439444482/vOVkFGh3_normal.png</v>
      </c>
      <c r="AW43" s="84" t="s">
        <v>783</v>
      </c>
      <c r="AX43" s="84" t="s">
        <v>783</v>
      </c>
      <c r="AY43" s="81"/>
      <c r="AZ43" s="84" t="s">
        <v>879</v>
      </c>
      <c r="BA43" s="84" t="s">
        <v>879</v>
      </c>
      <c r="BB43" s="84" t="s">
        <v>782</v>
      </c>
      <c r="BC43" s="84" t="s">
        <v>782</v>
      </c>
      <c r="BD43" s="81">
        <v>8442592</v>
      </c>
      <c r="BE43" s="81"/>
      <c r="BF43" s="81"/>
      <c r="BG43" s="81"/>
      <c r="BH43" s="81"/>
      <c r="BI43" s="81"/>
      <c r="BJ43">
        <v>1</v>
      </c>
      <c r="BK43" s="80" t="str">
        <f>REPLACE(INDEX(GroupVertices[Group], MATCH("~"&amp;Edges27[[#This Row],[Vertex 1]],GroupVertices[Vertex],0)),1,1,"")</f>
        <v>1</v>
      </c>
      <c r="BL43" s="80" t="str">
        <f>REPLACE(INDEX(GroupVertices[Group], MATCH("~"&amp;Edges27[[#This Row],[Vertex 2]],GroupVertices[Vertex],0)),1,1,"")</f>
        <v>2</v>
      </c>
      <c r="BM43" s="49">
        <v>1</v>
      </c>
      <c r="BN43" s="50">
        <v>3.7037037037037037</v>
      </c>
      <c r="BO43" s="49">
        <v>1</v>
      </c>
      <c r="BP43" s="50">
        <v>3.7037037037037037</v>
      </c>
      <c r="BQ43" s="49">
        <v>0</v>
      </c>
      <c r="BR43" s="50">
        <v>0</v>
      </c>
      <c r="BS43" s="49">
        <v>10</v>
      </c>
      <c r="BT43" s="50">
        <v>37.037037037037038</v>
      </c>
      <c r="BU43" s="49">
        <v>27</v>
      </c>
    </row>
    <row r="44" spans="1:73" x14ac:dyDescent="0.25">
      <c r="A44" s="65" t="s">
        <v>268</v>
      </c>
      <c r="B44" s="65" t="s">
        <v>321</v>
      </c>
      <c r="C44" s="66"/>
      <c r="D44" s="67"/>
      <c r="E44" s="68"/>
      <c r="F44" s="69"/>
      <c r="G44" s="66"/>
      <c r="H44" s="70"/>
      <c r="I44" s="71"/>
      <c r="J44" s="71"/>
      <c r="K44" s="35" t="s">
        <v>65</v>
      </c>
      <c r="L44" s="79">
        <v>76</v>
      </c>
      <c r="M44" s="79"/>
      <c r="N44" s="73"/>
      <c r="O44" s="81" t="s">
        <v>366</v>
      </c>
      <c r="P44" s="83">
        <v>45229.644247685188</v>
      </c>
      <c r="Q44" s="81" t="s">
        <v>405</v>
      </c>
      <c r="R44" s="81">
        <v>1</v>
      </c>
      <c r="S44" s="81">
        <v>0</v>
      </c>
      <c r="T44" s="81">
        <v>0</v>
      </c>
      <c r="U44" s="81">
        <v>0</v>
      </c>
      <c r="V44" s="81"/>
      <c r="W44" s="81"/>
      <c r="X44" s="81"/>
      <c r="Y44" s="81"/>
      <c r="Z44" s="81" t="s">
        <v>535</v>
      </c>
      <c r="AA44" s="81"/>
      <c r="AB44" s="81"/>
      <c r="AC44" s="84" t="s">
        <v>582</v>
      </c>
      <c r="AD44" s="81" t="s">
        <v>588</v>
      </c>
      <c r="AE44" s="86" t="str">
        <f>HYPERLINK("https://twitter.com/aejmc/status/1719013216028676245")</f>
        <v>https://twitter.com/aejmc/status/1719013216028676245</v>
      </c>
      <c r="AF44" s="83">
        <v>45229.644247685188</v>
      </c>
      <c r="AG44" s="89">
        <v>45229</v>
      </c>
      <c r="AH44" s="84" t="s">
        <v>630</v>
      </c>
      <c r="AI44" s="81"/>
      <c r="AJ44" s="81"/>
      <c r="AK44" s="81"/>
      <c r="AL44" s="81"/>
      <c r="AM44" s="81"/>
      <c r="AN44" s="81"/>
      <c r="AO44" s="81"/>
      <c r="AP44" s="81"/>
      <c r="AQ44" s="81"/>
      <c r="AR44" s="81"/>
      <c r="AS44" s="81"/>
      <c r="AT44" s="81"/>
      <c r="AU44" s="81"/>
      <c r="AV44" s="86" t="str">
        <f>HYPERLINK("https://pbs.twimg.com/profile_images/1559584982439444482/vOVkFGh3_normal.png")</f>
        <v>https://pbs.twimg.com/profile_images/1559584982439444482/vOVkFGh3_normal.png</v>
      </c>
      <c r="AW44" s="84" t="s">
        <v>784</v>
      </c>
      <c r="AX44" s="84" t="s">
        <v>784</v>
      </c>
      <c r="AY44" s="81"/>
      <c r="AZ44" s="84" t="s">
        <v>879</v>
      </c>
      <c r="BA44" s="84" t="s">
        <v>879</v>
      </c>
      <c r="BB44" s="84" t="s">
        <v>753</v>
      </c>
      <c r="BC44" s="84" t="s">
        <v>753</v>
      </c>
      <c r="BD44" s="81">
        <v>8442592</v>
      </c>
      <c r="BE44" s="81"/>
      <c r="BF44" s="81"/>
      <c r="BG44" s="81"/>
      <c r="BH44" s="81"/>
      <c r="BI44" s="81"/>
      <c r="BJ44">
        <v>1</v>
      </c>
      <c r="BK44" s="80" t="str">
        <f>REPLACE(INDEX(GroupVertices[Group], MATCH("~"&amp;Edges27[[#This Row],[Vertex 1]],GroupVertices[Vertex],0)),1,1,"")</f>
        <v>1</v>
      </c>
      <c r="BL44" s="80" t="str">
        <f>REPLACE(INDEX(GroupVertices[Group], MATCH("~"&amp;Edges27[[#This Row],[Vertex 2]],GroupVertices[Vertex],0)),1,1,"")</f>
        <v>3</v>
      </c>
      <c r="BM44" s="49">
        <v>0</v>
      </c>
      <c r="BN44" s="50">
        <v>0</v>
      </c>
      <c r="BO44" s="49">
        <v>0</v>
      </c>
      <c r="BP44" s="50">
        <v>0</v>
      </c>
      <c r="BQ44" s="49">
        <v>0</v>
      </c>
      <c r="BR44" s="50">
        <v>0</v>
      </c>
      <c r="BS44" s="49">
        <v>5</v>
      </c>
      <c r="BT44" s="50">
        <v>50</v>
      </c>
      <c r="BU44" s="49">
        <v>10</v>
      </c>
    </row>
    <row r="45" spans="1:73" x14ac:dyDescent="0.25">
      <c r="A45" s="65" t="s">
        <v>248</v>
      </c>
      <c r="B45" s="65" t="s">
        <v>268</v>
      </c>
      <c r="C45" s="66"/>
      <c r="D45" s="67"/>
      <c r="E45" s="68"/>
      <c r="F45" s="69"/>
      <c r="G45" s="66"/>
      <c r="H45" s="70"/>
      <c r="I45" s="71"/>
      <c r="J45" s="71"/>
      <c r="K45" s="35" t="s">
        <v>66</v>
      </c>
      <c r="L45" s="79">
        <v>82</v>
      </c>
      <c r="M45" s="79"/>
      <c r="N45" s="73"/>
      <c r="O45" s="81" t="s">
        <v>365</v>
      </c>
      <c r="P45" s="83">
        <v>45233.872812499998</v>
      </c>
      <c r="Q45" s="81" t="s">
        <v>406</v>
      </c>
      <c r="R45" s="81">
        <v>3</v>
      </c>
      <c r="S45" s="81">
        <v>0</v>
      </c>
      <c r="T45" s="81">
        <v>0</v>
      </c>
      <c r="U45" s="81">
        <v>0</v>
      </c>
      <c r="V45" s="81"/>
      <c r="W45" s="81"/>
      <c r="X45" s="81"/>
      <c r="Y45" s="81"/>
      <c r="Z45" s="81" t="s">
        <v>268</v>
      </c>
      <c r="AA45" s="81"/>
      <c r="AB45" s="81"/>
      <c r="AC45" s="84" t="s">
        <v>579</v>
      </c>
      <c r="AD45" s="81" t="s">
        <v>588</v>
      </c>
      <c r="AE45" s="86" t="str">
        <f>HYPERLINK("https://twitter.com/vioreladan/status/1720545599345369196")</f>
        <v>https://twitter.com/vioreladan/status/1720545599345369196</v>
      </c>
      <c r="AF45" s="83">
        <v>45233.872812499998</v>
      </c>
      <c r="AG45" s="89">
        <v>45233</v>
      </c>
      <c r="AH45" s="84" t="s">
        <v>631</v>
      </c>
      <c r="AI45" s="81"/>
      <c r="AJ45" s="81"/>
      <c r="AK45" s="81"/>
      <c r="AL45" s="81"/>
      <c r="AM45" s="81"/>
      <c r="AN45" s="81"/>
      <c r="AO45" s="81"/>
      <c r="AP45" s="81"/>
      <c r="AQ45" s="81"/>
      <c r="AR45" s="81"/>
      <c r="AS45" s="81"/>
      <c r="AT45" s="81"/>
      <c r="AU45" s="81"/>
      <c r="AV45" s="86" t="str">
        <f>HYPERLINK("https://pbs.twimg.com/profile_images/1499394758606671883/eX-QPowP_normal.jpg")</f>
        <v>https://pbs.twimg.com/profile_images/1499394758606671883/eX-QPowP_normal.jpg</v>
      </c>
      <c r="AW45" s="84" t="s">
        <v>785</v>
      </c>
      <c r="AX45" s="84" t="s">
        <v>785</v>
      </c>
      <c r="AY45" s="81"/>
      <c r="AZ45" s="84" t="s">
        <v>879</v>
      </c>
      <c r="BA45" s="84" t="s">
        <v>879</v>
      </c>
      <c r="BB45" s="84" t="s">
        <v>862</v>
      </c>
      <c r="BC45" s="84" t="s">
        <v>862</v>
      </c>
      <c r="BD45" s="84" t="s">
        <v>882</v>
      </c>
      <c r="BE45" s="81"/>
      <c r="BF45" s="81"/>
      <c r="BG45" s="81"/>
      <c r="BH45" s="81"/>
      <c r="BI45" s="81"/>
      <c r="BJ45">
        <v>1</v>
      </c>
      <c r="BK45" s="80" t="str">
        <f>REPLACE(INDEX(GroupVertices[Group], MATCH("~"&amp;Edges27[[#This Row],[Vertex 1]],GroupVertices[Vertex],0)),1,1,"")</f>
        <v>6</v>
      </c>
      <c r="BL45" s="80" t="str">
        <f>REPLACE(INDEX(GroupVertices[Group], MATCH("~"&amp;Edges27[[#This Row],[Vertex 2]],GroupVertices[Vertex],0)),1,1,"")</f>
        <v>1</v>
      </c>
      <c r="BM45" s="49">
        <v>2</v>
      </c>
      <c r="BN45" s="50">
        <v>9.0909090909090917</v>
      </c>
      <c r="BO45" s="49">
        <v>0</v>
      </c>
      <c r="BP45" s="50">
        <v>0</v>
      </c>
      <c r="BQ45" s="49">
        <v>0</v>
      </c>
      <c r="BR45" s="50">
        <v>0</v>
      </c>
      <c r="BS45" s="49">
        <v>12</v>
      </c>
      <c r="BT45" s="50">
        <v>54.545454545454547</v>
      </c>
      <c r="BU45" s="49">
        <v>22</v>
      </c>
    </row>
    <row r="46" spans="1:73" x14ac:dyDescent="0.25">
      <c r="A46" s="65" t="s">
        <v>249</v>
      </c>
      <c r="B46" s="65" t="s">
        <v>248</v>
      </c>
      <c r="C46" s="66"/>
      <c r="D46" s="67"/>
      <c r="E46" s="68"/>
      <c r="F46" s="69"/>
      <c r="G46" s="66"/>
      <c r="H46" s="70"/>
      <c r="I46" s="71"/>
      <c r="J46" s="71"/>
      <c r="K46" s="35" t="s">
        <v>66</v>
      </c>
      <c r="L46" s="79">
        <v>83</v>
      </c>
      <c r="M46" s="79"/>
      <c r="N46" s="73"/>
      <c r="O46" s="81" t="s">
        <v>367</v>
      </c>
      <c r="P46" s="83">
        <v>45233.717175925929</v>
      </c>
      <c r="Q46" s="81" t="s">
        <v>407</v>
      </c>
      <c r="R46" s="81">
        <v>1</v>
      </c>
      <c r="S46" s="81">
        <v>32</v>
      </c>
      <c r="T46" s="81">
        <v>4</v>
      </c>
      <c r="U46" s="81">
        <v>4</v>
      </c>
      <c r="V46" s="81">
        <v>3086</v>
      </c>
      <c r="W46" s="81"/>
      <c r="X46" s="81"/>
      <c r="Y46" s="81"/>
      <c r="Z46" s="81" t="s">
        <v>536</v>
      </c>
      <c r="AA46" s="81" t="s">
        <v>564</v>
      </c>
      <c r="AB46" s="81" t="s">
        <v>575</v>
      </c>
      <c r="AC46" s="84" t="s">
        <v>582</v>
      </c>
      <c r="AD46" s="81" t="s">
        <v>588</v>
      </c>
      <c r="AE46" s="86" t="str">
        <f>HYPERLINK("https://twitter.com/jmcquarterly/status/1720489199554486686")</f>
        <v>https://twitter.com/jmcquarterly/status/1720489199554486686</v>
      </c>
      <c r="AF46" s="83">
        <v>45233.717175925929</v>
      </c>
      <c r="AG46" s="89">
        <v>45233</v>
      </c>
      <c r="AH46" s="84" t="s">
        <v>632</v>
      </c>
      <c r="AI46" s="81" t="b">
        <v>0</v>
      </c>
      <c r="AJ46" s="81"/>
      <c r="AK46" s="81"/>
      <c r="AL46" s="81"/>
      <c r="AM46" s="81"/>
      <c r="AN46" s="81"/>
      <c r="AO46" s="81"/>
      <c r="AP46" s="81"/>
      <c r="AQ46" s="81" t="s">
        <v>733</v>
      </c>
      <c r="AR46" s="81"/>
      <c r="AS46" s="81"/>
      <c r="AT46" s="81"/>
      <c r="AU46" s="81"/>
      <c r="AV46" s="86" t="str">
        <f>HYPERLINK("https://pbs.twimg.com/media/F-BnCAIXwAA6-2j.jpg")</f>
        <v>https://pbs.twimg.com/media/F-BnCAIXwAA6-2j.jpg</v>
      </c>
      <c r="AW46" s="84" t="s">
        <v>786</v>
      </c>
      <c r="AX46" s="84" t="s">
        <v>786</v>
      </c>
      <c r="AY46" s="81"/>
      <c r="AZ46" s="84" t="s">
        <v>879</v>
      </c>
      <c r="BA46" s="84" t="s">
        <v>879</v>
      </c>
      <c r="BB46" s="84" t="s">
        <v>879</v>
      </c>
      <c r="BC46" s="84" t="s">
        <v>786</v>
      </c>
      <c r="BD46" s="84" t="s">
        <v>876</v>
      </c>
      <c r="BE46" s="81"/>
      <c r="BF46" s="81"/>
      <c r="BG46" s="81"/>
      <c r="BH46" s="81"/>
      <c r="BI46" s="81"/>
      <c r="BJ46">
        <v>1</v>
      </c>
      <c r="BK46" s="80" t="str">
        <f>REPLACE(INDEX(GroupVertices[Group], MATCH("~"&amp;Edges27[[#This Row],[Vertex 1]],GroupVertices[Vertex],0)),1,1,"")</f>
        <v>3</v>
      </c>
      <c r="BL46" s="80" t="str">
        <f>REPLACE(INDEX(GroupVertices[Group], MATCH("~"&amp;Edges27[[#This Row],[Vertex 2]],GroupVertices[Vertex],0)),1,1,"")</f>
        <v>6</v>
      </c>
      <c r="BM46" s="49"/>
      <c r="BN46" s="50"/>
      <c r="BO46" s="49"/>
      <c r="BP46" s="50"/>
      <c r="BQ46" s="49"/>
      <c r="BR46" s="50"/>
      <c r="BS46" s="49"/>
      <c r="BT46" s="50"/>
      <c r="BU46" s="49"/>
    </row>
    <row r="47" spans="1:73" x14ac:dyDescent="0.25">
      <c r="A47" s="65" t="s">
        <v>268</v>
      </c>
      <c r="B47" s="65" t="s">
        <v>248</v>
      </c>
      <c r="C47" s="66"/>
      <c r="D47" s="67"/>
      <c r="E47" s="68"/>
      <c r="F47" s="69"/>
      <c r="G47" s="66"/>
      <c r="H47" s="70"/>
      <c r="I47" s="71"/>
      <c r="J47" s="71"/>
      <c r="K47" s="35" t="s">
        <v>66</v>
      </c>
      <c r="L47" s="79">
        <v>84</v>
      </c>
      <c r="M47" s="79"/>
      <c r="N47" s="73"/>
      <c r="O47" s="81" t="s">
        <v>368</v>
      </c>
      <c r="P47" s="83">
        <v>45233.740937499999</v>
      </c>
      <c r="Q47" s="81" t="s">
        <v>408</v>
      </c>
      <c r="R47" s="81">
        <v>0</v>
      </c>
      <c r="S47" s="81">
        <v>2</v>
      </c>
      <c r="T47" s="81">
        <v>0</v>
      </c>
      <c r="U47" s="81">
        <v>0</v>
      </c>
      <c r="V47" s="81">
        <v>80</v>
      </c>
      <c r="W47" s="81"/>
      <c r="X47" s="81"/>
      <c r="Y47" s="81"/>
      <c r="Z47" s="81" t="s">
        <v>536</v>
      </c>
      <c r="AA47" s="81"/>
      <c r="AB47" s="81"/>
      <c r="AC47" s="84" t="s">
        <v>582</v>
      </c>
      <c r="AD47" s="81" t="s">
        <v>589</v>
      </c>
      <c r="AE47" s="86" t="str">
        <f>HYPERLINK("https://twitter.com/aejmc/status/1720497808719942028")</f>
        <v>https://twitter.com/aejmc/status/1720497808719942028</v>
      </c>
      <c r="AF47" s="83">
        <v>45233.740937499999</v>
      </c>
      <c r="AG47" s="89">
        <v>45233</v>
      </c>
      <c r="AH47" s="84" t="s">
        <v>633</v>
      </c>
      <c r="AI47" s="81"/>
      <c r="AJ47" s="81"/>
      <c r="AK47" s="81"/>
      <c r="AL47" s="81"/>
      <c r="AM47" s="81"/>
      <c r="AN47" s="81"/>
      <c r="AO47" s="81"/>
      <c r="AP47" s="81"/>
      <c r="AQ47" s="81"/>
      <c r="AR47" s="81"/>
      <c r="AS47" s="81"/>
      <c r="AT47" s="81"/>
      <c r="AU47" s="81"/>
      <c r="AV47" s="86" t="str">
        <f>HYPERLINK("https://pbs.twimg.com/profile_images/1559584982439444482/vOVkFGh3_normal.png")</f>
        <v>https://pbs.twimg.com/profile_images/1559584982439444482/vOVkFGh3_normal.png</v>
      </c>
      <c r="AW47" s="84" t="s">
        <v>787</v>
      </c>
      <c r="AX47" s="84" t="s">
        <v>786</v>
      </c>
      <c r="AY47" s="84" t="s">
        <v>876</v>
      </c>
      <c r="AZ47" s="84" t="s">
        <v>786</v>
      </c>
      <c r="BA47" s="84" t="s">
        <v>879</v>
      </c>
      <c r="BB47" s="84" t="s">
        <v>879</v>
      </c>
      <c r="BC47" s="84" t="s">
        <v>786</v>
      </c>
      <c r="BD47" s="81">
        <v>8442592</v>
      </c>
      <c r="BE47" s="81"/>
      <c r="BF47" s="81"/>
      <c r="BG47" s="81"/>
      <c r="BH47" s="81"/>
      <c r="BI47" s="81"/>
      <c r="BJ47">
        <v>1</v>
      </c>
      <c r="BK47" s="80" t="str">
        <f>REPLACE(INDEX(GroupVertices[Group], MATCH("~"&amp;Edges27[[#This Row],[Vertex 1]],GroupVertices[Vertex],0)),1,1,"")</f>
        <v>1</v>
      </c>
      <c r="BL47" s="80" t="str">
        <f>REPLACE(INDEX(GroupVertices[Group], MATCH("~"&amp;Edges27[[#This Row],[Vertex 2]],GroupVertices[Vertex],0)),1,1,"")</f>
        <v>6</v>
      </c>
      <c r="BM47" s="49"/>
      <c r="BN47" s="50"/>
      <c r="BO47" s="49"/>
      <c r="BP47" s="50"/>
      <c r="BQ47" s="49"/>
      <c r="BR47" s="50"/>
      <c r="BS47" s="49"/>
      <c r="BT47" s="50"/>
      <c r="BU47" s="49"/>
    </row>
    <row r="48" spans="1:73" x14ac:dyDescent="0.25">
      <c r="A48" s="65" t="s">
        <v>268</v>
      </c>
      <c r="B48" s="65" t="s">
        <v>324</v>
      </c>
      <c r="C48" s="66"/>
      <c r="D48" s="67"/>
      <c r="E48" s="68"/>
      <c r="F48" s="69"/>
      <c r="G48" s="66"/>
      <c r="H48" s="70"/>
      <c r="I48" s="71"/>
      <c r="J48" s="71"/>
      <c r="K48" s="35" t="s">
        <v>65</v>
      </c>
      <c r="L48" s="79">
        <v>87</v>
      </c>
      <c r="M48" s="79"/>
      <c r="N48" s="73"/>
      <c r="O48" s="81" t="s">
        <v>367</v>
      </c>
      <c r="P48" s="83">
        <v>45231.832314814812</v>
      </c>
      <c r="Q48" s="81" t="s">
        <v>409</v>
      </c>
      <c r="R48" s="81">
        <v>3</v>
      </c>
      <c r="S48" s="81">
        <v>0</v>
      </c>
      <c r="T48" s="81">
        <v>0</v>
      </c>
      <c r="U48" s="81">
        <v>0</v>
      </c>
      <c r="V48" s="81">
        <v>829</v>
      </c>
      <c r="W48" s="84" t="s">
        <v>482</v>
      </c>
      <c r="X48" s="86" t="str">
        <f>HYPERLINK("https://www.aejmc.org/jobads/?p=19459")</f>
        <v>https://www.aejmc.org/jobads/?p=19459</v>
      </c>
      <c r="Y48" s="81" t="s">
        <v>503</v>
      </c>
      <c r="Z48" s="81" t="s">
        <v>324</v>
      </c>
      <c r="AA48" s="81"/>
      <c r="AB48" s="81"/>
      <c r="AC48" s="84" t="s">
        <v>582</v>
      </c>
      <c r="AD48" s="81" t="s">
        <v>588</v>
      </c>
      <c r="AE48" s="86" t="str">
        <f>HYPERLINK("https://twitter.com/aejmc/status/1719806146536444240")</f>
        <v>https://twitter.com/aejmc/status/1719806146536444240</v>
      </c>
      <c r="AF48" s="83">
        <v>45231.832314814812</v>
      </c>
      <c r="AG48" s="89">
        <v>45231</v>
      </c>
      <c r="AH48" s="84" t="s">
        <v>634</v>
      </c>
      <c r="AI48" s="81" t="b">
        <v>0</v>
      </c>
      <c r="AJ48" s="81"/>
      <c r="AK48" s="81"/>
      <c r="AL48" s="81"/>
      <c r="AM48" s="81"/>
      <c r="AN48" s="81"/>
      <c r="AO48" s="81"/>
      <c r="AP48" s="81"/>
      <c r="AQ48" s="81"/>
      <c r="AR48" s="81"/>
      <c r="AS48" s="81"/>
      <c r="AT48" s="81"/>
      <c r="AU48" s="81"/>
      <c r="AV48" s="86" t="str">
        <f>HYPERLINK("https://pbs.twimg.com/profile_images/1559584982439444482/vOVkFGh3_normal.png")</f>
        <v>https://pbs.twimg.com/profile_images/1559584982439444482/vOVkFGh3_normal.png</v>
      </c>
      <c r="AW48" s="84" t="s">
        <v>788</v>
      </c>
      <c r="AX48" s="84" t="s">
        <v>788</v>
      </c>
      <c r="AY48" s="81"/>
      <c r="AZ48" s="84" t="s">
        <v>879</v>
      </c>
      <c r="BA48" s="84" t="s">
        <v>879</v>
      </c>
      <c r="BB48" s="84" t="s">
        <v>879</v>
      </c>
      <c r="BC48" s="84" t="s">
        <v>788</v>
      </c>
      <c r="BD48" s="81">
        <v>8442592</v>
      </c>
      <c r="BE48" s="81"/>
      <c r="BF48" s="81"/>
      <c r="BG48" s="81"/>
      <c r="BH48" s="81"/>
      <c r="BI48" s="81"/>
      <c r="BJ48">
        <v>1</v>
      </c>
      <c r="BK48" s="80" t="str">
        <f>REPLACE(INDEX(GroupVertices[Group], MATCH("~"&amp;Edges27[[#This Row],[Vertex 1]],GroupVertices[Vertex],0)),1,1,"")</f>
        <v>1</v>
      </c>
      <c r="BL48" s="80" t="str">
        <f>REPLACE(INDEX(GroupVertices[Group], MATCH("~"&amp;Edges27[[#This Row],[Vertex 2]],GroupVertices[Vertex],0)),1,1,"")</f>
        <v>1</v>
      </c>
      <c r="BM48" s="49">
        <v>0</v>
      </c>
      <c r="BN48" s="50">
        <v>0</v>
      </c>
      <c r="BO48" s="49">
        <v>0</v>
      </c>
      <c r="BP48" s="50">
        <v>0</v>
      </c>
      <c r="BQ48" s="49">
        <v>0</v>
      </c>
      <c r="BR48" s="50">
        <v>0</v>
      </c>
      <c r="BS48" s="49">
        <v>14</v>
      </c>
      <c r="BT48" s="50">
        <v>100</v>
      </c>
      <c r="BU48" s="49">
        <v>14</v>
      </c>
    </row>
    <row r="49" spans="1:73" x14ac:dyDescent="0.25">
      <c r="A49" s="65" t="s">
        <v>269</v>
      </c>
      <c r="B49" s="65" t="s">
        <v>325</v>
      </c>
      <c r="C49" s="66"/>
      <c r="D49" s="67"/>
      <c r="E49" s="68"/>
      <c r="F49" s="69"/>
      <c r="G49" s="66"/>
      <c r="H49" s="70"/>
      <c r="I49" s="71"/>
      <c r="J49" s="71"/>
      <c r="K49" s="35" t="s">
        <v>65</v>
      </c>
      <c r="L49" s="79">
        <v>88</v>
      </c>
      <c r="M49" s="79"/>
      <c r="N49" s="73"/>
      <c r="O49" s="81" t="s">
        <v>370</v>
      </c>
      <c r="P49" s="83">
        <v>45229.280138888891</v>
      </c>
      <c r="Q49" s="81" t="s">
        <v>410</v>
      </c>
      <c r="R49" s="81">
        <v>1</v>
      </c>
      <c r="S49" s="81">
        <v>0</v>
      </c>
      <c r="T49" s="81">
        <v>0</v>
      </c>
      <c r="U49" s="81">
        <v>0</v>
      </c>
      <c r="V49" s="81">
        <v>552</v>
      </c>
      <c r="W49" s="81"/>
      <c r="X49" s="86" t="str">
        <f>HYPERLINK("https://journals.sagepub.com/doi/abs/10.1177/0973258617743625")</f>
        <v>https://journals.sagepub.com/doi/abs/10.1177/0973258617743625</v>
      </c>
      <c r="Y49" s="81" t="s">
        <v>506</v>
      </c>
      <c r="Z49" s="81" t="s">
        <v>537</v>
      </c>
      <c r="AA49" s="81"/>
      <c r="AB49" s="81"/>
      <c r="AC49" s="84" t="s">
        <v>582</v>
      </c>
      <c r="AD49" s="81" t="s">
        <v>588</v>
      </c>
      <c r="AE49" s="86" t="str">
        <f>HYPERLINK("https://twitter.com/joccjournal/status/1718881270619627729")</f>
        <v>https://twitter.com/joccjournal/status/1718881270619627729</v>
      </c>
      <c r="AF49" s="83">
        <v>45229.280138888891</v>
      </c>
      <c r="AG49" s="89">
        <v>45229</v>
      </c>
      <c r="AH49" s="84" t="s">
        <v>635</v>
      </c>
      <c r="AI49" s="81" t="b">
        <v>0</v>
      </c>
      <c r="AJ49" s="81"/>
      <c r="AK49" s="81"/>
      <c r="AL49" s="81"/>
      <c r="AM49" s="81"/>
      <c r="AN49" s="81"/>
      <c r="AO49" s="81"/>
      <c r="AP49" s="81"/>
      <c r="AQ49" s="81"/>
      <c r="AR49" s="81"/>
      <c r="AS49" s="81"/>
      <c r="AT49" s="81"/>
      <c r="AU49" s="81"/>
      <c r="AV49" s="86" t="str">
        <f>HYPERLINK("https://pbs.twimg.com/profile_images/1306278808039780352/Wk3HPqPR_normal.jpg")</f>
        <v>https://pbs.twimg.com/profile_images/1306278808039780352/Wk3HPqPR_normal.jpg</v>
      </c>
      <c r="AW49" s="84" t="s">
        <v>789</v>
      </c>
      <c r="AX49" s="84" t="s">
        <v>789</v>
      </c>
      <c r="AY49" s="81"/>
      <c r="AZ49" s="84" t="s">
        <v>879</v>
      </c>
      <c r="BA49" s="84" t="s">
        <v>791</v>
      </c>
      <c r="BB49" s="84" t="s">
        <v>879</v>
      </c>
      <c r="BC49" s="84" t="s">
        <v>791</v>
      </c>
      <c r="BD49" s="84" t="s">
        <v>888</v>
      </c>
      <c r="BE49" s="81"/>
      <c r="BF49" s="81"/>
      <c r="BG49" s="81"/>
      <c r="BH49" s="81"/>
      <c r="BI49" s="81"/>
      <c r="BJ49">
        <v>1</v>
      </c>
      <c r="BK49" s="80" t="str">
        <f>REPLACE(INDEX(GroupVertices[Group], MATCH("~"&amp;Edges27[[#This Row],[Vertex 1]],GroupVertices[Vertex],0)),1,1,"")</f>
        <v>1</v>
      </c>
      <c r="BL49" s="80" t="str">
        <f>REPLACE(INDEX(GroupVertices[Group], MATCH("~"&amp;Edges27[[#This Row],[Vertex 2]],GroupVertices[Vertex],0)),1,1,"")</f>
        <v>1</v>
      </c>
      <c r="BM49" s="49">
        <v>0</v>
      </c>
      <c r="BN49" s="50">
        <v>0</v>
      </c>
      <c r="BO49" s="49">
        <v>0</v>
      </c>
      <c r="BP49" s="50">
        <v>0</v>
      </c>
      <c r="BQ49" s="49">
        <v>0</v>
      </c>
      <c r="BR49" s="50">
        <v>0</v>
      </c>
      <c r="BS49" s="49">
        <v>22</v>
      </c>
      <c r="BT49" s="50">
        <v>61.111111111111114</v>
      </c>
      <c r="BU49" s="49">
        <v>36</v>
      </c>
    </row>
    <row r="50" spans="1:73" x14ac:dyDescent="0.25">
      <c r="A50" s="65" t="s">
        <v>268</v>
      </c>
      <c r="B50" s="65" t="s">
        <v>269</v>
      </c>
      <c r="C50" s="66"/>
      <c r="D50" s="67"/>
      <c r="E50" s="68"/>
      <c r="F50" s="69"/>
      <c r="G50" s="66"/>
      <c r="H50" s="70"/>
      <c r="I50" s="71"/>
      <c r="J50" s="71"/>
      <c r="K50" s="35" t="s">
        <v>66</v>
      </c>
      <c r="L50" s="79">
        <v>89</v>
      </c>
      <c r="M50" s="79"/>
      <c r="N50" s="73"/>
      <c r="O50" s="81" t="s">
        <v>365</v>
      </c>
      <c r="P50" s="83">
        <v>45229.644479166665</v>
      </c>
      <c r="Q50" s="81" t="s">
        <v>411</v>
      </c>
      <c r="R50" s="81">
        <v>1</v>
      </c>
      <c r="S50" s="81">
        <v>0</v>
      </c>
      <c r="T50" s="81">
        <v>0</v>
      </c>
      <c r="U50" s="81">
        <v>0</v>
      </c>
      <c r="V50" s="81"/>
      <c r="W50" s="81"/>
      <c r="X50" s="81"/>
      <c r="Y50" s="81"/>
      <c r="Z50" s="81" t="s">
        <v>269</v>
      </c>
      <c r="AA50" s="81"/>
      <c r="AB50" s="81"/>
      <c r="AC50" s="84" t="s">
        <v>582</v>
      </c>
      <c r="AD50" s="81" t="s">
        <v>588</v>
      </c>
      <c r="AE50" s="86" t="str">
        <f>HYPERLINK("https://twitter.com/aejmc/status/1719013300917153948")</f>
        <v>https://twitter.com/aejmc/status/1719013300917153948</v>
      </c>
      <c r="AF50" s="83">
        <v>45229.644479166665</v>
      </c>
      <c r="AG50" s="89">
        <v>45229</v>
      </c>
      <c r="AH50" s="84" t="s">
        <v>636</v>
      </c>
      <c r="AI50" s="81" t="b">
        <v>0</v>
      </c>
      <c r="AJ50" s="81"/>
      <c r="AK50" s="81"/>
      <c r="AL50" s="81"/>
      <c r="AM50" s="81"/>
      <c r="AN50" s="81"/>
      <c r="AO50" s="81"/>
      <c r="AP50" s="81"/>
      <c r="AQ50" s="81"/>
      <c r="AR50" s="81"/>
      <c r="AS50" s="81"/>
      <c r="AT50" s="81"/>
      <c r="AU50" s="81"/>
      <c r="AV50" s="86" t="str">
        <f>HYPERLINK("https://pbs.twimg.com/profile_images/1559584982439444482/vOVkFGh3_normal.png")</f>
        <v>https://pbs.twimg.com/profile_images/1559584982439444482/vOVkFGh3_normal.png</v>
      </c>
      <c r="AW50" s="84" t="s">
        <v>790</v>
      </c>
      <c r="AX50" s="84" t="s">
        <v>790</v>
      </c>
      <c r="AY50" s="81"/>
      <c r="AZ50" s="84" t="s">
        <v>879</v>
      </c>
      <c r="BA50" s="84" t="s">
        <v>791</v>
      </c>
      <c r="BB50" s="84" t="s">
        <v>789</v>
      </c>
      <c r="BC50" s="84" t="s">
        <v>789</v>
      </c>
      <c r="BD50" s="81">
        <v>8442592</v>
      </c>
      <c r="BE50" s="81"/>
      <c r="BF50" s="81"/>
      <c r="BG50" s="81"/>
      <c r="BH50" s="81"/>
      <c r="BI50" s="81"/>
      <c r="BJ50">
        <v>1</v>
      </c>
      <c r="BK50" s="80" t="str">
        <f>REPLACE(INDEX(GroupVertices[Group], MATCH("~"&amp;Edges27[[#This Row],[Vertex 1]],GroupVertices[Vertex],0)),1,1,"")</f>
        <v>1</v>
      </c>
      <c r="BL50" s="80" t="str">
        <f>REPLACE(INDEX(GroupVertices[Group], MATCH("~"&amp;Edges27[[#This Row],[Vertex 2]],GroupVertices[Vertex],0)),1,1,"")</f>
        <v>1</v>
      </c>
      <c r="BM50" s="49">
        <v>0</v>
      </c>
      <c r="BN50" s="50">
        <v>0</v>
      </c>
      <c r="BO50" s="49">
        <v>0</v>
      </c>
      <c r="BP50" s="50">
        <v>0</v>
      </c>
      <c r="BQ50" s="49">
        <v>0</v>
      </c>
      <c r="BR50" s="50">
        <v>0</v>
      </c>
      <c r="BS50" s="49">
        <v>13</v>
      </c>
      <c r="BT50" s="50">
        <v>59.090909090909093</v>
      </c>
      <c r="BU50" s="49">
        <v>22</v>
      </c>
    </row>
    <row r="51" spans="1:73" x14ac:dyDescent="0.25">
      <c r="A51" s="65" t="s">
        <v>269</v>
      </c>
      <c r="B51" s="65" t="s">
        <v>269</v>
      </c>
      <c r="C51" s="66"/>
      <c r="D51" s="67"/>
      <c r="E51" s="68"/>
      <c r="F51" s="69"/>
      <c r="G51" s="66"/>
      <c r="H51" s="70"/>
      <c r="I51" s="71"/>
      <c r="J51" s="71"/>
      <c r="K51" s="35" t="s">
        <v>65</v>
      </c>
      <c r="L51" s="79">
        <v>90</v>
      </c>
      <c r="M51" s="79"/>
      <c r="N51" s="73"/>
      <c r="O51" s="81" t="s">
        <v>196</v>
      </c>
      <c r="P51" s="83">
        <v>45222.416666666664</v>
      </c>
      <c r="Q51" s="81" t="s">
        <v>412</v>
      </c>
      <c r="R51" s="81">
        <v>0</v>
      </c>
      <c r="S51" s="81">
        <v>0</v>
      </c>
      <c r="T51" s="81">
        <v>0</v>
      </c>
      <c r="U51" s="81">
        <v>1</v>
      </c>
      <c r="V51" s="81">
        <v>585</v>
      </c>
      <c r="W51" s="84" t="s">
        <v>483</v>
      </c>
      <c r="X51" s="86" t="str">
        <f>HYPERLINK("https://journals.sagepub.com/doi/abs/10.1177/0973258617743625")</f>
        <v>https://journals.sagepub.com/doi/abs/10.1177/0973258617743625</v>
      </c>
      <c r="Y51" s="81" t="s">
        <v>506</v>
      </c>
      <c r="Z51" s="81"/>
      <c r="AA51" s="81" t="s">
        <v>565</v>
      </c>
      <c r="AB51" s="81" t="s">
        <v>575</v>
      </c>
      <c r="AC51" s="84" t="s">
        <v>582</v>
      </c>
      <c r="AD51" s="81" t="s">
        <v>588</v>
      </c>
      <c r="AE51" s="86" t="str">
        <f>HYPERLINK("https://twitter.com/joccjournal/status/1716394030886428900")</f>
        <v>https://twitter.com/joccjournal/status/1716394030886428900</v>
      </c>
      <c r="AF51" s="83">
        <v>45222.416666666664</v>
      </c>
      <c r="AG51" s="89">
        <v>45222</v>
      </c>
      <c r="AH51" s="84" t="s">
        <v>637</v>
      </c>
      <c r="AI51" s="81" t="b">
        <v>0</v>
      </c>
      <c r="AJ51" s="81"/>
      <c r="AK51" s="81"/>
      <c r="AL51" s="81"/>
      <c r="AM51" s="81"/>
      <c r="AN51" s="81"/>
      <c r="AO51" s="81"/>
      <c r="AP51" s="81"/>
      <c r="AQ51" s="81" t="s">
        <v>734</v>
      </c>
      <c r="AR51" s="81"/>
      <c r="AS51" s="81"/>
      <c r="AT51" s="81"/>
      <c r="AU51" s="81"/>
      <c r="AV51" s="86" t="str">
        <f>HYPERLINK("https://pbs.twimg.com/media/F8JmwXcaMAA_W3l.jpg")</f>
        <v>https://pbs.twimg.com/media/F8JmwXcaMAA_W3l.jpg</v>
      </c>
      <c r="AW51" s="84" t="s">
        <v>791</v>
      </c>
      <c r="AX51" s="84" t="s">
        <v>791</v>
      </c>
      <c r="AY51" s="81"/>
      <c r="AZ51" s="84" t="s">
        <v>879</v>
      </c>
      <c r="BA51" s="84" t="s">
        <v>879</v>
      </c>
      <c r="BB51" s="84" t="s">
        <v>879</v>
      </c>
      <c r="BC51" s="84" t="s">
        <v>791</v>
      </c>
      <c r="BD51" s="84" t="s">
        <v>888</v>
      </c>
      <c r="BE51" s="81"/>
      <c r="BF51" s="81"/>
      <c r="BG51" s="81"/>
      <c r="BH51" s="81"/>
      <c r="BI51" s="81"/>
      <c r="BJ51">
        <v>1</v>
      </c>
      <c r="BK51" s="80" t="str">
        <f>REPLACE(INDEX(GroupVertices[Group], MATCH("~"&amp;Edges27[[#This Row],[Vertex 1]],GroupVertices[Vertex],0)),1,1,"")</f>
        <v>1</v>
      </c>
      <c r="BL51" s="80" t="str">
        <f>REPLACE(INDEX(GroupVertices[Group], MATCH("~"&amp;Edges27[[#This Row],[Vertex 2]],GroupVertices[Vertex],0)),1,1,"")</f>
        <v>1</v>
      </c>
      <c r="BM51" s="49">
        <v>1</v>
      </c>
      <c r="BN51" s="50">
        <v>2.8571428571428572</v>
      </c>
      <c r="BO51" s="49">
        <v>0</v>
      </c>
      <c r="BP51" s="50">
        <v>0</v>
      </c>
      <c r="BQ51" s="49">
        <v>0</v>
      </c>
      <c r="BR51" s="50">
        <v>0</v>
      </c>
      <c r="BS51" s="49">
        <v>22</v>
      </c>
      <c r="BT51" s="50">
        <v>62.857142857142854</v>
      </c>
      <c r="BU51" s="49">
        <v>35</v>
      </c>
    </row>
    <row r="52" spans="1:73" x14ac:dyDescent="0.25">
      <c r="A52" s="65" t="s">
        <v>270</v>
      </c>
      <c r="B52" s="65" t="s">
        <v>289</v>
      </c>
      <c r="C52" s="66"/>
      <c r="D52" s="67"/>
      <c r="E52" s="68"/>
      <c r="F52" s="69"/>
      <c r="G52" s="66"/>
      <c r="H52" s="70"/>
      <c r="I52" s="71"/>
      <c r="J52" s="71"/>
      <c r="K52" s="35" t="s">
        <v>65</v>
      </c>
      <c r="L52" s="79">
        <v>93</v>
      </c>
      <c r="M52" s="79"/>
      <c r="N52" s="73"/>
      <c r="O52" s="81" t="s">
        <v>365</v>
      </c>
      <c r="P52" s="83">
        <v>45230.845219907409</v>
      </c>
      <c r="Q52" s="81" t="s">
        <v>372</v>
      </c>
      <c r="R52" s="81">
        <v>5</v>
      </c>
      <c r="S52" s="81">
        <v>0</v>
      </c>
      <c r="T52" s="81">
        <v>0</v>
      </c>
      <c r="U52" s="81">
        <v>0</v>
      </c>
      <c r="V52" s="81"/>
      <c r="W52" s="81"/>
      <c r="X52" s="81"/>
      <c r="Y52" s="81"/>
      <c r="Z52" s="81" t="s">
        <v>289</v>
      </c>
      <c r="AA52" s="81"/>
      <c r="AB52" s="81"/>
      <c r="AC52" s="84" t="s">
        <v>582</v>
      </c>
      <c r="AD52" s="81" t="s">
        <v>588</v>
      </c>
      <c r="AE52" s="86" t="str">
        <f>HYPERLINK("https://twitter.com/brcreech/status/1719448434405474801")</f>
        <v>https://twitter.com/brcreech/status/1719448434405474801</v>
      </c>
      <c r="AF52" s="83">
        <v>45230.845219907409</v>
      </c>
      <c r="AG52" s="89">
        <v>45230</v>
      </c>
      <c r="AH52" s="84" t="s">
        <v>638</v>
      </c>
      <c r="AI52" s="81" t="b">
        <v>0</v>
      </c>
      <c r="AJ52" s="81"/>
      <c r="AK52" s="81"/>
      <c r="AL52" s="81"/>
      <c r="AM52" s="81"/>
      <c r="AN52" s="81"/>
      <c r="AO52" s="81"/>
      <c r="AP52" s="81"/>
      <c r="AQ52" s="81"/>
      <c r="AR52" s="81"/>
      <c r="AS52" s="81"/>
      <c r="AT52" s="81"/>
      <c r="AU52" s="81"/>
      <c r="AV52" s="86" t="str">
        <f>HYPERLINK("https://pbs.twimg.com/profile_images/1696925506875146242/pEF-JeE5_normal.jpg")</f>
        <v>https://pbs.twimg.com/profile_images/1696925506875146242/pEF-JeE5_normal.jpg</v>
      </c>
      <c r="AW52" s="84" t="s">
        <v>792</v>
      </c>
      <c r="AX52" s="84" t="s">
        <v>792</v>
      </c>
      <c r="AY52" s="81"/>
      <c r="AZ52" s="84" t="s">
        <v>879</v>
      </c>
      <c r="BA52" s="84" t="s">
        <v>879</v>
      </c>
      <c r="BB52" s="84" t="s">
        <v>839</v>
      </c>
      <c r="BC52" s="84" t="s">
        <v>839</v>
      </c>
      <c r="BD52" s="81">
        <v>21871717</v>
      </c>
      <c r="BE52" s="81"/>
      <c r="BF52" s="81"/>
      <c r="BG52" s="81"/>
      <c r="BH52" s="81"/>
      <c r="BI52" s="81"/>
      <c r="BJ52">
        <v>1</v>
      </c>
      <c r="BK52" s="80" t="str">
        <f>REPLACE(INDEX(GroupVertices[Group], MATCH("~"&amp;Edges27[[#This Row],[Vertex 1]],GroupVertices[Vertex],0)),1,1,"")</f>
        <v>10</v>
      </c>
      <c r="BL52" s="80" t="str">
        <f>REPLACE(INDEX(GroupVertices[Group], MATCH("~"&amp;Edges27[[#This Row],[Vertex 2]],GroupVertices[Vertex],0)),1,1,"")</f>
        <v>10</v>
      </c>
      <c r="BM52" s="49">
        <v>0</v>
      </c>
      <c r="BN52" s="50">
        <v>0</v>
      </c>
      <c r="BO52" s="49">
        <v>0</v>
      </c>
      <c r="BP52" s="50">
        <v>0</v>
      </c>
      <c r="BQ52" s="49">
        <v>0</v>
      </c>
      <c r="BR52" s="50">
        <v>0</v>
      </c>
      <c r="BS52" s="49">
        <v>13</v>
      </c>
      <c r="BT52" s="50">
        <v>54.166666666666664</v>
      </c>
      <c r="BU52" s="49">
        <v>24</v>
      </c>
    </row>
    <row r="53" spans="1:73" x14ac:dyDescent="0.25">
      <c r="A53" s="65" t="s">
        <v>271</v>
      </c>
      <c r="B53" s="65" t="s">
        <v>275</v>
      </c>
      <c r="C53" s="66"/>
      <c r="D53" s="67"/>
      <c r="E53" s="68"/>
      <c r="F53" s="69"/>
      <c r="G53" s="66"/>
      <c r="H53" s="70"/>
      <c r="I53" s="71"/>
      <c r="J53" s="71"/>
      <c r="K53" s="35" t="s">
        <v>65</v>
      </c>
      <c r="L53" s="79">
        <v>94</v>
      </c>
      <c r="M53" s="79"/>
      <c r="N53" s="73"/>
      <c r="O53" s="81" t="s">
        <v>366</v>
      </c>
      <c r="P53" s="83">
        <v>45229.563506944447</v>
      </c>
      <c r="Q53" s="81" t="s">
        <v>413</v>
      </c>
      <c r="R53" s="81">
        <v>5</v>
      </c>
      <c r="S53" s="81">
        <v>0</v>
      </c>
      <c r="T53" s="81">
        <v>0</v>
      </c>
      <c r="U53" s="81">
        <v>0</v>
      </c>
      <c r="V53" s="81"/>
      <c r="W53" s="84" t="s">
        <v>484</v>
      </c>
      <c r="X53" s="86" t="str">
        <f>HYPERLINK("https://journals.sagepub.com/doi/abs/10.1177/10776990221108722")</f>
        <v>https://journals.sagepub.com/doi/abs/10.1177/10776990221108722</v>
      </c>
      <c r="Y53" s="81" t="s">
        <v>506</v>
      </c>
      <c r="Z53" s="81" t="s">
        <v>518</v>
      </c>
      <c r="AA53" s="81"/>
      <c r="AB53" s="81"/>
      <c r="AC53" s="84" t="s">
        <v>580</v>
      </c>
      <c r="AD53" s="81" t="s">
        <v>588</v>
      </c>
      <c r="AE53" s="86" t="str">
        <f>HYPERLINK("https://twitter.com/miamoodyramirez/status/1718983958925324776")</f>
        <v>https://twitter.com/miamoodyramirez/status/1718983958925324776</v>
      </c>
      <c r="AF53" s="83">
        <v>45229.563506944447</v>
      </c>
      <c r="AG53" s="89">
        <v>45229</v>
      </c>
      <c r="AH53" s="84" t="s">
        <v>639</v>
      </c>
      <c r="AI53" s="81" t="b">
        <v>0</v>
      </c>
      <c r="AJ53" s="81"/>
      <c r="AK53" s="81"/>
      <c r="AL53" s="81"/>
      <c r="AM53" s="81"/>
      <c r="AN53" s="81"/>
      <c r="AO53" s="81"/>
      <c r="AP53" s="81"/>
      <c r="AQ53" s="81"/>
      <c r="AR53" s="81"/>
      <c r="AS53" s="81"/>
      <c r="AT53" s="81"/>
      <c r="AU53" s="81"/>
      <c r="AV53" s="86" t="str">
        <f>HYPERLINK("https://pbs.twimg.com/profile_images/1715489205248212992/bWPSimqD_normal.jpg")</f>
        <v>https://pbs.twimg.com/profile_images/1715489205248212992/bWPSimqD_normal.jpg</v>
      </c>
      <c r="AW53" s="84" t="s">
        <v>793</v>
      </c>
      <c r="AX53" s="84" t="s">
        <v>793</v>
      </c>
      <c r="AY53" s="81"/>
      <c r="AZ53" s="84" t="s">
        <v>879</v>
      </c>
      <c r="BA53" s="84" t="s">
        <v>879</v>
      </c>
      <c r="BB53" s="84" t="s">
        <v>802</v>
      </c>
      <c r="BC53" s="84" t="s">
        <v>802</v>
      </c>
      <c r="BD53" s="81">
        <v>72942893</v>
      </c>
      <c r="BE53" s="81"/>
      <c r="BF53" s="81"/>
      <c r="BG53" s="81"/>
      <c r="BH53" s="81"/>
      <c r="BI53" s="81"/>
      <c r="BJ53">
        <v>1</v>
      </c>
      <c r="BK53" s="80" t="str">
        <f>REPLACE(INDEX(GroupVertices[Group], MATCH("~"&amp;Edges27[[#This Row],[Vertex 1]],GroupVertices[Vertex],0)),1,1,"")</f>
        <v>3</v>
      </c>
      <c r="BL53" s="80" t="str">
        <f>REPLACE(INDEX(GroupVertices[Group], MATCH("~"&amp;Edges27[[#This Row],[Vertex 2]],GroupVertices[Vertex],0)),1,1,"")</f>
        <v>3</v>
      </c>
      <c r="BM53" s="49"/>
      <c r="BN53" s="50"/>
      <c r="BO53" s="49"/>
      <c r="BP53" s="50"/>
      <c r="BQ53" s="49"/>
      <c r="BR53" s="50"/>
      <c r="BS53" s="49"/>
      <c r="BT53" s="50"/>
      <c r="BU53" s="49"/>
    </row>
    <row r="54" spans="1:73" x14ac:dyDescent="0.25">
      <c r="A54" s="65" t="s">
        <v>271</v>
      </c>
      <c r="B54" s="65" t="s">
        <v>268</v>
      </c>
      <c r="C54" s="66"/>
      <c r="D54" s="67"/>
      <c r="E54" s="68"/>
      <c r="F54" s="69"/>
      <c r="G54" s="66"/>
      <c r="H54" s="70"/>
      <c r="I54" s="71"/>
      <c r="J54" s="71"/>
      <c r="K54" s="35" t="s">
        <v>65</v>
      </c>
      <c r="L54" s="79">
        <v>97</v>
      </c>
      <c r="M54" s="79"/>
      <c r="N54" s="73"/>
      <c r="O54" s="81" t="s">
        <v>365</v>
      </c>
      <c r="P54" s="83">
        <v>45231.505150462966</v>
      </c>
      <c r="Q54" s="81" t="s">
        <v>414</v>
      </c>
      <c r="R54" s="81">
        <v>1</v>
      </c>
      <c r="S54" s="81">
        <v>0</v>
      </c>
      <c r="T54" s="81">
        <v>0</v>
      </c>
      <c r="U54" s="81">
        <v>0</v>
      </c>
      <c r="V54" s="81"/>
      <c r="W54" s="81"/>
      <c r="X54" s="81"/>
      <c r="Y54" s="81"/>
      <c r="Z54" s="81" t="s">
        <v>268</v>
      </c>
      <c r="AA54" s="81"/>
      <c r="AB54" s="81"/>
      <c r="AC54" s="84" t="s">
        <v>580</v>
      </c>
      <c r="AD54" s="81" t="s">
        <v>588</v>
      </c>
      <c r="AE54" s="86" t="str">
        <f>HYPERLINK("https://twitter.com/miamoodyramirez/status/1719687588036890846")</f>
        <v>https://twitter.com/miamoodyramirez/status/1719687588036890846</v>
      </c>
      <c r="AF54" s="83">
        <v>45231.505150462966</v>
      </c>
      <c r="AG54" s="89">
        <v>45231</v>
      </c>
      <c r="AH54" s="84" t="s">
        <v>640</v>
      </c>
      <c r="AI54" s="81"/>
      <c r="AJ54" s="81"/>
      <c r="AK54" s="81"/>
      <c r="AL54" s="81"/>
      <c r="AM54" s="81"/>
      <c r="AN54" s="81"/>
      <c r="AO54" s="81"/>
      <c r="AP54" s="81"/>
      <c r="AQ54" s="81"/>
      <c r="AR54" s="81"/>
      <c r="AS54" s="81"/>
      <c r="AT54" s="81"/>
      <c r="AU54" s="81"/>
      <c r="AV54" s="86" t="str">
        <f>HYPERLINK("https://pbs.twimg.com/profile_images/1715489205248212992/bWPSimqD_normal.jpg")</f>
        <v>https://pbs.twimg.com/profile_images/1715489205248212992/bWPSimqD_normal.jpg</v>
      </c>
      <c r="AW54" s="84" t="s">
        <v>794</v>
      </c>
      <c r="AX54" s="84" t="s">
        <v>794</v>
      </c>
      <c r="AY54" s="81"/>
      <c r="AZ54" s="84" t="s">
        <v>879</v>
      </c>
      <c r="BA54" s="84" t="s">
        <v>879</v>
      </c>
      <c r="BB54" s="84" t="s">
        <v>863</v>
      </c>
      <c r="BC54" s="84" t="s">
        <v>863</v>
      </c>
      <c r="BD54" s="81">
        <v>72942893</v>
      </c>
      <c r="BE54" s="81"/>
      <c r="BF54" s="81"/>
      <c r="BG54" s="81"/>
      <c r="BH54" s="81"/>
      <c r="BI54" s="81"/>
      <c r="BJ54">
        <v>1</v>
      </c>
      <c r="BK54" s="80" t="str">
        <f>REPLACE(INDEX(GroupVertices[Group], MATCH("~"&amp;Edges27[[#This Row],[Vertex 1]],GroupVertices[Vertex],0)),1,1,"")</f>
        <v>3</v>
      </c>
      <c r="BL54" s="80" t="str">
        <f>REPLACE(INDEX(GroupVertices[Group], MATCH("~"&amp;Edges27[[#This Row],[Vertex 2]],GroupVertices[Vertex],0)),1,1,"")</f>
        <v>1</v>
      </c>
      <c r="BM54" s="49">
        <v>0</v>
      </c>
      <c r="BN54" s="50">
        <v>0</v>
      </c>
      <c r="BO54" s="49">
        <v>0</v>
      </c>
      <c r="BP54" s="50">
        <v>0</v>
      </c>
      <c r="BQ54" s="49">
        <v>0</v>
      </c>
      <c r="BR54" s="50">
        <v>0</v>
      </c>
      <c r="BS54" s="49">
        <v>15</v>
      </c>
      <c r="BT54" s="50">
        <v>78.94736842105263</v>
      </c>
      <c r="BU54" s="49">
        <v>19</v>
      </c>
    </row>
    <row r="55" spans="1:73" x14ac:dyDescent="0.25">
      <c r="A55" s="65" t="s">
        <v>272</v>
      </c>
      <c r="B55" s="65" t="s">
        <v>275</v>
      </c>
      <c r="C55" s="66"/>
      <c r="D55" s="67"/>
      <c r="E55" s="68"/>
      <c r="F55" s="69"/>
      <c r="G55" s="66"/>
      <c r="H55" s="70"/>
      <c r="I55" s="71"/>
      <c r="J55" s="71"/>
      <c r="K55" s="35" t="s">
        <v>65</v>
      </c>
      <c r="L55" s="79">
        <v>98</v>
      </c>
      <c r="M55" s="79"/>
      <c r="N55" s="73"/>
      <c r="O55" s="81" t="s">
        <v>366</v>
      </c>
      <c r="P55" s="83">
        <v>45229.741446759261</v>
      </c>
      <c r="Q55" s="81" t="s">
        <v>413</v>
      </c>
      <c r="R55" s="81">
        <v>5</v>
      </c>
      <c r="S55" s="81">
        <v>0</v>
      </c>
      <c r="T55" s="81">
        <v>0</v>
      </c>
      <c r="U55" s="81">
        <v>0</v>
      </c>
      <c r="V55" s="81"/>
      <c r="W55" s="84" t="s">
        <v>484</v>
      </c>
      <c r="X55" s="86" t="str">
        <f>HYPERLINK("https://journals.sagepub.com/doi/abs/10.1177/10776990221108722")</f>
        <v>https://journals.sagepub.com/doi/abs/10.1177/10776990221108722</v>
      </c>
      <c r="Y55" s="81" t="s">
        <v>506</v>
      </c>
      <c r="Z55" s="81" t="s">
        <v>518</v>
      </c>
      <c r="AA55" s="81"/>
      <c r="AB55" s="81"/>
      <c r="AC55" s="84" t="s">
        <v>580</v>
      </c>
      <c r="AD55" s="81" t="s">
        <v>588</v>
      </c>
      <c r="AE55" s="86" t="str">
        <f>HYPERLINK("https://twitter.com/tjohnson1960/status/1719048441324560404")</f>
        <v>https://twitter.com/tjohnson1960/status/1719048441324560404</v>
      </c>
      <c r="AF55" s="83">
        <v>45229.741446759261</v>
      </c>
      <c r="AG55" s="89">
        <v>45229</v>
      </c>
      <c r="AH55" s="84" t="s">
        <v>641</v>
      </c>
      <c r="AI55" s="81" t="b">
        <v>0</v>
      </c>
      <c r="AJ55" s="81"/>
      <c r="AK55" s="81"/>
      <c r="AL55" s="81"/>
      <c r="AM55" s="81"/>
      <c r="AN55" s="81"/>
      <c r="AO55" s="81"/>
      <c r="AP55" s="81"/>
      <c r="AQ55" s="81"/>
      <c r="AR55" s="81"/>
      <c r="AS55" s="81"/>
      <c r="AT55" s="81"/>
      <c r="AU55" s="81"/>
      <c r="AV55" s="86" t="str">
        <f>HYPERLINK("https://pbs.twimg.com/profile_images/968887826912657408/7MXRHf7p_normal.jpg")</f>
        <v>https://pbs.twimg.com/profile_images/968887826912657408/7MXRHf7p_normal.jpg</v>
      </c>
      <c r="AW55" s="84" t="s">
        <v>795</v>
      </c>
      <c r="AX55" s="84" t="s">
        <v>795</v>
      </c>
      <c r="AY55" s="81"/>
      <c r="AZ55" s="84" t="s">
        <v>879</v>
      </c>
      <c r="BA55" s="84" t="s">
        <v>879</v>
      </c>
      <c r="BB55" s="84" t="s">
        <v>802</v>
      </c>
      <c r="BC55" s="84" t="s">
        <v>802</v>
      </c>
      <c r="BD55" s="81">
        <v>15246868</v>
      </c>
      <c r="BE55" s="81"/>
      <c r="BF55" s="81"/>
      <c r="BG55" s="81"/>
      <c r="BH55" s="81"/>
      <c r="BI55" s="81"/>
      <c r="BJ55">
        <v>1</v>
      </c>
      <c r="BK55" s="80" t="str">
        <f>REPLACE(INDEX(GroupVertices[Group], MATCH("~"&amp;Edges27[[#This Row],[Vertex 1]],GroupVertices[Vertex],0)),1,1,"")</f>
        <v>3</v>
      </c>
      <c r="BL55" s="80" t="str">
        <f>REPLACE(INDEX(GroupVertices[Group], MATCH("~"&amp;Edges27[[#This Row],[Vertex 2]],GroupVertices[Vertex],0)),1,1,"")</f>
        <v>3</v>
      </c>
      <c r="BM55" s="49"/>
      <c r="BN55" s="50"/>
      <c r="BO55" s="49"/>
      <c r="BP55" s="50"/>
      <c r="BQ55" s="49"/>
      <c r="BR55" s="50"/>
      <c r="BS55" s="49"/>
      <c r="BT55" s="50"/>
      <c r="BU55" s="49"/>
    </row>
    <row r="56" spans="1:73" x14ac:dyDescent="0.25">
      <c r="A56" s="65" t="s">
        <v>273</v>
      </c>
      <c r="B56" s="65" t="s">
        <v>268</v>
      </c>
      <c r="C56" s="66"/>
      <c r="D56" s="67"/>
      <c r="E56" s="68"/>
      <c r="F56" s="69"/>
      <c r="G56" s="66"/>
      <c r="H56" s="70"/>
      <c r="I56" s="71"/>
      <c r="J56" s="71"/>
      <c r="K56" s="35" t="s">
        <v>65</v>
      </c>
      <c r="L56" s="79">
        <v>101</v>
      </c>
      <c r="M56" s="79"/>
      <c r="N56" s="73"/>
      <c r="O56" s="81" t="s">
        <v>369</v>
      </c>
      <c r="P56" s="83">
        <v>45230.817071759258</v>
      </c>
      <c r="Q56" s="81" t="s">
        <v>415</v>
      </c>
      <c r="R56" s="81">
        <v>0</v>
      </c>
      <c r="S56" s="81">
        <v>0</v>
      </c>
      <c r="T56" s="81">
        <v>0</v>
      </c>
      <c r="U56" s="81">
        <v>0</v>
      </c>
      <c r="V56" s="81">
        <v>13</v>
      </c>
      <c r="W56" s="81"/>
      <c r="X56" s="81"/>
      <c r="Y56" s="81"/>
      <c r="Z56" s="81" t="s">
        <v>268</v>
      </c>
      <c r="AA56" s="81"/>
      <c r="AB56" s="81"/>
      <c r="AC56" s="84" t="s">
        <v>580</v>
      </c>
      <c r="AD56" s="81" t="s">
        <v>588</v>
      </c>
      <c r="AE56" s="86" t="str">
        <f>HYPERLINK("https://twitter.com/ldeshan/status/1719438236919972213")</f>
        <v>https://twitter.com/ldeshan/status/1719438236919972213</v>
      </c>
      <c r="AF56" s="83">
        <v>45230.817071759258</v>
      </c>
      <c r="AG56" s="89">
        <v>45230</v>
      </c>
      <c r="AH56" s="84" t="s">
        <v>642</v>
      </c>
      <c r="AI56" s="81"/>
      <c r="AJ56" s="81"/>
      <c r="AK56" s="81"/>
      <c r="AL56" s="81"/>
      <c r="AM56" s="81"/>
      <c r="AN56" s="81"/>
      <c r="AO56" s="81"/>
      <c r="AP56" s="81"/>
      <c r="AQ56" s="81"/>
      <c r="AR56" s="81"/>
      <c r="AS56" s="81"/>
      <c r="AT56" s="81"/>
      <c r="AU56" s="81"/>
      <c r="AV56" s="86" t="str">
        <f>HYPERLINK("https://pbs.twimg.com/profile_images/1372971351145918465/tQ9YixpU_normal.jpg")</f>
        <v>https://pbs.twimg.com/profile_images/1372971351145918465/tQ9YixpU_normal.jpg</v>
      </c>
      <c r="AW56" s="84" t="s">
        <v>796</v>
      </c>
      <c r="AX56" s="84" t="s">
        <v>863</v>
      </c>
      <c r="AY56" s="84" t="s">
        <v>877</v>
      </c>
      <c r="AZ56" s="84" t="s">
        <v>863</v>
      </c>
      <c r="BA56" s="84" t="s">
        <v>879</v>
      </c>
      <c r="BB56" s="84" t="s">
        <v>879</v>
      </c>
      <c r="BC56" s="84" t="s">
        <v>863</v>
      </c>
      <c r="BD56" s="81">
        <v>167501580</v>
      </c>
      <c r="BE56" s="81"/>
      <c r="BF56" s="81"/>
      <c r="BG56" s="81"/>
      <c r="BH56" s="81"/>
      <c r="BI56" s="81"/>
      <c r="BJ56">
        <v>1</v>
      </c>
      <c r="BK56" s="80" t="str">
        <f>REPLACE(INDEX(GroupVertices[Group], MATCH("~"&amp;Edges27[[#This Row],[Vertex 1]],GroupVertices[Vertex],0)),1,1,"")</f>
        <v>1</v>
      </c>
      <c r="BL56" s="80" t="str">
        <f>REPLACE(INDEX(GroupVertices[Group], MATCH("~"&amp;Edges27[[#This Row],[Vertex 2]],GroupVertices[Vertex],0)),1,1,"")</f>
        <v>1</v>
      </c>
      <c r="BM56" s="49">
        <v>1</v>
      </c>
      <c r="BN56" s="50">
        <v>4</v>
      </c>
      <c r="BO56" s="49">
        <v>0</v>
      </c>
      <c r="BP56" s="50">
        <v>0</v>
      </c>
      <c r="BQ56" s="49">
        <v>0</v>
      </c>
      <c r="BR56" s="50">
        <v>0</v>
      </c>
      <c r="BS56" s="49">
        <v>14</v>
      </c>
      <c r="BT56" s="50">
        <v>56</v>
      </c>
      <c r="BU56" s="49">
        <v>25</v>
      </c>
    </row>
    <row r="57" spans="1:73" x14ac:dyDescent="0.25">
      <c r="A57" s="65" t="s">
        <v>274</v>
      </c>
      <c r="B57" s="65" t="s">
        <v>326</v>
      </c>
      <c r="C57" s="66"/>
      <c r="D57" s="67"/>
      <c r="E57" s="68"/>
      <c r="F57" s="69"/>
      <c r="G57" s="66"/>
      <c r="H57" s="70"/>
      <c r="I57" s="71"/>
      <c r="J57" s="71"/>
      <c r="K57" s="35" t="s">
        <v>65</v>
      </c>
      <c r="L57" s="79">
        <v>102</v>
      </c>
      <c r="M57" s="79"/>
      <c r="N57" s="73"/>
      <c r="O57" s="81" t="s">
        <v>367</v>
      </c>
      <c r="P57" s="83">
        <v>45231.556967592594</v>
      </c>
      <c r="Q57" s="81" t="s">
        <v>416</v>
      </c>
      <c r="R57" s="81">
        <v>0</v>
      </c>
      <c r="S57" s="81">
        <v>3</v>
      </c>
      <c r="T57" s="81">
        <v>0</v>
      </c>
      <c r="U57" s="81">
        <v>0</v>
      </c>
      <c r="V57" s="81">
        <v>130</v>
      </c>
      <c r="W57" s="81"/>
      <c r="X57" s="86" t="str">
        <f>HYPERLINK("https://buff.ly/40jBiyi")</f>
        <v>https://buff.ly/40jBiyi</v>
      </c>
      <c r="Y57" s="81" t="s">
        <v>507</v>
      </c>
      <c r="Z57" s="81" t="s">
        <v>326</v>
      </c>
      <c r="AA57" s="81" t="s">
        <v>566</v>
      </c>
      <c r="AB57" s="81" t="s">
        <v>575</v>
      </c>
      <c r="AC57" s="84" t="s">
        <v>581</v>
      </c>
      <c r="AD57" s="81" t="s">
        <v>588</v>
      </c>
      <c r="AE57" s="86" t="str">
        <f>HYPERLINK("https://twitter.com/csw_aejmc/status/1719706362714747328")</f>
        <v>https://twitter.com/csw_aejmc/status/1719706362714747328</v>
      </c>
      <c r="AF57" s="83">
        <v>45231.556967592594</v>
      </c>
      <c r="AG57" s="89">
        <v>45231</v>
      </c>
      <c r="AH57" s="84" t="s">
        <v>643</v>
      </c>
      <c r="AI57" s="81" t="b">
        <v>0</v>
      </c>
      <c r="AJ57" s="81"/>
      <c r="AK57" s="81"/>
      <c r="AL57" s="81"/>
      <c r="AM57" s="81"/>
      <c r="AN57" s="81"/>
      <c r="AO57" s="81"/>
      <c r="AP57" s="81"/>
      <c r="AQ57" s="81" t="s">
        <v>735</v>
      </c>
      <c r="AR57" s="81"/>
      <c r="AS57" s="81"/>
      <c r="AT57" s="81"/>
      <c r="AU57" s="81"/>
      <c r="AV57" s="86" t="str">
        <f>HYPERLINK("https://pbs.twimg.com/media/F92f0g6WQAAZrQ8.jpg")</f>
        <v>https://pbs.twimg.com/media/F92f0g6WQAAZrQ8.jpg</v>
      </c>
      <c r="AW57" s="84" t="s">
        <v>797</v>
      </c>
      <c r="AX57" s="84" t="s">
        <v>797</v>
      </c>
      <c r="AY57" s="81"/>
      <c r="AZ57" s="84" t="s">
        <v>879</v>
      </c>
      <c r="BA57" s="84" t="s">
        <v>879</v>
      </c>
      <c r="BB57" s="84" t="s">
        <v>879</v>
      </c>
      <c r="BC57" s="84" t="s">
        <v>797</v>
      </c>
      <c r="BD57" s="81">
        <v>353963097</v>
      </c>
      <c r="BE57" s="81"/>
      <c r="BF57" s="81"/>
      <c r="BG57" s="81"/>
      <c r="BH57" s="81"/>
      <c r="BI57" s="81"/>
      <c r="BJ57">
        <v>1</v>
      </c>
      <c r="BK57" s="80" t="str">
        <f>REPLACE(INDEX(GroupVertices[Group], MATCH("~"&amp;Edges27[[#This Row],[Vertex 1]],GroupVertices[Vertex],0)),1,1,"")</f>
        <v>1</v>
      </c>
      <c r="BL57" s="80" t="str">
        <f>REPLACE(INDEX(GroupVertices[Group], MATCH("~"&amp;Edges27[[#This Row],[Vertex 2]],GroupVertices[Vertex],0)),1,1,"")</f>
        <v>1</v>
      </c>
      <c r="BM57" s="49">
        <v>1</v>
      </c>
      <c r="BN57" s="50">
        <v>8.3333333333333339</v>
      </c>
      <c r="BO57" s="49">
        <v>0</v>
      </c>
      <c r="BP57" s="50">
        <v>0</v>
      </c>
      <c r="BQ57" s="49">
        <v>0</v>
      </c>
      <c r="BR57" s="50">
        <v>0</v>
      </c>
      <c r="BS57" s="49">
        <v>8</v>
      </c>
      <c r="BT57" s="50">
        <v>66.666666666666671</v>
      </c>
      <c r="BU57" s="49">
        <v>12</v>
      </c>
    </row>
    <row r="58" spans="1:73" x14ac:dyDescent="0.25">
      <c r="A58" s="65" t="s">
        <v>268</v>
      </c>
      <c r="B58" s="65" t="s">
        <v>274</v>
      </c>
      <c r="C58" s="66"/>
      <c r="D58" s="67"/>
      <c r="E58" s="68"/>
      <c r="F58" s="69"/>
      <c r="G58" s="66"/>
      <c r="H58" s="70"/>
      <c r="I58" s="71"/>
      <c r="J58" s="71"/>
      <c r="K58" s="35" t="s">
        <v>65</v>
      </c>
      <c r="L58" s="79">
        <v>103</v>
      </c>
      <c r="M58" s="79"/>
      <c r="N58" s="73"/>
      <c r="O58" s="81" t="s">
        <v>365</v>
      </c>
      <c r="P58" s="83">
        <v>45233.732893518521</v>
      </c>
      <c r="Q58" s="81" t="s">
        <v>417</v>
      </c>
      <c r="R58" s="81">
        <v>1</v>
      </c>
      <c r="S58" s="81">
        <v>0</v>
      </c>
      <c r="T58" s="81">
        <v>0</v>
      </c>
      <c r="U58" s="81">
        <v>0</v>
      </c>
      <c r="V58" s="81"/>
      <c r="W58" s="81"/>
      <c r="X58" s="81"/>
      <c r="Y58" s="81"/>
      <c r="Z58" s="81" t="s">
        <v>274</v>
      </c>
      <c r="AA58" s="81"/>
      <c r="AB58" s="81"/>
      <c r="AC58" s="84" t="s">
        <v>582</v>
      </c>
      <c r="AD58" s="81" t="s">
        <v>588</v>
      </c>
      <c r="AE58" s="86" t="str">
        <f>HYPERLINK("https://twitter.com/aejmc/status/1720494891594031435")</f>
        <v>https://twitter.com/aejmc/status/1720494891594031435</v>
      </c>
      <c r="AF58" s="83">
        <v>45233.732893518521</v>
      </c>
      <c r="AG58" s="89">
        <v>45233</v>
      </c>
      <c r="AH58" s="84" t="s">
        <v>644</v>
      </c>
      <c r="AI58" s="81"/>
      <c r="AJ58" s="81"/>
      <c r="AK58" s="81"/>
      <c r="AL58" s="81"/>
      <c r="AM58" s="81"/>
      <c r="AN58" s="81"/>
      <c r="AO58" s="81"/>
      <c r="AP58" s="81"/>
      <c r="AQ58" s="81"/>
      <c r="AR58" s="81"/>
      <c r="AS58" s="81"/>
      <c r="AT58" s="81"/>
      <c r="AU58" s="81"/>
      <c r="AV58" s="86" t="str">
        <f>HYPERLINK("https://pbs.twimg.com/profile_images/1559584982439444482/vOVkFGh3_normal.png")</f>
        <v>https://pbs.twimg.com/profile_images/1559584982439444482/vOVkFGh3_normal.png</v>
      </c>
      <c r="AW58" s="84" t="s">
        <v>798</v>
      </c>
      <c r="AX58" s="84" t="s">
        <v>798</v>
      </c>
      <c r="AY58" s="81"/>
      <c r="AZ58" s="84" t="s">
        <v>879</v>
      </c>
      <c r="BA58" s="84" t="s">
        <v>879</v>
      </c>
      <c r="BB58" s="84" t="s">
        <v>799</v>
      </c>
      <c r="BC58" s="84" t="s">
        <v>799</v>
      </c>
      <c r="BD58" s="81">
        <v>8442592</v>
      </c>
      <c r="BE58" s="81"/>
      <c r="BF58" s="81"/>
      <c r="BG58" s="81"/>
      <c r="BH58" s="81"/>
      <c r="BI58" s="81"/>
      <c r="BJ58">
        <v>1</v>
      </c>
      <c r="BK58" s="80" t="str">
        <f>REPLACE(INDEX(GroupVertices[Group], MATCH("~"&amp;Edges27[[#This Row],[Vertex 1]],GroupVertices[Vertex],0)),1,1,"")</f>
        <v>1</v>
      </c>
      <c r="BL58" s="80" t="str">
        <f>REPLACE(INDEX(GroupVertices[Group], MATCH("~"&amp;Edges27[[#This Row],[Vertex 2]],GroupVertices[Vertex],0)),1,1,"")</f>
        <v>1</v>
      </c>
      <c r="BM58" s="49">
        <v>1</v>
      </c>
      <c r="BN58" s="50">
        <v>4</v>
      </c>
      <c r="BO58" s="49">
        <v>0</v>
      </c>
      <c r="BP58" s="50">
        <v>0</v>
      </c>
      <c r="BQ58" s="49">
        <v>0</v>
      </c>
      <c r="BR58" s="50">
        <v>0</v>
      </c>
      <c r="BS58" s="49">
        <v>11</v>
      </c>
      <c r="BT58" s="50">
        <v>44</v>
      </c>
      <c r="BU58" s="49">
        <v>25</v>
      </c>
    </row>
    <row r="59" spans="1:73" x14ac:dyDescent="0.25">
      <c r="A59" s="65" t="s">
        <v>274</v>
      </c>
      <c r="B59" s="65" t="s">
        <v>274</v>
      </c>
      <c r="C59" s="66"/>
      <c r="D59" s="67"/>
      <c r="E59" s="68"/>
      <c r="F59" s="69"/>
      <c r="G59" s="66"/>
      <c r="H59" s="70"/>
      <c r="I59" s="71"/>
      <c r="J59" s="71"/>
      <c r="K59" s="35" t="s">
        <v>65</v>
      </c>
      <c r="L59" s="79">
        <v>104</v>
      </c>
      <c r="M59" s="79"/>
      <c r="N59" s="73"/>
      <c r="O59" s="81" t="s">
        <v>196</v>
      </c>
      <c r="P59" s="83">
        <v>45232.02584490741</v>
      </c>
      <c r="Q59" s="81" t="s">
        <v>418</v>
      </c>
      <c r="R59" s="81">
        <v>1</v>
      </c>
      <c r="S59" s="81">
        <v>2</v>
      </c>
      <c r="T59" s="81">
        <v>0</v>
      </c>
      <c r="U59" s="81">
        <v>0</v>
      </c>
      <c r="V59" s="81">
        <v>515</v>
      </c>
      <c r="W59" s="81"/>
      <c r="X59" s="86" t="str">
        <f>HYPERLINK("https://bit.ly/CSW24AwardsCall")</f>
        <v>https://bit.ly/CSW24AwardsCall</v>
      </c>
      <c r="Y59" s="81" t="s">
        <v>505</v>
      </c>
      <c r="Z59" s="81"/>
      <c r="AA59" s="81" t="s">
        <v>567</v>
      </c>
      <c r="AB59" s="81" t="s">
        <v>575</v>
      </c>
      <c r="AC59" s="84" t="s">
        <v>582</v>
      </c>
      <c r="AD59" s="81" t="s">
        <v>588</v>
      </c>
      <c r="AE59" s="86" t="str">
        <f>HYPERLINK("https://twitter.com/csw_aejmc/status/1719876278986162455")</f>
        <v>https://twitter.com/csw_aejmc/status/1719876278986162455</v>
      </c>
      <c r="AF59" s="83">
        <v>45232.02584490741</v>
      </c>
      <c r="AG59" s="89">
        <v>45232</v>
      </c>
      <c r="AH59" s="84" t="s">
        <v>645</v>
      </c>
      <c r="AI59" s="81" t="b">
        <v>0</v>
      </c>
      <c r="AJ59" s="81"/>
      <c r="AK59" s="81"/>
      <c r="AL59" s="81"/>
      <c r="AM59" s="81"/>
      <c r="AN59" s="81"/>
      <c r="AO59" s="81"/>
      <c r="AP59" s="81"/>
      <c r="AQ59" s="81" t="s">
        <v>736</v>
      </c>
      <c r="AR59" s="81"/>
      <c r="AS59" s="81"/>
      <c r="AT59" s="81"/>
      <c r="AU59" s="81"/>
      <c r="AV59" s="86" t="str">
        <f>HYPERLINK("https://pbs.twimg.com/media/F945jwSWQAAavkM.jpg")</f>
        <v>https://pbs.twimg.com/media/F945jwSWQAAavkM.jpg</v>
      </c>
      <c r="AW59" s="84" t="s">
        <v>799</v>
      </c>
      <c r="AX59" s="84" t="s">
        <v>799</v>
      </c>
      <c r="AY59" s="81"/>
      <c r="AZ59" s="84" t="s">
        <v>879</v>
      </c>
      <c r="BA59" s="84" t="s">
        <v>879</v>
      </c>
      <c r="BB59" s="84" t="s">
        <v>879</v>
      </c>
      <c r="BC59" s="84" t="s">
        <v>799</v>
      </c>
      <c r="BD59" s="81">
        <v>353963097</v>
      </c>
      <c r="BE59" s="81"/>
      <c r="BF59" s="81"/>
      <c r="BG59" s="81"/>
      <c r="BH59" s="81"/>
      <c r="BI59" s="81"/>
      <c r="BJ59">
        <v>1</v>
      </c>
      <c r="BK59" s="80" t="str">
        <f>REPLACE(INDEX(GroupVertices[Group], MATCH("~"&amp;Edges27[[#This Row],[Vertex 1]],GroupVertices[Vertex],0)),1,1,"")</f>
        <v>1</v>
      </c>
      <c r="BL59" s="80" t="str">
        <f>REPLACE(INDEX(GroupVertices[Group], MATCH("~"&amp;Edges27[[#This Row],[Vertex 2]],GroupVertices[Vertex],0)),1,1,"")</f>
        <v>1</v>
      </c>
      <c r="BM59" s="49">
        <v>2</v>
      </c>
      <c r="BN59" s="50">
        <v>4.8780487804878048</v>
      </c>
      <c r="BO59" s="49">
        <v>0</v>
      </c>
      <c r="BP59" s="50">
        <v>0</v>
      </c>
      <c r="BQ59" s="49">
        <v>0</v>
      </c>
      <c r="BR59" s="50">
        <v>0</v>
      </c>
      <c r="BS59" s="49">
        <v>22</v>
      </c>
      <c r="BT59" s="50">
        <v>53.658536585365852</v>
      </c>
      <c r="BU59" s="49">
        <v>41</v>
      </c>
    </row>
    <row r="60" spans="1:73" x14ac:dyDescent="0.25">
      <c r="A60" s="65" t="s">
        <v>249</v>
      </c>
      <c r="B60" s="65" t="s">
        <v>275</v>
      </c>
      <c r="C60" s="66"/>
      <c r="D60" s="67"/>
      <c r="E60" s="68"/>
      <c r="F60" s="69"/>
      <c r="G60" s="66"/>
      <c r="H60" s="70"/>
      <c r="I60" s="71"/>
      <c r="J60" s="71"/>
      <c r="K60" s="35" t="s">
        <v>66</v>
      </c>
      <c r="L60" s="79">
        <v>106</v>
      </c>
      <c r="M60" s="79"/>
      <c r="N60" s="73"/>
      <c r="O60" s="81" t="s">
        <v>367</v>
      </c>
      <c r="P60" s="83">
        <v>45229.60434027778</v>
      </c>
      <c r="Q60" s="81" t="s">
        <v>419</v>
      </c>
      <c r="R60" s="81">
        <v>2</v>
      </c>
      <c r="S60" s="81">
        <v>11</v>
      </c>
      <c r="T60" s="81">
        <v>0</v>
      </c>
      <c r="U60" s="81">
        <v>1</v>
      </c>
      <c r="V60" s="81">
        <v>1515</v>
      </c>
      <c r="W60" s="84" t="s">
        <v>485</v>
      </c>
      <c r="X60" s="86" t="str">
        <f>HYPERLINK("https://journals.sagepub.com/doi/abs/10.1177/10776990211049451")</f>
        <v>https://journals.sagepub.com/doi/abs/10.1177/10776990211049451</v>
      </c>
      <c r="Y60" s="81" t="s">
        <v>506</v>
      </c>
      <c r="Z60" s="81" t="s">
        <v>538</v>
      </c>
      <c r="AA60" s="81"/>
      <c r="AB60" s="81"/>
      <c r="AC60" s="84" t="s">
        <v>579</v>
      </c>
      <c r="AD60" s="81" t="s">
        <v>588</v>
      </c>
      <c r="AE60" s="86" t="str">
        <f>HYPERLINK("https://twitter.com/jmcquarterly/status/1718998754668200345")</f>
        <v>https://twitter.com/jmcquarterly/status/1718998754668200345</v>
      </c>
      <c r="AF60" s="83">
        <v>45229.60434027778</v>
      </c>
      <c r="AG60" s="89">
        <v>45229</v>
      </c>
      <c r="AH60" s="84" t="s">
        <v>646</v>
      </c>
      <c r="AI60" s="81" t="b">
        <v>0</v>
      </c>
      <c r="AJ60" s="81"/>
      <c r="AK60" s="81"/>
      <c r="AL60" s="81"/>
      <c r="AM60" s="81"/>
      <c r="AN60" s="81"/>
      <c r="AO60" s="81"/>
      <c r="AP60" s="81"/>
      <c r="AQ60" s="81"/>
      <c r="AR60" s="81"/>
      <c r="AS60" s="81"/>
      <c r="AT60" s="81"/>
      <c r="AU60" s="81"/>
      <c r="AV60" s="86" t="str">
        <f>HYPERLINK("https://pbs.twimg.com/profile_images/1297970849820147712/3xME2yZ6_normal.jpg")</f>
        <v>https://pbs.twimg.com/profile_images/1297970849820147712/3xME2yZ6_normal.jpg</v>
      </c>
      <c r="AW60" s="84" t="s">
        <v>800</v>
      </c>
      <c r="AX60" s="84" t="s">
        <v>800</v>
      </c>
      <c r="AY60" s="81"/>
      <c r="AZ60" s="84" t="s">
        <v>879</v>
      </c>
      <c r="BA60" s="84" t="s">
        <v>879</v>
      </c>
      <c r="BB60" s="84" t="s">
        <v>879</v>
      </c>
      <c r="BC60" s="84" t="s">
        <v>800</v>
      </c>
      <c r="BD60" s="84" t="s">
        <v>876</v>
      </c>
      <c r="BE60" s="81"/>
      <c r="BF60" s="81"/>
      <c r="BG60" s="81"/>
      <c r="BH60" s="81"/>
      <c r="BI60" s="81"/>
      <c r="BJ60">
        <v>5</v>
      </c>
      <c r="BK60" s="80" t="str">
        <f>REPLACE(INDEX(GroupVertices[Group], MATCH("~"&amp;Edges27[[#This Row],[Vertex 1]],GroupVertices[Vertex],0)),1,1,"")</f>
        <v>3</v>
      </c>
      <c r="BL60" s="80" t="str">
        <f>REPLACE(INDEX(GroupVertices[Group], MATCH("~"&amp;Edges27[[#This Row],[Vertex 2]],GroupVertices[Vertex],0)),1,1,"")</f>
        <v>3</v>
      </c>
      <c r="BM60" s="49"/>
      <c r="BN60" s="50"/>
      <c r="BO60" s="49"/>
      <c r="BP60" s="50"/>
      <c r="BQ60" s="49"/>
      <c r="BR60" s="50"/>
      <c r="BS60" s="49"/>
      <c r="BT60" s="50"/>
      <c r="BU60" s="49"/>
    </row>
    <row r="61" spans="1:73" x14ac:dyDescent="0.25">
      <c r="A61" s="65" t="s">
        <v>249</v>
      </c>
      <c r="B61" s="65" t="s">
        <v>275</v>
      </c>
      <c r="C61" s="66"/>
      <c r="D61" s="67"/>
      <c r="E61" s="68"/>
      <c r="F61" s="69"/>
      <c r="G61" s="66"/>
      <c r="H61" s="70"/>
      <c r="I61" s="71"/>
      <c r="J61" s="71"/>
      <c r="K61" s="35" t="s">
        <v>66</v>
      </c>
      <c r="L61" s="79">
        <v>108</v>
      </c>
      <c r="M61" s="79"/>
      <c r="N61" s="73"/>
      <c r="O61" s="81" t="s">
        <v>367</v>
      </c>
      <c r="P61" s="83">
        <v>45232.354166666664</v>
      </c>
      <c r="Q61" s="81" t="s">
        <v>420</v>
      </c>
      <c r="R61" s="81">
        <v>4</v>
      </c>
      <c r="S61" s="81">
        <v>9</v>
      </c>
      <c r="T61" s="81">
        <v>0</v>
      </c>
      <c r="U61" s="81">
        <v>1</v>
      </c>
      <c r="V61" s="81">
        <v>1253</v>
      </c>
      <c r="W61" s="84" t="s">
        <v>486</v>
      </c>
      <c r="X61" s="86" t="str">
        <f>HYPERLINK("https://journals.sagepub.com/doi/full/10.1177/10776990231202692")</f>
        <v>https://journals.sagepub.com/doi/full/10.1177/10776990231202692</v>
      </c>
      <c r="Y61" s="81" t="s">
        <v>506</v>
      </c>
      <c r="Z61" s="81" t="s">
        <v>539</v>
      </c>
      <c r="AA61" s="81"/>
      <c r="AB61" s="81"/>
      <c r="AC61" s="84" t="s">
        <v>579</v>
      </c>
      <c r="AD61" s="81" t="s">
        <v>588</v>
      </c>
      <c r="AE61" s="86" t="str">
        <f>HYPERLINK("https://twitter.com/jmcquarterly/status/1719995258149228840")</f>
        <v>https://twitter.com/jmcquarterly/status/1719995258149228840</v>
      </c>
      <c r="AF61" s="83">
        <v>45232.354166666664</v>
      </c>
      <c r="AG61" s="89">
        <v>45232</v>
      </c>
      <c r="AH61" s="84" t="s">
        <v>647</v>
      </c>
      <c r="AI61" s="81" t="b">
        <v>0</v>
      </c>
      <c r="AJ61" s="81"/>
      <c r="AK61" s="81"/>
      <c r="AL61" s="81"/>
      <c r="AM61" s="81"/>
      <c r="AN61" s="81"/>
      <c r="AO61" s="81"/>
      <c r="AP61" s="81"/>
      <c r="AQ61" s="81"/>
      <c r="AR61" s="81"/>
      <c r="AS61" s="81"/>
      <c r="AT61" s="81"/>
      <c r="AU61" s="81"/>
      <c r="AV61" s="86" t="str">
        <f>HYPERLINK("https://pbs.twimg.com/profile_images/1297970849820147712/3xME2yZ6_normal.jpg")</f>
        <v>https://pbs.twimg.com/profile_images/1297970849820147712/3xME2yZ6_normal.jpg</v>
      </c>
      <c r="AW61" s="84" t="s">
        <v>801</v>
      </c>
      <c r="AX61" s="84" t="s">
        <v>801</v>
      </c>
      <c r="AY61" s="81"/>
      <c r="AZ61" s="84" t="s">
        <v>879</v>
      </c>
      <c r="BA61" s="84" t="s">
        <v>879</v>
      </c>
      <c r="BB61" s="84" t="s">
        <v>879</v>
      </c>
      <c r="BC61" s="84" t="s">
        <v>801</v>
      </c>
      <c r="BD61" s="84" t="s">
        <v>876</v>
      </c>
      <c r="BE61" s="81"/>
      <c r="BF61" s="81"/>
      <c r="BG61" s="81"/>
      <c r="BH61" s="81"/>
      <c r="BI61" s="81"/>
      <c r="BJ61">
        <v>5</v>
      </c>
      <c r="BK61" s="80" t="str">
        <f>REPLACE(INDEX(GroupVertices[Group], MATCH("~"&amp;Edges27[[#This Row],[Vertex 1]],GroupVertices[Vertex],0)),1,1,"")</f>
        <v>3</v>
      </c>
      <c r="BL61" s="80" t="str">
        <f>REPLACE(INDEX(GroupVertices[Group], MATCH("~"&amp;Edges27[[#This Row],[Vertex 2]],GroupVertices[Vertex],0)),1,1,"")</f>
        <v>3</v>
      </c>
      <c r="BM61" s="49"/>
      <c r="BN61" s="50"/>
      <c r="BO61" s="49"/>
      <c r="BP61" s="50"/>
      <c r="BQ61" s="49"/>
      <c r="BR61" s="50"/>
      <c r="BS61" s="49"/>
      <c r="BT61" s="50"/>
      <c r="BU61" s="49"/>
    </row>
    <row r="62" spans="1:73" x14ac:dyDescent="0.25">
      <c r="A62" s="65" t="s">
        <v>249</v>
      </c>
      <c r="B62" s="65" t="s">
        <v>275</v>
      </c>
      <c r="C62" s="66"/>
      <c r="D62" s="67"/>
      <c r="E62" s="68"/>
      <c r="F62" s="69"/>
      <c r="G62" s="66"/>
      <c r="H62" s="70"/>
      <c r="I62" s="71"/>
      <c r="J62" s="71"/>
      <c r="K62" s="35" t="s">
        <v>66</v>
      </c>
      <c r="L62" s="79">
        <v>109</v>
      </c>
      <c r="M62" s="79"/>
      <c r="N62" s="73"/>
      <c r="O62" s="81" t="s">
        <v>367</v>
      </c>
      <c r="P62" s="83">
        <v>45229.330416666664</v>
      </c>
      <c r="Q62" s="81" t="s">
        <v>421</v>
      </c>
      <c r="R62" s="81">
        <v>5</v>
      </c>
      <c r="S62" s="81">
        <v>12</v>
      </c>
      <c r="T62" s="81">
        <v>0</v>
      </c>
      <c r="U62" s="81">
        <v>1</v>
      </c>
      <c r="V62" s="81">
        <v>1797</v>
      </c>
      <c r="W62" s="84" t="s">
        <v>487</v>
      </c>
      <c r="X62" s="86" t="str">
        <f>HYPERLINK("https://journals.sagepub.com/doi/abs/10.1177/10776990221108722")</f>
        <v>https://journals.sagepub.com/doi/abs/10.1177/10776990221108722</v>
      </c>
      <c r="Y62" s="81" t="s">
        <v>506</v>
      </c>
      <c r="Z62" s="81" t="s">
        <v>539</v>
      </c>
      <c r="AA62" s="81"/>
      <c r="AB62" s="81"/>
      <c r="AC62" s="84" t="s">
        <v>579</v>
      </c>
      <c r="AD62" s="81" t="s">
        <v>588</v>
      </c>
      <c r="AE62" s="86" t="str">
        <f>HYPERLINK("https://twitter.com/jmcquarterly/status/1718899489916727435")</f>
        <v>https://twitter.com/jmcquarterly/status/1718899489916727435</v>
      </c>
      <c r="AF62" s="83">
        <v>45229.330416666664</v>
      </c>
      <c r="AG62" s="89">
        <v>45229</v>
      </c>
      <c r="AH62" s="84" t="s">
        <v>648</v>
      </c>
      <c r="AI62" s="81" t="b">
        <v>0</v>
      </c>
      <c r="AJ62" s="81"/>
      <c r="AK62" s="81"/>
      <c r="AL62" s="81"/>
      <c r="AM62" s="81"/>
      <c r="AN62" s="81"/>
      <c r="AO62" s="81"/>
      <c r="AP62" s="81"/>
      <c r="AQ62" s="81"/>
      <c r="AR62" s="81"/>
      <c r="AS62" s="81"/>
      <c r="AT62" s="81"/>
      <c r="AU62" s="81"/>
      <c r="AV62" s="86" t="str">
        <f>HYPERLINK("https://pbs.twimg.com/profile_images/1297970849820147712/3xME2yZ6_normal.jpg")</f>
        <v>https://pbs.twimg.com/profile_images/1297970849820147712/3xME2yZ6_normal.jpg</v>
      </c>
      <c r="AW62" s="84" t="s">
        <v>802</v>
      </c>
      <c r="AX62" s="84" t="s">
        <v>802</v>
      </c>
      <c r="AY62" s="81"/>
      <c r="AZ62" s="84" t="s">
        <v>879</v>
      </c>
      <c r="BA62" s="84" t="s">
        <v>879</v>
      </c>
      <c r="BB62" s="84" t="s">
        <v>879</v>
      </c>
      <c r="BC62" s="84" t="s">
        <v>802</v>
      </c>
      <c r="BD62" s="84" t="s">
        <v>876</v>
      </c>
      <c r="BE62" s="81"/>
      <c r="BF62" s="81"/>
      <c r="BG62" s="81"/>
      <c r="BH62" s="81"/>
      <c r="BI62" s="81"/>
      <c r="BJ62">
        <v>5</v>
      </c>
      <c r="BK62" s="80" t="str">
        <f>REPLACE(INDEX(GroupVertices[Group], MATCH("~"&amp;Edges27[[#This Row],[Vertex 1]],GroupVertices[Vertex],0)),1,1,"")</f>
        <v>3</v>
      </c>
      <c r="BL62" s="80" t="str">
        <f>REPLACE(INDEX(GroupVertices[Group], MATCH("~"&amp;Edges27[[#This Row],[Vertex 2]],GroupVertices[Vertex],0)),1,1,"")</f>
        <v>3</v>
      </c>
      <c r="BM62" s="49"/>
      <c r="BN62" s="50"/>
      <c r="BO62" s="49"/>
      <c r="BP62" s="50"/>
      <c r="BQ62" s="49"/>
      <c r="BR62" s="50"/>
      <c r="BS62" s="49"/>
      <c r="BT62" s="50"/>
      <c r="BU62" s="49"/>
    </row>
    <row r="63" spans="1:73" x14ac:dyDescent="0.25">
      <c r="A63" s="65" t="s">
        <v>275</v>
      </c>
      <c r="B63" s="65" t="s">
        <v>275</v>
      </c>
      <c r="C63" s="66"/>
      <c r="D63" s="67"/>
      <c r="E63" s="68"/>
      <c r="F63" s="69"/>
      <c r="G63" s="66"/>
      <c r="H63" s="70"/>
      <c r="I63" s="71"/>
      <c r="J63" s="71"/>
      <c r="K63" s="35" t="s">
        <v>65</v>
      </c>
      <c r="L63" s="79">
        <v>110</v>
      </c>
      <c r="M63" s="79"/>
      <c r="N63" s="73"/>
      <c r="O63" s="81" t="s">
        <v>366</v>
      </c>
      <c r="P63" s="83">
        <v>45232.596331018518</v>
      </c>
      <c r="Q63" s="81" t="s">
        <v>413</v>
      </c>
      <c r="R63" s="81">
        <v>5</v>
      </c>
      <c r="S63" s="81">
        <v>0</v>
      </c>
      <c r="T63" s="81">
        <v>0</v>
      </c>
      <c r="U63" s="81">
        <v>0</v>
      </c>
      <c r="V63" s="81"/>
      <c r="W63" s="84" t="s">
        <v>484</v>
      </c>
      <c r="X63" s="86" t="str">
        <f>HYPERLINK("https://journals.sagepub.com/doi/abs/10.1177/10776990221108722")</f>
        <v>https://journals.sagepub.com/doi/abs/10.1177/10776990221108722</v>
      </c>
      <c r="Y63" s="81" t="s">
        <v>506</v>
      </c>
      <c r="Z63" s="81" t="s">
        <v>518</v>
      </c>
      <c r="AA63" s="81"/>
      <c r="AB63" s="81"/>
      <c r="AC63" s="84" t="s">
        <v>582</v>
      </c>
      <c r="AD63" s="81" t="s">
        <v>588</v>
      </c>
      <c r="AE63" s="86" t="str">
        <f>HYPERLINK("https://twitter.com/prof_dimitrova/status/1720083015194562625")</f>
        <v>https://twitter.com/prof_dimitrova/status/1720083015194562625</v>
      </c>
      <c r="AF63" s="83">
        <v>45232.596331018518</v>
      </c>
      <c r="AG63" s="89">
        <v>45232</v>
      </c>
      <c r="AH63" s="84" t="s">
        <v>649</v>
      </c>
      <c r="AI63" s="81" t="b">
        <v>0</v>
      </c>
      <c r="AJ63" s="81"/>
      <c r="AK63" s="81"/>
      <c r="AL63" s="81"/>
      <c r="AM63" s="81"/>
      <c r="AN63" s="81"/>
      <c r="AO63" s="81"/>
      <c r="AP63" s="81"/>
      <c r="AQ63" s="81"/>
      <c r="AR63" s="81"/>
      <c r="AS63" s="81"/>
      <c r="AT63" s="81"/>
      <c r="AU63" s="81"/>
      <c r="AV63" s="86" t="str">
        <f>HYPERLINK("https://pbs.twimg.com/profile_images/1453492073492008960/JvNqqE66_normal.jpg")</f>
        <v>https://pbs.twimg.com/profile_images/1453492073492008960/JvNqqE66_normal.jpg</v>
      </c>
      <c r="AW63" s="84" t="s">
        <v>803</v>
      </c>
      <c r="AX63" s="84" t="s">
        <v>803</v>
      </c>
      <c r="AY63" s="81"/>
      <c r="AZ63" s="84" t="s">
        <v>879</v>
      </c>
      <c r="BA63" s="84" t="s">
        <v>879</v>
      </c>
      <c r="BB63" s="84" t="s">
        <v>802</v>
      </c>
      <c r="BC63" s="84" t="s">
        <v>802</v>
      </c>
      <c r="BD63" s="81">
        <v>208629545</v>
      </c>
      <c r="BE63" s="81"/>
      <c r="BF63" s="81"/>
      <c r="BG63" s="81"/>
      <c r="BH63" s="81"/>
      <c r="BI63" s="81"/>
      <c r="BJ63">
        <v>3</v>
      </c>
      <c r="BK63" s="80" t="str">
        <f>REPLACE(INDEX(GroupVertices[Group], MATCH("~"&amp;Edges27[[#This Row],[Vertex 1]],GroupVertices[Vertex],0)),1,1,"")</f>
        <v>3</v>
      </c>
      <c r="BL63" s="80" t="str">
        <f>REPLACE(INDEX(GroupVertices[Group], MATCH("~"&amp;Edges27[[#This Row],[Vertex 2]],GroupVertices[Vertex],0)),1,1,"")</f>
        <v>3</v>
      </c>
      <c r="BM63" s="49"/>
      <c r="BN63" s="50"/>
      <c r="BO63" s="49"/>
      <c r="BP63" s="50"/>
      <c r="BQ63" s="49"/>
      <c r="BR63" s="50"/>
      <c r="BS63" s="49"/>
      <c r="BT63" s="50"/>
      <c r="BU63" s="49"/>
    </row>
    <row r="64" spans="1:73" x14ac:dyDescent="0.25">
      <c r="A64" s="65" t="s">
        <v>275</v>
      </c>
      <c r="B64" s="65" t="s">
        <v>275</v>
      </c>
      <c r="C64" s="66"/>
      <c r="D64" s="67"/>
      <c r="E64" s="68"/>
      <c r="F64" s="69"/>
      <c r="G64" s="66"/>
      <c r="H64" s="70"/>
      <c r="I64" s="71"/>
      <c r="J64" s="71"/>
      <c r="K64" s="35" t="s">
        <v>65</v>
      </c>
      <c r="L64" s="79">
        <v>113</v>
      </c>
      <c r="M64" s="79"/>
      <c r="N64" s="73"/>
      <c r="O64" s="81" t="s">
        <v>366</v>
      </c>
      <c r="P64" s="83">
        <v>45233.526053240741</v>
      </c>
      <c r="Q64" s="81" t="s">
        <v>373</v>
      </c>
      <c r="R64" s="81">
        <v>4</v>
      </c>
      <c r="S64" s="81">
        <v>0</v>
      </c>
      <c r="T64" s="81">
        <v>0</v>
      </c>
      <c r="U64" s="81">
        <v>0</v>
      </c>
      <c r="V64" s="81"/>
      <c r="W64" s="81"/>
      <c r="X64" s="81"/>
      <c r="Y64" s="81"/>
      <c r="Z64" s="81" t="s">
        <v>518</v>
      </c>
      <c r="AA64" s="81"/>
      <c r="AB64" s="81"/>
      <c r="AC64" s="84" t="s">
        <v>583</v>
      </c>
      <c r="AD64" s="81" t="s">
        <v>588</v>
      </c>
      <c r="AE64" s="86" t="str">
        <f>HYPERLINK("https://twitter.com/prof_dimitrova/status/1720419935531204819")</f>
        <v>https://twitter.com/prof_dimitrova/status/1720419935531204819</v>
      </c>
      <c r="AF64" s="83">
        <v>45233.526053240741</v>
      </c>
      <c r="AG64" s="89">
        <v>45233</v>
      </c>
      <c r="AH64" s="84" t="s">
        <v>650</v>
      </c>
      <c r="AI64" s="81" t="b">
        <v>0</v>
      </c>
      <c r="AJ64" s="81"/>
      <c r="AK64" s="81"/>
      <c r="AL64" s="81"/>
      <c r="AM64" s="81"/>
      <c r="AN64" s="81"/>
      <c r="AO64" s="81"/>
      <c r="AP64" s="81"/>
      <c r="AQ64" s="81"/>
      <c r="AR64" s="81"/>
      <c r="AS64" s="81"/>
      <c r="AT64" s="81"/>
      <c r="AU64" s="81"/>
      <c r="AV64" s="86" t="str">
        <f>HYPERLINK("https://pbs.twimg.com/profile_images/1453492073492008960/JvNqqE66_normal.jpg")</f>
        <v>https://pbs.twimg.com/profile_images/1453492073492008960/JvNqqE66_normal.jpg</v>
      </c>
      <c r="AW64" s="84" t="s">
        <v>804</v>
      </c>
      <c r="AX64" s="84" t="s">
        <v>804</v>
      </c>
      <c r="AY64" s="81"/>
      <c r="AZ64" s="84" t="s">
        <v>879</v>
      </c>
      <c r="BA64" s="84" t="s">
        <v>879</v>
      </c>
      <c r="BB64" s="84" t="s">
        <v>801</v>
      </c>
      <c r="BC64" s="84" t="s">
        <v>801</v>
      </c>
      <c r="BD64" s="81">
        <v>208629545</v>
      </c>
      <c r="BE64" s="81"/>
      <c r="BF64" s="81"/>
      <c r="BG64" s="81"/>
      <c r="BH64" s="81"/>
      <c r="BI64" s="81"/>
      <c r="BJ64">
        <v>3</v>
      </c>
      <c r="BK64" s="80" t="str">
        <f>REPLACE(INDEX(GroupVertices[Group], MATCH("~"&amp;Edges27[[#This Row],[Vertex 1]],GroupVertices[Vertex],0)),1,1,"")</f>
        <v>3</v>
      </c>
      <c r="BL64" s="80" t="str">
        <f>REPLACE(INDEX(GroupVertices[Group], MATCH("~"&amp;Edges27[[#This Row],[Vertex 2]],GroupVertices[Vertex],0)),1,1,"")</f>
        <v>3</v>
      </c>
      <c r="BM64" s="49"/>
      <c r="BN64" s="50"/>
      <c r="BO64" s="49"/>
      <c r="BP64" s="50"/>
      <c r="BQ64" s="49"/>
      <c r="BR64" s="50"/>
      <c r="BS64" s="49"/>
      <c r="BT64" s="50"/>
      <c r="BU64" s="49"/>
    </row>
    <row r="65" spans="1:73" x14ac:dyDescent="0.25">
      <c r="A65" s="65" t="s">
        <v>275</v>
      </c>
      <c r="B65" s="65" t="s">
        <v>275</v>
      </c>
      <c r="C65" s="66"/>
      <c r="D65" s="67"/>
      <c r="E65" s="68"/>
      <c r="F65" s="69"/>
      <c r="G65" s="66"/>
      <c r="H65" s="70"/>
      <c r="I65" s="71"/>
      <c r="J65" s="71"/>
      <c r="K65" s="35" t="s">
        <v>65</v>
      </c>
      <c r="L65" s="79">
        <v>116</v>
      </c>
      <c r="M65" s="79"/>
      <c r="N65" s="73"/>
      <c r="O65" s="81" t="s">
        <v>366</v>
      </c>
      <c r="P65" s="83">
        <v>45230.851134259261</v>
      </c>
      <c r="Q65" s="81" t="s">
        <v>422</v>
      </c>
      <c r="R65" s="81">
        <v>2</v>
      </c>
      <c r="S65" s="81">
        <v>0</v>
      </c>
      <c r="T65" s="81">
        <v>0</v>
      </c>
      <c r="U65" s="81">
        <v>0</v>
      </c>
      <c r="V65" s="81"/>
      <c r="W65" s="84" t="s">
        <v>485</v>
      </c>
      <c r="X65" s="86" t="str">
        <f>HYPERLINK("https://journals.sagepub.com/doi/abs/10.1177/10776990211049451")</f>
        <v>https://journals.sagepub.com/doi/abs/10.1177/10776990211049451</v>
      </c>
      <c r="Y65" s="81" t="s">
        <v>506</v>
      </c>
      <c r="Z65" s="81" t="s">
        <v>518</v>
      </c>
      <c r="AA65" s="81"/>
      <c r="AB65" s="81"/>
      <c r="AC65" s="84" t="s">
        <v>582</v>
      </c>
      <c r="AD65" s="81" t="s">
        <v>588</v>
      </c>
      <c r="AE65" s="86" t="str">
        <f>HYPERLINK("https://twitter.com/prof_dimitrova/status/1719450577459912929")</f>
        <v>https://twitter.com/prof_dimitrova/status/1719450577459912929</v>
      </c>
      <c r="AF65" s="83">
        <v>45230.851134259261</v>
      </c>
      <c r="AG65" s="89">
        <v>45230</v>
      </c>
      <c r="AH65" s="84" t="s">
        <v>651</v>
      </c>
      <c r="AI65" s="81" t="b">
        <v>0</v>
      </c>
      <c r="AJ65" s="81"/>
      <c r="AK65" s="81"/>
      <c r="AL65" s="81"/>
      <c r="AM65" s="81"/>
      <c r="AN65" s="81"/>
      <c r="AO65" s="81"/>
      <c r="AP65" s="81"/>
      <c r="AQ65" s="81"/>
      <c r="AR65" s="81"/>
      <c r="AS65" s="81"/>
      <c r="AT65" s="81"/>
      <c r="AU65" s="81"/>
      <c r="AV65" s="86" t="str">
        <f>HYPERLINK("https://pbs.twimg.com/profile_images/1453492073492008960/JvNqqE66_normal.jpg")</f>
        <v>https://pbs.twimg.com/profile_images/1453492073492008960/JvNqqE66_normal.jpg</v>
      </c>
      <c r="AW65" s="84" t="s">
        <v>805</v>
      </c>
      <c r="AX65" s="84" t="s">
        <v>805</v>
      </c>
      <c r="AY65" s="81"/>
      <c r="AZ65" s="84" t="s">
        <v>879</v>
      </c>
      <c r="BA65" s="84" t="s">
        <v>879</v>
      </c>
      <c r="BB65" s="84" t="s">
        <v>800</v>
      </c>
      <c r="BC65" s="84" t="s">
        <v>800</v>
      </c>
      <c r="BD65" s="81">
        <v>208629545</v>
      </c>
      <c r="BE65" s="81"/>
      <c r="BF65" s="81"/>
      <c r="BG65" s="81"/>
      <c r="BH65" s="81"/>
      <c r="BI65" s="81"/>
      <c r="BJ65">
        <v>3</v>
      </c>
      <c r="BK65" s="80" t="str">
        <f>REPLACE(INDEX(GroupVertices[Group], MATCH("~"&amp;Edges27[[#This Row],[Vertex 1]],GroupVertices[Vertex],0)),1,1,"")</f>
        <v>3</v>
      </c>
      <c r="BL65" s="80" t="str">
        <f>REPLACE(INDEX(GroupVertices[Group], MATCH("~"&amp;Edges27[[#This Row],[Vertex 2]],GroupVertices[Vertex],0)),1,1,"")</f>
        <v>3</v>
      </c>
      <c r="BM65" s="49"/>
      <c r="BN65" s="50"/>
      <c r="BO65" s="49"/>
      <c r="BP65" s="50"/>
      <c r="BQ65" s="49"/>
      <c r="BR65" s="50"/>
      <c r="BS65" s="49"/>
      <c r="BT65" s="50"/>
      <c r="BU65" s="49"/>
    </row>
    <row r="66" spans="1:73" x14ac:dyDescent="0.25">
      <c r="A66" s="65" t="s">
        <v>268</v>
      </c>
      <c r="B66" s="65" t="s">
        <v>275</v>
      </c>
      <c r="C66" s="66"/>
      <c r="D66" s="67"/>
      <c r="E66" s="68"/>
      <c r="F66" s="69"/>
      <c r="G66" s="66"/>
      <c r="H66" s="70"/>
      <c r="I66" s="71"/>
      <c r="J66" s="71"/>
      <c r="K66" s="35" t="s">
        <v>65</v>
      </c>
      <c r="L66" s="79">
        <v>119</v>
      </c>
      <c r="M66" s="79"/>
      <c r="N66" s="73"/>
      <c r="O66" s="81" t="s">
        <v>366</v>
      </c>
      <c r="P66" s="83">
        <v>45233.740844907406</v>
      </c>
      <c r="Q66" s="81" t="s">
        <v>423</v>
      </c>
      <c r="R66" s="81">
        <v>1</v>
      </c>
      <c r="S66" s="81">
        <v>0</v>
      </c>
      <c r="T66" s="81">
        <v>0</v>
      </c>
      <c r="U66" s="81">
        <v>0</v>
      </c>
      <c r="V66" s="81"/>
      <c r="W66" s="81"/>
      <c r="X66" s="81"/>
      <c r="Y66" s="81"/>
      <c r="Z66" s="81" t="s">
        <v>518</v>
      </c>
      <c r="AA66" s="81"/>
      <c r="AB66" s="81"/>
      <c r="AC66" s="84" t="s">
        <v>582</v>
      </c>
      <c r="AD66" s="81" t="s">
        <v>588</v>
      </c>
      <c r="AE66" s="86" t="str">
        <f>HYPERLINK("https://twitter.com/aejmc/status/1720497776302117214")</f>
        <v>https://twitter.com/aejmc/status/1720497776302117214</v>
      </c>
      <c r="AF66" s="83">
        <v>45233.740844907406</v>
      </c>
      <c r="AG66" s="89">
        <v>45233</v>
      </c>
      <c r="AH66" s="84" t="s">
        <v>652</v>
      </c>
      <c r="AI66" s="81"/>
      <c r="AJ66" s="81"/>
      <c r="AK66" s="81"/>
      <c r="AL66" s="81"/>
      <c r="AM66" s="81"/>
      <c r="AN66" s="81"/>
      <c r="AO66" s="81"/>
      <c r="AP66" s="81"/>
      <c r="AQ66" s="81"/>
      <c r="AR66" s="81"/>
      <c r="AS66" s="81"/>
      <c r="AT66" s="81"/>
      <c r="AU66" s="81"/>
      <c r="AV66" s="86" t="str">
        <f>HYPERLINK("https://pbs.twimg.com/profile_images/1559584982439444482/vOVkFGh3_normal.png")</f>
        <v>https://pbs.twimg.com/profile_images/1559584982439444482/vOVkFGh3_normal.png</v>
      </c>
      <c r="AW66" s="84" t="s">
        <v>806</v>
      </c>
      <c r="AX66" s="84" t="s">
        <v>806</v>
      </c>
      <c r="AY66" s="81"/>
      <c r="AZ66" s="84" t="s">
        <v>879</v>
      </c>
      <c r="BA66" s="84" t="s">
        <v>879</v>
      </c>
      <c r="BB66" s="84" t="s">
        <v>786</v>
      </c>
      <c r="BC66" s="84" t="s">
        <v>786</v>
      </c>
      <c r="BD66" s="81">
        <v>8442592</v>
      </c>
      <c r="BE66" s="81"/>
      <c r="BF66" s="81"/>
      <c r="BG66" s="81"/>
      <c r="BH66" s="81"/>
      <c r="BI66" s="81"/>
      <c r="BJ66">
        <v>4</v>
      </c>
      <c r="BK66" s="80" t="str">
        <f>REPLACE(INDEX(GroupVertices[Group], MATCH("~"&amp;Edges27[[#This Row],[Vertex 1]],GroupVertices[Vertex],0)),1,1,"")</f>
        <v>1</v>
      </c>
      <c r="BL66" s="80" t="str">
        <f>REPLACE(INDEX(GroupVertices[Group], MATCH("~"&amp;Edges27[[#This Row],[Vertex 2]],GroupVertices[Vertex],0)),1,1,"")</f>
        <v>3</v>
      </c>
      <c r="BM66" s="49"/>
      <c r="BN66" s="50"/>
      <c r="BO66" s="49"/>
      <c r="BP66" s="50"/>
      <c r="BQ66" s="49"/>
      <c r="BR66" s="50"/>
      <c r="BS66" s="49"/>
      <c r="BT66" s="50"/>
      <c r="BU66" s="49"/>
    </row>
    <row r="67" spans="1:73" x14ac:dyDescent="0.25">
      <c r="A67" s="65" t="s">
        <v>268</v>
      </c>
      <c r="B67" s="65" t="s">
        <v>275</v>
      </c>
      <c r="C67" s="66"/>
      <c r="D67" s="67"/>
      <c r="E67" s="68"/>
      <c r="F67" s="69"/>
      <c r="G67" s="66"/>
      <c r="H67" s="70"/>
      <c r="I67" s="71"/>
      <c r="J67" s="71"/>
      <c r="K67" s="35" t="s">
        <v>65</v>
      </c>
      <c r="L67" s="79">
        <v>120</v>
      </c>
      <c r="M67" s="79"/>
      <c r="N67" s="73"/>
      <c r="O67" s="81" t="s">
        <v>366</v>
      </c>
      <c r="P67" s="83">
        <v>45230.816342592596</v>
      </c>
      <c r="Q67" s="81" t="s">
        <v>422</v>
      </c>
      <c r="R67" s="81">
        <v>2</v>
      </c>
      <c r="S67" s="81">
        <v>0</v>
      </c>
      <c r="T67" s="81">
        <v>0</v>
      </c>
      <c r="U67" s="81">
        <v>0</v>
      </c>
      <c r="V67" s="81"/>
      <c r="W67" s="84" t="s">
        <v>485</v>
      </c>
      <c r="X67" s="86" t="str">
        <f>HYPERLINK("https://journals.sagepub.com/doi/abs/10.1177/10776990211049451")</f>
        <v>https://journals.sagepub.com/doi/abs/10.1177/10776990211049451</v>
      </c>
      <c r="Y67" s="81" t="s">
        <v>506</v>
      </c>
      <c r="Z67" s="81" t="s">
        <v>518</v>
      </c>
      <c r="AA67" s="81"/>
      <c r="AB67" s="81"/>
      <c r="AC67" s="84" t="s">
        <v>582</v>
      </c>
      <c r="AD67" s="81" t="s">
        <v>588</v>
      </c>
      <c r="AE67" s="86" t="str">
        <f>HYPERLINK("https://twitter.com/aejmc/status/1719437971806375979")</f>
        <v>https://twitter.com/aejmc/status/1719437971806375979</v>
      </c>
      <c r="AF67" s="83">
        <v>45230.816342592596</v>
      </c>
      <c r="AG67" s="89">
        <v>45230</v>
      </c>
      <c r="AH67" s="84" t="s">
        <v>653</v>
      </c>
      <c r="AI67" s="81" t="b">
        <v>0</v>
      </c>
      <c r="AJ67" s="81"/>
      <c r="AK67" s="81"/>
      <c r="AL67" s="81"/>
      <c r="AM67" s="81"/>
      <c r="AN67" s="81"/>
      <c r="AO67" s="81"/>
      <c r="AP67" s="81"/>
      <c r="AQ67" s="81"/>
      <c r="AR67" s="81"/>
      <c r="AS67" s="81"/>
      <c r="AT67" s="81"/>
      <c r="AU67" s="81"/>
      <c r="AV67" s="86" t="str">
        <f>HYPERLINK("https://pbs.twimg.com/profile_images/1559584982439444482/vOVkFGh3_normal.png")</f>
        <v>https://pbs.twimg.com/profile_images/1559584982439444482/vOVkFGh3_normal.png</v>
      </c>
      <c r="AW67" s="84" t="s">
        <v>807</v>
      </c>
      <c r="AX67" s="84" t="s">
        <v>807</v>
      </c>
      <c r="AY67" s="81"/>
      <c r="AZ67" s="84" t="s">
        <v>879</v>
      </c>
      <c r="BA67" s="84" t="s">
        <v>879</v>
      </c>
      <c r="BB67" s="84" t="s">
        <v>800</v>
      </c>
      <c r="BC67" s="84" t="s">
        <v>800</v>
      </c>
      <c r="BD67" s="81">
        <v>8442592</v>
      </c>
      <c r="BE67" s="81"/>
      <c r="BF67" s="81"/>
      <c r="BG67" s="81"/>
      <c r="BH67" s="81"/>
      <c r="BI67" s="81"/>
      <c r="BJ67">
        <v>4</v>
      </c>
      <c r="BK67" s="80" t="str">
        <f>REPLACE(INDEX(GroupVertices[Group], MATCH("~"&amp;Edges27[[#This Row],[Vertex 1]],GroupVertices[Vertex],0)),1,1,"")</f>
        <v>1</v>
      </c>
      <c r="BL67" s="80" t="str">
        <f>REPLACE(INDEX(GroupVertices[Group], MATCH("~"&amp;Edges27[[#This Row],[Vertex 2]],GroupVertices[Vertex],0)),1,1,"")</f>
        <v>3</v>
      </c>
      <c r="BM67" s="49"/>
      <c r="BN67" s="50"/>
      <c r="BO67" s="49"/>
      <c r="BP67" s="50"/>
      <c r="BQ67" s="49"/>
      <c r="BR67" s="50"/>
      <c r="BS67" s="49"/>
      <c r="BT67" s="50"/>
      <c r="BU67" s="49"/>
    </row>
    <row r="68" spans="1:73" x14ac:dyDescent="0.25">
      <c r="A68" s="65" t="s">
        <v>268</v>
      </c>
      <c r="B68" s="65" t="s">
        <v>275</v>
      </c>
      <c r="C68" s="66"/>
      <c r="D68" s="67"/>
      <c r="E68" s="68"/>
      <c r="F68" s="69"/>
      <c r="G68" s="66"/>
      <c r="H68" s="70"/>
      <c r="I68" s="71"/>
      <c r="J68" s="71"/>
      <c r="K68" s="35" t="s">
        <v>65</v>
      </c>
      <c r="L68" s="79">
        <v>121</v>
      </c>
      <c r="M68" s="79"/>
      <c r="N68" s="73"/>
      <c r="O68" s="81" t="s">
        <v>366</v>
      </c>
      <c r="P68" s="83">
        <v>45229.644386574073</v>
      </c>
      <c r="Q68" s="81" t="s">
        <v>413</v>
      </c>
      <c r="R68" s="81">
        <v>5</v>
      </c>
      <c r="S68" s="81">
        <v>0</v>
      </c>
      <c r="T68" s="81">
        <v>0</v>
      </c>
      <c r="U68" s="81">
        <v>0</v>
      </c>
      <c r="V68" s="81"/>
      <c r="W68" s="84" t="s">
        <v>484</v>
      </c>
      <c r="X68" s="86" t="str">
        <f>HYPERLINK("https://journals.sagepub.com/doi/abs/10.1177/10776990221108722")</f>
        <v>https://journals.sagepub.com/doi/abs/10.1177/10776990221108722</v>
      </c>
      <c r="Y68" s="81" t="s">
        <v>506</v>
      </c>
      <c r="Z68" s="81" t="s">
        <v>518</v>
      </c>
      <c r="AA68" s="81"/>
      <c r="AB68" s="81"/>
      <c r="AC68" s="84" t="s">
        <v>582</v>
      </c>
      <c r="AD68" s="81" t="s">
        <v>588</v>
      </c>
      <c r="AE68" s="86" t="str">
        <f>HYPERLINK("https://twitter.com/aejmc/status/1719013266746118316")</f>
        <v>https://twitter.com/aejmc/status/1719013266746118316</v>
      </c>
      <c r="AF68" s="83">
        <v>45229.644386574073</v>
      </c>
      <c r="AG68" s="89">
        <v>45229</v>
      </c>
      <c r="AH68" s="84" t="s">
        <v>654</v>
      </c>
      <c r="AI68" s="81" t="b">
        <v>0</v>
      </c>
      <c r="AJ68" s="81"/>
      <c r="AK68" s="81"/>
      <c r="AL68" s="81"/>
      <c r="AM68" s="81"/>
      <c r="AN68" s="81"/>
      <c r="AO68" s="81"/>
      <c r="AP68" s="81"/>
      <c r="AQ68" s="81"/>
      <c r="AR68" s="81"/>
      <c r="AS68" s="81"/>
      <c r="AT68" s="81"/>
      <c r="AU68" s="81"/>
      <c r="AV68" s="86" t="str">
        <f>HYPERLINK("https://pbs.twimg.com/profile_images/1559584982439444482/vOVkFGh3_normal.png")</f>
        <v>https://pbs.twimg.com/profile_images/1559584982439444482/vOVkFGh3_normal.png</v>
      </c>
      <c r="AW68" s="84" t="s">
        <v>808</v>
      </c>
      <c r="AX68" s="84" t="s">
        <v>808</v>
      </c>
      <c r="AY68" s="81"/>
      <c r="AZ68" s="84" t="s">
        <v>879</v>
      </c>
      <c r="BA68" s="84" t="s">
        <v>879</v>
      </c>
      <c r="BB68" s="84" t="s">
        <v>802</v>
      </c>
      <c r="BC68" s="84" t="s">
        <v>802</v>
      </c>
      <c r="BD68" s="81">
        <v>8442592</v>
      </c>
      <c r="BE68" s="81"/>
      <c r="BF68" s="81"/>
      <c r="BG68" s="81"/>
      <c r="BH68" s="81"/>
      <c r="BI68" s="81"/>
      <c r="BJ68">
        <v>4</v>
      </c>
      <c r="BK68" s="80" t="str">
        <f>REPLACE(INDEX(GroupVertices[Group], MATCH("~"&amp;Edges27[[#This Row],[Vertex 1]],GroupVertices[Vertex],0)),1,1,"")</f>
        <v>1</v>
      </c>
      <c r="BL68" s="80" t="str">
        <f>REPLACE(INDEX(GroupVertices[Group], MATCH("~"&amp;Edges27[[#This Row],[Vertex 2]],GroupVertices[Vertex],0)),1,1,"")</f>
        <v>3</v>
      </c>
      <c r="BM68" s="49"/>
      <c r="BN68" s="50"/>
      <c r="BO68" s="49"/>
      <c r="BP68" s="50"/>
      <c r="BQ68" s="49"/>
      <c r="BR68" s="50"/>
      <c r="BS68" s="49"/>
      <c r="BT68" s="50"/>
      <c r="BU68" s="49"/>
    </row>
    <row r="69" spans="1:73" x14ac:dyDescent="0.25">
      <c r="A69" s="65" t="s">
        <v>268</v>
      </c>
      <c r="B69" s="65" t="s">
        <v>275</v>
      </c>
      <c r="C69" s="66"/>
      <c r="D69" s="67"/>
      <c r="E69" s="68"/>
      <c r="F69" s="69"/>
      <c r="G69" s="66"/>
      <c r="H69" s="70"/>
      <c r="I69" s="71"/>
      <c r="J69" s="71"/>
      <c r="K69" s="35" t="s">
        <v>65</v>
      </c>
      <c r="L69" s="79">
        <v>123</v>
      </c>
      <c r="M69" s="79"/>
      <c r="N69" s="73"/>
      <c r="O69" s="81" t="s">
        <v>366</v>
      </c>
      <c r="P69" s="83">
        <v>45233.544074074074</v>
      </c>
      <c r="Q69" s="81" t="s">
        <v>373</v>
      </c>
      <c r="R69" s="81">
        <v>4</v>
      </c>
      <c r="S69" s="81">
        <v>0</v>
      </c>
      <c r="T69" s="81">
        <v>0</v>
      </c>
      <c r="U69" s="81">
        <v>0</v>
      </c>
      <c r="V69" s="81"/>
      <c r="W69" s="81"/>
      <c r="X69" s="81"/>
      <c r="Y69" s="81"/>
      <c r="Z69" s="81" t="s">
        <v>518</v>
      </c>
      <c r="AA69" s="81"/>
      <c r="AB69" s="81"/>
      <c r="AC69" s="84" t="s">
        <v>582</v>
      </c>
      <c r="AD69" s="81" t="s">
        <v>588</v>
      </c>
      <c r="AE69" s="86" t="str">
        <f>HYPERLINK("https://twitter.com/aejmc/status/1720426469137043715")</f>
        <v>https://twitter.com/aejmc/status/1720426469137043715</v>
      </c>
      <c r="AF69" s="83">
        <v>45233.544074074074</v>
      </c>
      <c r="AG69" s="89">
        <v>45233</v>
      </c>
      <c r="AH69" s="84" t="s">
        <v>655</v>
      </c>
      <c r="AI69" s="81" t="b">
        <v>0</v>
      </c>
      <c r="AJ69" s="81"/>
      <c r="AK69" s="81"/>
      <c r="AL69" s="81"/>
      <c r="AM69" s="81"/>
      <c r="AN69" s="81"/>
      <c r="AO69" s="81"/>
      <c r="AP69" s="81"/>
      <c r="AQ69" s="81"/>
      <c r="AR69" s="81"/>
      <c r="AS69" s="81"/>
      <c r="AT69" s="81"/>
      <c r="AU69" s="81"/>
      <c r="AV69" s="86" t="str">
        <f>HYPERLINK("https://pbs.twimg.com/profile_images/1559584982439444482/vOVkFGh3_normal.png")</f>
        <v>https://pbs.twimg.com/profile_images/1559584982439444482/vOVkFGh3_normal.png</v>
      </c>
      <c r="AW69" s="84" t="s">
        <v>809</v>
      </c>
      <c r="AX69" s="84" t="s">
        <v>809</v>
      </c>
      <c r="AY69" s="81"/>
      <c r="AZ69" s="84" t="s">
        <v>879</v>
      </c>
      <c r="BA69" s="84" t="s">
        <v>879</v>
      </c>
      <c r="BB69" s="84" t="s">
        <v>801</v>
      </c>
      <c r="BC69" s="84" t="s">
        <v>801</v>
      </c>
      <c r="BD69" s="81">
        <v>8442592</v>
      </c>
      <c r="BE69" s="81"/>
      <c r="BF69" s="81"/>
      <c r="BG69" s="81"/>
      <c r="BH69" s="81"/>
      <c r="BI69" s="81"/>
      <c r="BJ69">
        <v>4</v>
      </c>
      <c r="BK69" s="80" t="str">
        <f>REPLACE(INDEX(GroupVertices[Group], MATCH("~"&amp;Edges27[[#This Row],[Vertex 1]],GroupVertices[Vertex],0)),1,1,"")</f>
        <v>1</v>
      </c>
      <c r="BL69" s="80" t="str">
        <f>REPLACE(INDEX(GroupVertices[Group], MATCH("~"&amp;Edges27[[#This Row],[Vertex 2]],GroupVertices[Vertex],0)),1,1,"")</f>
        <v>3</v>
      </c>
      <c r="BM69" s="49"/>
      <c r="BN69" s="50"/>
      <c r="BO69" s="49"/>
      <c r="BP69" s="50"/>
      <c r="BQ69" s="49"/>
      <c r="BR69" s="50"/>
      <c r="BS69" s="49"/>
      <c r="BT69" s="50"/>
      <c r="BU69" s="49"/>
    </row>
    <row r="70" spans="1:73" x14ac:dyDescent="0.25">
      <c r="A70" s="65" t="s">
        <v>276</v>
      </c>
      <c r="B70" s="65" t="s">
        <v>275</v>
      </c>
      <c r="C70" s="66"/>
      <c r="D70" s="67"/>
      <c r="E70" s="68"/>
      <c r="F70" s="69"/>
      <c r="G70" s="66"/>
      <c r="H70" s="70"/>
      <c r="I70" s="71"/>
      <c r="J70" s="71"/>
      <c r="K70" s="35" t="s">
        <v>65</v>
      </c>
      <c r="L70" s="79">
        <v>124</v>
      </c>
      <c r="M70" s="79"/>
      <c r="N70" s="73"/>
      <c r="O70" s="81" t="s">
        <v>366</v>
      </c>
      <c r="P70" s="83">
        <v>45233.049803240741</v>
      </c>
      <c r="Q70" s="81" t="s">
        <v>373</v>
      </c>
      <c r="R70" s="81">
        <v>4</v>
      </c>
      <c r="S70" s="81">
        <v>0</v>
      </c>
      <c r="T70" s="81">
        <v>0</v>
      </c>
      <c r="U70" s="81">
        <v>0</v>
      </c>
      <c r="V70" s="81"/>
      <c r="W70" s="81"/>
      <c r="X70" s="81"/>
      <c r="Y70" s="81"/>
      <c r="Z70" s="81" t="s">
        <v>518</v>
      </c>
      <c r="AA70" s="81"/>
      <c r="AB70" s="81"/>
      <c r="AC70" s="84" t="s">
        <v>579</v>
      </c>
      <c r="AD70" s="81" t="s">
        <v>588</v>
      </c>
      <c r="AE70" s="86" t="str">
        <f>HYPERLINK("https://twitter.com/aejmcctec/status/1720247351288172686")</f>
        <v>https://twitter.com/aejmcctec/status/1720247351288172686</v>
      </c>
      <c r="AF70" s="83">
        <v>45233.049803240741</v>
      </c>
      <c r="AG70" s="89">
        <v>45233</v>
      </c>
      <c r="AH70" s="84" t="s">
        <v>656</v>
      </c>
      <c r="AI70" s="81" t="b">
        <v>0</v>
      </c>
      <c r="AJ70" s="81"/>
      <c r="AK70" s="81"/>
      <c r="AL70" s="81"/>
      <c r="AM70" s="81"/>
      <c r="AN70" s="81"/>
      <c r="AO70" s="81"/>
      <c r="AP70" s="81"/>
      <c r="AQ70" s="81"/>
      <c r="AR70" s="81"/>
      <c r="AS70" s="81"/>
      <c r="AT70" s="81"/>
      <c r="AU70" s="81"/>
      <c r="AV70" s="86" t="str">
        <f>HYPERLINK("https://pbs.twimg.com/profile_images/2495615170/bp4qu2ql67yionsmi55z_normal.jpeg")</f>
        <v>https://pbs.twimg.com/profile_images/2495615170/bp4qu2ql67yionsmi55z_normal.jpeg</v>
      </c>
      <c r="AW70" s="84" t="s">
        <v>810</v>
      </c>
      <c r="AX70" s="84" t="s">
        <v>810</v>
      </c>
      <c r="AY70" s="81"/>
      <c r="AZ70" s="84" t="s">
        <v>879</v>
      </c>
      <c r="BA70" s="84" t="s">
        <v>879</v>
      </c>
      <c r="BB70" s="84" t="s">
        <v>801</v>
      </c>
      <c r="BC70" s="84" t="s">
        <v>801</v>
      </c>
      <c r="BD70" s="81">
        <v>753196890</v>
      </c>
      <c r="BE70" s="81"/>
      <c r="BF70" s="81"/>
      <c r="BG70" s="81"/>
      <c r="BH70" s="81"/>
      <c r="BI70" s="81"/>
      <c r="BJ70">
        <v>1</v>
      </c>
      <c r="BK70" s="80" t="str">
        <f>REPLACE(INDEX(GroupVertices[Group], MATCH("~"&amp;Edges27[[#This Row],[Vertex 1]],GroupVertices[Vertex],0)),1,1,"")</f>
        <v>3</v>
      </c>
      <c r="BL70" s="80" t="str">
        <f>REPLACE(INDEX(GroupVertices[Group], MATCH("~"&amp;Edges27[[#This Row],[Vertex 2]],GroupVertices[Vertex],0)),1,1,"")</f>
        <v>3</v>
      </c>
      <c r="BM70" s="49"/>
      <c r="BN70" s="50"/>
      <c r="BO70" s="49"/>
      <c r="BP70" s="50"/>
      <c r="BQ70" s="49"/>
      <c r="BR70" s="50"/>
      <c r="BS70" s="49"/>
      <c r="BT70" s="50"/>
      <c r="BU70" s="49"/>
    </row>
    <row r="71" spans="1:73" x14ac:dyDescent="0.25">
      <c r="A71" s="65" t="s">
        <v>276</v>
      </c>
      <c r="B71" s="65" t="s">
        <v>249</v>
      </c>
      <c r="C71" s="66"/>
      <c r="D71" s="67"/>
      <c r="E71" s="68"/>
      <c r="F71" s="69"/>
      <c r="G71" s="66"/>
      <c r="H71" s="70"/>
      <c r="I71" s="71"/>
      <c r="J71" s="71"/>
      <c r="K71" s="35" t="s">
        <v>66</v>
      </c>
      <c r="L71" s="79">
        <v>126</v>
      </c>
      <c r="M71" s="79"/>
      <c r="N71" s="73"/>
      <c r="O71" s="81" t="s">
        <v>365</v>
      </c>
      <c r="P71" s="83">
        <v>45233.050520833334</v>
      </c>
      <c r="Q71" s="81" t="s">
        <v>424</v>
      </c>
      <c r="R71" s="81">
        <v>4</v>
      </c>
      <c r="S71" s="81">
        <v>0</v>
      </c>
      <c r="T71" s="81">
        <v>0</v>
      </c>
      <c r="U71" s="81">
        <v>0</v>
      </c>
      <c r="V71" s="81"/>
      <c r="W71" s="84" t="s">
        <v>488</v>
      </c>
      <c r="X71" s="81"/>
      <c r="Y71" s="81"/>
      <c r="Z71" s="81" t="s">
        <v>249</v>
      </c>
      <c r="AA71" s="81"/>
      <c r="AB71" s="81"/>
      <c r="AC71" s="84" t="s">
        <v>579</v>
      </c>
      <c r="AD71" s="81" t="s">
        <v>588</v>
      </c>
      <c r="AE71" s="86" t="str">
        <f>HYPERLINK("https://twitter.com/aejmcctec/status/1720247609892200675")</f>
        <v>https://twitter.com/aejmcctec/status/1720247609892200675</v>
      </c>
      <c r="AF71" s="83">
        <v>45233.050520833334</v>
      </c>
      <c r="AG71" s="89">
        <v>45233</v>
      </c>
      <c r="AH71" s="84" t="s">
        <v>657</v>
      </c>
      <c r="AI71" s="81" t="b">
        <v>0</v>
      </c>
      <c r="AJ71" s="81"/>
      <c r="AK71" s="81"/>
      <c r="AL71" s="81"/>
      <c r="AM71" s="81"/>
      <c r="AN71" s="81"/>
      <c r="AO71" s="81"/>
      <c r="AP71" s="81"/>
      <c r="AQ71" s="81"/>
      <c r="AR71" s="81"/>
      <c r="AS71" s="81"/>
      <c r="AT71" s="81"/>
      <c r="AU71" s="81"/>
      <c r="AV71" s="86" t="str">
        <f>HYPERLINK("https://pbs.twimg.com/profile_images/2495615170/bp4qu2ql67yionsmi55z_normal.jpeg")</f>
        <v>https://pbs.twimg.com/profile_images/2495615170/bp4qu2ql67yionsmi55z_normal.jpeg</v>
      </c>
      <c r="AW71" s="84" t="s">
        <v>811</v>
      </c>
      <c r="AX71" s="84" t="s">
        <v>811</v>
      </c>
      <c r="AY71" s="81"/>
      <c r="AZ71" s="84" t="s">
        <v>879</v>
      </c>
      <c r="BA71" s="84" t="s">
        <v>879</v>
      </c>
      <c r="BB71" s="84" t="s">
        <v>845</v>
      </c>
      <c r="BC71" s="84" t="s">
        <v>845</v>
      </c>
      <c r="BD71" s="81">
        <v>753196890</v>
      </c>
      <c r="BE71" s="81"/>
      <c r="BF71" s="81"/>
      <c r="BG71" s="81"/>
      <c r="BH71" s="81"/>
      <c r="BI71" s="81"/>
      <c r="BJ71">
        <v>2</v>
      </c>
      <c r="BK71" s="80" t="str">
        <f>REPLACE(INDEX(GroupVertices[Group], MATCH("~"&amp;Edges27[[#This Row],[Vertex 1]],GroupVertices[Vertex],0)),1,1,"")</f>
        <v>3</v>
      </c>
      <c r="BL71" s="80" t="str">
        <f>REPLACE(INDEX(GroupVertices[Group], MATCH("~"&amp;Edges27[[#This Row],[Vertex 2]],GroupVertices[Vertex],0)),1,1,"")</f>
        <v>3</v>
      </c>
      <c r="BM71" s="49">
        <v>2</v>
      </c>
      <c r="BN71" s="50">
        <v>11.111111111111111</v>
      </c>
      <c r="BO71" s="49">
        <v>1</v>
      </c>
      <c r="BP71" s="50">
        <v>5.5555555555555554</v>
      </c>
      <c r="BQ71" s="49">
        <v>0</v>
      </c>
      <c r="BR71" s="50">
        <v>0</v>
      </c>
      <c r="BS71" s="49">
        <v>8</v>
      </c>
      <c r="BT71" s="50">
        <v>44.444444444444443</v>
      </c>
      <c r="BU71" s="49">
        <v>18</v>
      </c>
    </row>
    <row r="72" spans="1:73" x14ac:dyDescent="0.25">
      <c r="A72" s="65" t="s">
        <v>276</v>
      </c>
      <c r="B72" s="65" t="s">
        <v>277</v>
      </c>
      <c r="C72" s="66"/>
      <c r="D72" s="67"/>
      <c r="E72" s="68"/>
      <c r="F72" s="69"/>
      <c r="G72" s="66"/>
      <c r="H72" s="70"/>
      <c r="I72" s="71"/>
      <c r="J72" s="71"/>
      <c r="K72" s="35" t="s">
        <v>65</v>
      </c>
      <c r="L72" s="79">
        <v>127</v>
      </c>
      <c r="M72" s="79"/>
      <c r="N72" s="73"/>
      <c r="O72" s="81" t="s">
        <v>365</v>
      </c>
      <c r="P72" s="83">
        <v>45233.050185185188</v>
      </c>
      <c r="Q72" s="81" t="s">
        <v>425</v>
      </c>
      <c r="R72" s="81">
        <v>10</v>
      </c>
      <c r="S72" s="81">
        <v>0</v>
      </c>
      <c r="T72" s="81">
        <v>0</v>
      </c>
      <c r="U72" s="81">
        <v>0</v>
      </c>
      <c r="V72" s="81"/>
      <c r="W72" s="84" t="s">
        <v>489</v>
      </c>
      <c r="X72" s="81"/>
      <c r="Y72" s="81"/>
      <c r="Z72" s="81" t="s">
        <v>277</v>
      </c>
      <c r="AA72" s="81"/>
      <c r="AB72" s="81"/>
      <c r="AC72" s="84" t="s">
        <v>579</v>
      </c>
      <c r="AD72" s="81" t="s">
        <v>588</v>
      </c>
      <c r="AE72" s="86" t="str">
        <f>HYPERLINK("https://twitter.com/aejmcctec/status/1720247489205256386")</f>
        <v>https://twitter.com/aejmcctec/status/1720247489205256386</v>
      </c>
      <c r="AF72" s="83">
        <v>45233.050185185188</v>
      </c>
      <c r="AG72" s="89">
        <v>45233</v>
      </c>
      <c r="AH72" s="84" t="s">
        <v>658</v>
      </c>
      <c r="AI72" s="81" t="b">
        <v>0</v>
      </c>
      <c r="AJ72" s="81"/>
      <c r="AK72" s="81"/>
      <c r="AL72" s="81"/>
      <c r="AM72" s="81"/>
      <c r="AN72" s="81"/>
      <c r="AO72" s="81"/>
      <c r="AP72" s="81"/>
      <c r="AQ72" s="81"/>
      <c r="AR72" s="81"/>
      <c r="AS72" s="81"/>
      <c r="AT72" s="81"/>
      <c r="AU72" s="81"/>
      <c r="AV72" s="86" t="str">
        <f>HYPERLINK("https://pbs.twimg.com/profile_images/2495615170/bp4qu2ql67yionsmi55z_normal.jpeg")</f>
        <v>https://pbs.twimg.com/profile_images/2495615170/bp4qu2ql67yionsmi55z_normal.jpeg</v>
      </c>
      <c r="AW72" s="84" t="s">
        <v>812</v>
      </c>
      <c r="AX72" s="84" t="s">
        <v>812</v>
      </c>
      <c r="AY72" s="81"/>
      <c r="AZ72" s="84" t="s">
        <v>879</v>
      </c>
      <c r="BA72" s="84" t="s">
        <v>879</v>
      </c>
      <c r="BB72" s="84" t="s">
        <v>815</v>
      </c>
      <c r="BC72" s="84" t="s">
        <v>815</v>
      </c>
      <c r="BD72" s="81">
        <v>753196890</v>
      </c>
      <c r="BE72" s="81"/>
      <c r="BF72" s="81"/>
      <c r="BG72" s="81"/>
      <c r="BH72" s="81"/>
      <c r="BI72" s="81"/>
      <c r="BJ72">
        <v>1</v>
      </c>
      <c r="BK72" s="80" t="str">
        <f>REPLACE(INDEX(GroupVertices[Group], MATCH("~"&amp;Edges27[[#This Row],[Vertex 1]],GroupVertices[Vertex],0)),1,1,"")</f>
        <v>3</v>
      </c>
      <c r="BL72" s="80" t="str">
        <f>REPLACE(INDEX(GroupVertices[Group], MATCH("~"&amp;Edges27[[#This Row],[Vertex 2]],GroupVertices[Vertex],0)),1,1,"")</f>
        <v>3</v>
      </c>
      <c r="BM72" s="49">
        <v>0</v>
      </c>
      <c r="BN72" s="50">
        <v>0</v>
      </c>
      <c r="BO72" s="49">
        <v>0</v>
      </c>
      <c r="BP72" s="50">
        <v>0</v>
      </c>
      <c r="BQ72" s="49">
        <v>0</v>
      </c>
      <c r="BR72" s="50">
        <v>0</v>
      </c>
      <c r="BS72" s="49">
        <v>13</v>
      </c>
      <c r="BT72" s="50">
        <v>65</v>
      </c>
      <c r="BU72" s="49">
        <v>20</v>
      </c>
    </row>
    <row r="73" spans="1:73" x14ac:dyDescent="0.25">
      <c r="A73" s="65" t="s">
        <v>276</v>
      </c>
      <c r="B73" s="65" t="s">
        <v>288</v>
      </c>
      <c r="C73" s="66"/>
      <c r="D73" s="67"/>
      <c r="E73" s="68"/>
      <c r="F73" s="69"/>
      <c r="G73" s="66"/>
      <c r="H73" s="70"/>
      <c r="I73" s="71"/>
      <c r="J73" s="71"/>
      <c r="K73" s="35" t="s">
        <v>65</v>
      </c>
      <c r="L73" s="79">
        <v>130</v>
      </c>
      <c r="M73" s="79"/>
      <c r="N73" s="73"/>
      <c r="O73" s="81" t="s">
        <v>365</v>
      </c>
      <c r="P73" s="83">
        <v>45233.049687500003</v>
      </c>
      <c r="Q73" s="81" t="s">
        <v>426</v>
      </c>
      <c r="R73" s="81">
        <v>39</v>
      </c>
      <c r="S73" s="81">
        <v>0</v>
      </c>
      <c r="T73" s="81">
        <v>0</v>
      </c>
      <c r="U73" s="81">
        <v>0</v>
      </c>
      <c r="V73" s="81"/>
      <c r="W73" s="81"/>
      <c r="X73" s="81"/>
      <c r="Y73" s="81"/>
      <c r="Z73" s="81" t="s">
        <v>288</v>
      </c>
      <c r="AA73" s="81"/>
      <c r="AB73" s="81"/>
      <c r="AC73" s="84" t="s">
        <v>579</v>
      </c>
      <c r="AD73" s="81" t="s">
        <v>588</v>
      </c>
      <c r="AE73" s="86" t="str">
        <f>HYPERLINK("https://twitter.com/aejmcctec/status/1720247308242022884")</f>
        <v>https://twitter.com/aejmcctec/status/1720247308242022884</v>
      </c>
      <c r="AF73" s="83">
        <v>45233.049687500003</v>
      </c>
      <c r="AG73" s="89">
        <v>45233</v>
      </c>
      <c r="AH73" s="84" t="s">
        <v>659</v>
      </c>
      <c r="AI73" s="81" t="b">
        <v>0</v>
      </c>
      <c r="AJ73" s="81"/>
      <c r="AK73" s="81"/>
      <c r="AL73" s="81"/>
      <c r="AM73" s="81"/>
      <c r="AN73" s="81"/>
      <c r="AO73" s="81"/>
      <c r="AP73" s="81"/>
      <c r="AQ73" s="81"/>
      <c r="AR73" s="81"/>
      <c r="AS73" s="81"/>
      <c r="AT73" s="81"/>
      <c r="AU73" s="81"/>
      <c r="AV73" s="86" t="str">
        <f>HYPERLINK("https://pbs.twimg.com/profile_images/2495615170/bp4qu2ql67yionsmi55z_normal.jpeg")</f>
        <v>https://pbs.twimg.com/profile_images/2495615170/bp4qu2ql67yionsmi55z_normal.jpeg</v>
      </c>
      <c r="AW73" s="84" t="s">
        <v>813</v>
      </c>
      <c r="AX73" s="84" t="s">
        <v>813</v>
      </c>
      <c r="AY73" s="81"/>
      <c r="AZ73" s="84" t="s">
        <v>879</v>
      </c>
      <c r="BA73" s="84" t="s">
        <v>879</v>
      </c>
      <c r="BB73" s="84" t="s">
        <v>838</v>
      </c>
      <c r="BC73" s="84" t="s">
        <v>838</v>
      </c>
      <c r="BD73" s="81">
        <v>753196890</v>
      </c>
      <c r="BE73" s="81"/>
      <c r="BF73" s="81"/>
      <c r="BG73" s="81"/>
      <c r="BH73" s="81"/>
      <c r="BI73" s="81"/>
      <c r="BJ73">
        <v>1</v>
      </c>
      <c r="BK73" s="80" t="str">
        <f>REPLACE(INDEX(GroupVertices[Group], MATCH("~"&amp;Edges27[[#This Row],[Vertex 1]],GroupVertices[Vertex],0)),1,1,"")</f>
        <v>3</v>
      </c>
      <c r="BL73" s="80" t="str">
        <f>REPLACE(INDEX(GroupVertices[Group], MATCH("~"&amp;Edges27[[#This Row],[Vertex 2]],GroupVertices[Vertex],0)),1,1,"")</f>
        <v>3</v>
      </c>
      <c r="BM73" s="49">
        <v>3</v>
      </c>
      <c r="BN73" s="50">
        <v>13.043478260869565</v>
      </c>
      <c r="BO73" s="49">
        <v>0</v>
      </c>
      <c r="BP73" s="50">
        <v>0</v>
      </c>
      <c r="BQ73" s="49">
        <v>0</v>
      </c>
      <c r="BR73" s="50">
        <v>0</v>
      </c>
      <c r="BS73" s="49">
        <v>11</v>
      </c>
      <c r="BT73" s="50">
        <v>47.826086956521742</v>
      </c>
      <c r="BU73" s="49">
        <v>23</v>
      </c>
    </row>
    <row r="74" spans="1:73" x14ac:dyDescent="0.25">
      <c r="A74" s="65" t="s">
        <v>276</v>
      </c>
      <c r="B74" s="65" t="s">
        <v>307</v>
      </c>
      <c r="C74" s="66"/>
      <c r="D74" s="67"/>
      <c r="E74" s="68"/>
      <c r="F74" s="69"/>
      <c r="G74" s="66"/>
      <c r="H74" s="70"/>
      <c r="I74" s="71"/>
      <c r="J74" s="71"/>
      <c r="K74" s="35" t="s">
        <v>65</v>
      </c>
      <c r="L74" s="79">
        <v>131</v>
      </c>
      <c r="M74" s="79"/>
      <c r="N74" s="73"/>
      <c r="O74" s="81" t="s">
        <v>365</v>
      </c>
      <c r="P74" s="83">
        <v>45233.530810185184</v>
      </c>
      <c r="Q74" s="81" t="s">
        <v>427</v>
      </c>
      <c r="R74" s="81">
        <v>28453</v>
      </c>
      <c r="S74" s="81">
        <v>0</v>
      </c>
      <c r="T74" s="81">
        <v>0</v>
      </c>
      <c r="U74" s="81">
        <v>0</v>
      </c>
      <c r="V74" s="81"/>
      <c r="W74" s="81"/>
      <c r="X74" s="81"/>
      <c r="Y74" s="81"/>
      <c r="Z74" s="81" t="s">
        <v>307</v>
      </c>
      <c r="AA74" s="81"/>
      <c r="AB74" s="81"/>
      <c r="AC74" s="84" t="s">
        <v>579</v>
      </c>
      <c r="AD74" s="81" t="s">
        <v>588</v>
      </c>
      <c r="AE74" s="86" t="str">
        <f>HYPERLINK("https://twitter.com/aejmcctec/status/1720421659180433824")</f>
        <v>https://twitter.com/aejmcctec/status/1720421659180433824</v>
      </c>
      <c r="AF74" s="83">
        <v>45233.530810185184</v>
      </c>
      <c r="AG74" s="89">
        <v>45233</v>
      </c>
      <c r="AH74" s="84" t="s">
        <v>660</v>
      </c>
      <c r="AI74" s="81"/>
      <c r="AJ74" s="81"/>
      <c r="AK74" s="81"/>
      <c r="AL74" s="81"/>
      <c r="AM74" s="81"/>
      <c r="AN74" s="81"/>
      <c r="AO74" s="81"/>
      <c r="AP74" s="81"/>
      <c r="AQ74" s="81"/>
      <c r="AR74" s="81"/>
      <c r="AS74" s="81"/>
      <c r="AT74" s="81"/>
      <c r="AU74" s="81"/>
      <c r="AV74" s="86" t="str">
        <f>HYPERLINK("https://pbs.twimg.com/profile_images/2495615170/bp4qu2ql67yionsmi55z_normal.jpeg")</f>
        <v>https://pbs.twimg.com/profile_images/2495615170/bp4qu2ql67yionsmi55z_normal.jpeg</v>
      </c>
      <c r="AW74" s="84" t="s">
        <v>814</v>
      </c>
      <c r="AX74" s="84" t="s">
        <v>814</v>
      </c>
      <c r="AY74" s="81"/>
      <c r="AZ74" s="84" t="s">
        <v>879</v>
      </c>
      <c r="BA74" s="84" t="s">
        <v>879</v>
      </c>
      <c r="BB74" s="84" t="s">
        <v>871</v>
      </c>
      <c r="BC74" s="84" t="s">
        <v>871</v>
      </c>
      <c r="BD74" s="81">
        <v>753196890</v>
      </c>
      <c r="BE74" s="81"/>
      <c r="BF74" s="81"/>
      <c r="BG74" s="81"/>
      <c r="BH74" s="81"/>
      <c r="BI74" s="81"/>
      <c r="BJ74">
        <v>1</v>
      </c>
      <c r="BK74" s="80" t="str">
        <f>REPLACE(INDEX(GroupVertices[Group], MATCH("~"&amp;Edges27[[#This Row],[Vertex 1]],GroupVertices[Vertex],0)),1,1,"")</f>
        <v>3</v>
      </c>
      <c r="BL74" s="80" t="str">
        <f>REPLACE(INDEX(GroupVertices[Group], MATCH("~"&amp;Edges27[[#This Row],[Vertex 2]],GroupVertices[Vertex],0)),1,1,"")</f>
        <v>3</v>
      </c>
      <c r="BM74" s="49">
        <v>0</v>
      </c>
      <c r="BN74" s="50">
        <v>0</v>
      </c>
      <c r="BO74" s="49">
        <v>1</v>
      </c>
      <c r="BP74" s="50">
        <v>4.166666666666667</v>
      </c>
      <c r="BQ74" s="49">
        <v>0</v>
      </c>
      <c r="BR74" s="50">
        <v>0</v>
      </c>
      <c r="BS74" s="49">
        <v>11</v>
      </c>
      <c r="BT74" s="50">
        <v>45.833333333333336</v>
      </c>
      <c r="BU74" s="49">
        <v>24</v>
      </c>
    </row>
    <row r="75" spans="1:73" x14ac:dyDescent="0.25">
      <c r="A75" s="65" t="s">
        <v>277</v>
      </c>
      <c r="B75" s="65" t="s">
        <v>327</v>
      </c>
      <c r="C75" s="66"/>
      <c r="D75" s="67"/>
      <c r="E75" s="68"/>
      <c r="F75" s="69"/>
      <c r="G75" s="66"/>
      <c r="H75" s="70"/>
      <c r="I75" s="71"/>
      <c r="J75" s="71"/>
      <c r="K75" s="35" t="s">
        <v>65</v>
      </c>
      <c r="L75" s="79">
        <v>132</v>
      </c>
      <c r="M75" s="79"/>
      <c r="N75" s="73"/>
      <c r="O75" s="81" t="s">
        <v>367</v>
      </c>
      <c r="P75" s="83">
        <v>45231.555243055554</v>
      </c>
      <c r="Q75" s="81" t="s">
        <v>428</v>
      </c>
      <c r="R75" s="81">
        <v>10</v>
      </c>
      <c r="S75" s="81">
        <v>32</v>
      </c>
      <c r="T75" s="81">
        <v>2</v>
      </c>
      <c r="U75" s="81">
        <v>0</v>
      </c>
      <c r="V75" s="81">
        <v>2675</v>
      </c>
      <c r="W75" s="84" t="s">
        <v>489</v>
      </c>
      <c r="X75" s="86" t="str">
        <f>HYPERLINK("https://www.degruyter.com/journal/key/omgc/html")</f>
        <v>https://www.degruyter.com/journal/key/omgc/html</v>
      </c>
      <c r="Y75" s="81" t="s">
        <v>508</v>
      </c>
      <c r="Z75" s="81" t="s">
        <v>327</v>
      </c>
      <c r="AA75" s="81"/>
      <c r="AB75" s="81"/>
      <c r="AC75" s="84" t="s">
        <v>580</v>
      </c>
      <c r="AD75" s="81" t="s">
        <v>588</v>
      </c>
      <c r="AE75" s="86" t="str">
        <f>HYPERLINK("https://twitter.com/louisahabgsu/status/1719705738673565827")</f>
        <v>https://twitter.com/louisahabgsu/status/1719705738673565827</v>
      </c>
      <c r="AF75" s="83">
        <v>45231.555243055554</v>
      </c>
      <c r="AG75" s="89">
        <v>45231</v>
      </c>
      <c r="AH75" s="84" t="s">
        <v>661</v>
      </c>
      <c r="AI75" s="81" t="b">
        <v>0</v>
      </c>
      <c r="AJ75" s="81"/>
      <c r="AK75" s="81"/>
      <c r="AL75" s="81"/>
      <c r="AM75" s="81"/>
      <c r="AN75" s="81"/>
      <c r="AO75" s="81"/>
      <c r="AP75" s="81"/>
      <c r="AQ75" s="81"/>
      <c r="AR75" s="81"/>
      <c r="AS75" s="81"/>
      <c r="AT75" s="81"/>
      <c r="AU75" s="81"/>
      <c r="AV75" s="86" t="str">
        <f>HYPERLINK("https://pbs.twimg.com/profile_images/520229540732227584/BT9iQDzR_normal.jpeg")</f>
        <v>https://pbs.twimg.com/profile_images/520229540732227584/BT9iQDzR_normal.jpeg</v>
      </c>
      <c r="AW75" s="84" t="s">
        <v>815</v>
      </c>
      <c r="AX75" s="84" t="s">
        <v>815</v>
      </c>
      <c r="AY75" s="81"/>
      <c r="AZ75" s="84" t="s">
        <v>879</v>
      </c>
      <c r="BA75" s="84" t="s">
        <v>879</v>
      </c>
      <c r="BB75" s="84" t="s">
        <v>879</v>
      </c>
      <c r="BC75" s="84" t="s">
        <v>815</v>
      </c>
      <c r="BD75" s="81">
        <v>2785427009</v>
      </c>
      <c r="BE75" s="81"/>
      <c r="BF75" s="81"/>
      <c r="BG75" s="81"/>
      <c r="BH75" s="81"/>
      <c r="BI75" s="81"/>
      <c r="BJ75">
        <v>1</v>
      </c>
      <c r="BK75" s="80" t="str">
        <f>REPLACE(INDEX(GroupVertices[Group], MATCH("~"&amp;Edges27[[#This Row],[Vertex 1]],GroupVertices[Vertex],0)),1,1,"")</f>
        <v>3</v>
      </c>
      <c r="BL75" s="80" t="str">
        <f>REPLACE(INDEX(GroupVertices[Group], MATCH("~"&amp;Edges27[[#This Row],[Vertex 2]],GroupVertices[Vertex],0)),1,1,"")</f>
        <v>3</v>
      </c>
      <c r="BM75" s="49">
        <v>1</v>
      </c>
      <c r="BN75" s="50">
        <v>2.8571428571428572</v>
      </c>
      <c r="BO75" s="49">
        <v>1</v>
      </c>
      <c r="BP75" s="50">
        <v>2.8571428571428572</v>
      </c>
      <c r="BQ75" s="49">
        <v>0</v>
      </c>
      <c r="BR75" s="50">
        <v>0</v>
      </c>
      <c r="BS75" s="49">
        <v>19</v>
      </c>
      <c r="BT75" s="50">
        <v>54.285714285714285</v>
      </c>
      <c r="BU75" s="49">
        <v>35</v>
      </c>
    </row>
    <row r="76" spans="1:73" x14ac:dyDescent="0.25">
      <c r="A76" s="65" t="s">
        <v>278</v>
      </c>
      <c r="B76" s="65" t="s">
        <v>278</v>
      </c>
      <c r="C76" s="66"/>
      <c r="D76" s="67"/>
      <c r="E76" s="68"/>
      <c r="F76" s="69"/>
      <c r="G76" s="66"/>
      <c r="H76" s="70"/>
      <c r="I76" s="71"/>
      <c r="J76" s="71"/>
      <c r="K76" s="35" t="s">
        <v>65</v>
      </c>
      <c r="L76" s="79">
        <v>134</v>
      </c>
      <c r="M76" s="79"/>
      <c r="N76" s="73"/>
      <c r="O76" s="81" t="s">
        <v>196</v>
      </c>
      <c r="P76" s="83">
        <v>45230.323807870373</v>
      </c>
      <c r="Q76" s="81" t="s">
        <v>429</v>
      </c>
      <c r="R76" s="81">
        <v>0</v>
      </c>
      <c r="S76" s="81">
        <v>1</v>
      </c>
      <c r="T76" s="81">
        <v>0</v>
      </c>
      <c r="U76" s="81">
        <v>0</v>
      </c>
      <c r="V76" s="81">
        <v>201</v>
      </c>
      <c r="W76" s="81"/>
      <c r="X76" s="86" t="str">
        <f>HYPERLINK("https://ift.tt/5ASY3J6")</f>
        <v>https://ift.tt/5ASY3J6</v>
      </c>
      <c r="Y76" s="81" t="s">
        <v>509</v>
      </c>
      <c r="Z76" s="81"/>
      <c r="AA76" s="81"/>
      <c r="AB76" s="81"/>
      <c r="AC76" s="84" t="s">
        <v>584</v>
      </c>
      <c r="AD76" s="81" t="s">
        <v>588</v>
      </c>
      <c r="AE76" s="86" t="str">
        <f>HYPERLINK("https://twitter.com/thepostdoctoral/status/1719259482205692353")</f>
        <v>https://twitter.com/thepostdoctoral/status/1719259482205692353</v>
      </c>
      <c r="AF76" s="83">
        <v>45230.323807870373</v>
      </c>
      <c r="AG76" s="89">
        <v>45230</v>
      </c>
      <c r="AH76" s="84" t="s">
        <v>662</v>
      </c>
      <c r="AI76" s="81" t="b">
        <v>0</v>
      </c>
      <c r="AJ76" s="81"/>
      <c r="AK76" s="81"/>
      <c r="AL76" s="81"/>
      <c r="AM76" s="81"/>
      <c r="AN76" s="81"/>
      <c r="AO76" s="81"/>
      <c r="AP76" s="81"/>
      <c r="AQ76" s="81"/>
      <c r="AR76" s="81"/>
      <c r="AS76" s="81"/>
      <c r="AT76" s="81"/>
      <c r="AU76" s="81"/>
      <c r="AV76" s="86" t="str">
        <f>HYPERLINK("https://pbs.twimg.com/profile_images/1432099431143329795/3sYvr85-_normal.jpg")</f>
        <v>https://pbs.twimg.com/profile_images/1432099431143329795/3sYvr85-_normal.jpg</v>
      </c>
      <c r="AW76" s="84" t="s">
        <v>816</v>
      </c>
      <c r="AX76" s="84" t="s">
        <v>816</v>
      </c>
      <c r="AY76" s="81"/>
      <c r="AZ76" s="84" t="s">
        <v>879</v>
      </c>
      <c r="BA76" s="84" t="s">
        <v>879</v>
      </c>
      <c r="BB76" s="84" t="s">
        <v>879</v>
      </c>
      <c r="BC76" s="84" t="s">
        <v>816</v>
      </c>
      <c r="BD76" s="81">
        <v>2175843914</v>
      </c>
      <c r="BE76" s="81"/>
      <c r="BF76" s="81"/>
      <c r="BG76" s="81"/>
      <c r="BH76" s="81"/>
      <c r="BI76" s="81"/>
      <c r="BJ76">
        <v>1</v>
      </c>
      <c r="BK76" s="80" t="str">
        <f>REPLACE(INDEX(GroupVertices[Group], MATCH("~"&amp;Edges27[[#This Row],[Vertex 1]],GroupVertices[Vertex],0)),1,1,"")</f>
        <v>13</v>
      </c>
      <c r="BL76" s="80" t="str">
        <f>REPLACE(INDEX(GroupVertices[Group], MATCH("~"&amp;Edges27[[#This Row],[Vertex 2]],GroupVertices[Vertex],0)),1,1,"")</f>
        <v>13</v>
      </c>
      <c r="BM76" s="49">
        <v>7</v>
      </c>
      <c r="BN76" s="50">
        <v>21.212121212121211</v>
      </c>
      <c r="BO76" s="49">
        <v>0</v>
      </c>
      <c r="BP76" s="50">
        <v>0</v>
      </c>
      <c r="BQ76" s="49">
        <v>0</v>
      </c>
      <c r="BR76" s="50">
        <v>0</v>
      </c>
      <c r="BS76" s="49">
        <v>15</v>
      </c>
      <c r="BT76" s="50">
        <v>45.454545454545453</v>
      </c>
      <c r="BU76" s="49">
        <v>33</v>
      </c>
    </row>
    <row r="77" spans="1:73" x14ac:dyDescent="0.25">
      <c r="A77" s="65" t="s">
        <v>279</v>
      </c>
      <c r="B77" s="65" t="s">
        <v>280</v>
      </c>
      <c r="C77" s="66"/>
      <c r="D77" s="67"/>
      <c r="E77" s="68"/>
      <c r="F77" s="69"/>
      <c r="G77" s="66"/>
      <c r="H77" s="70"/>
      <c r="I77" s="71"/>
      <c r="J77" s="71"/>
      <c r="K77" s="35" t="s">
        <v>66</v>
      </c>
      <c r="L77" s="79">
        <v>135</v>
      </c>
      <c r="M77" s="79"/>
      <c r="N77" s="73"/>
      <c r="O77" s="81" t="s">
        <v>370</v>
      </c>
      <c r="P77" s="83">
        <v>45223.067743055559</v>
      </c>
      <c r="Q77" s="81" t="s">
        <v>430</v>
      </c>
      <c r="R77" s="81">
        <v>2</v>
      </c>
      <c r="S77" s="81">
        <v>5</v>
      </c>
      <c r="T77" s="81">
        <v>0</v>
      </c>
      <c r="U77" s="81">
        <v>0</v>
      </c>
      <c r="V77" s="81">
        <v>798</v>
      </c>
      <c r="W77" s="84" t="s">
        <v>490</v>
      </c>
      <c r="X77" s="81"/>
      <c r="Y77" s="81"/>
      <c r="Z77" s="81" t="s">
        <v>280</v>
      </c>
      <c r="AA77" s="81"/>
      <c r="AB77" s="81"/>
      <c r="AC77" s="84" t="s">
        <v>580</v>
      </c>
      <c r="AD77" s="81" t="s">
        <v>588</v>
      </c>
      <c r="AE77" s="86" t="str">
        <f>HYPERLINK("https://twitter.com/brianatrifiro/status/1716629972062773742")</f>
        <v>https://twitter.com/brianatrifiro/status/1716629972062773742</v>
      </c>
      <c r="AF77" s="83">
        <v>45223.067743055559</v>
      </c>
      <c r="AG77" s="89">
        <v>45223</v>
      </c>
      <c r="AH77" s="84" t="s">
        <v>663</v>
      </c>
      <c r="AI77" s="81"/>
      <c r="AJ77" s="81"/>
      <c r="AK77" s="81"/>
      <c r="AL77" s="81"/>
      <c r="AM77" s="81"/>
      <c r="AN77" s="81"/>
      <c r="AO77" s="81"/>
      <c r="AP77" s="81"/>
      <c r="AQ77" s="81"/>
      <c r="AR77" s="81"/>
      <c r="AS77" s="81"/>
      <c r="AT77" s="81"/>
      <c r="AU77" s="81"/>
      <c r="AV77" s="86" t="str">
        <f>HYPERLINK("https://pbs.twimg.com/profile_images/1324512852162629632/criswwlC_normal.jpg")</f>
        <v>https://pbs.twimg.com/profile_images/1324512852162629632/criswwlC_normal.jpg</v>
      </c>
      <c r="AW77" s="84" t="s">
        <v>817</v>
      </c>
      <c r="AX77" s="84" t="s">
        <v>817</v>
      </c>
      <c r="AY77" s="81"/>
      <c r="AZ77" s="84" t="s">
        <v>879</v>
      </c>
      <c r="BA77" s="84" t="s">
        <v>820</v>
      </c>
      <c r="BB77" s="84" t="s">
        <v>879</v>
      </c>
      <c r="BC77" s="84" t="s">
        <v>820</v>
      </c>
      <c r="BD77" s="84" t="s">
        <v>889</v>
      </c>
      <c r="BE77" s="81"/>
      <c r="BF77" s="81"/>
      <c r="BG77" s="81"/>
      <c r="BH77" s="81"/>
      <c r="BI77" s="81"/>
      <c r="BJ77">
        <v>1</v>
      </c>
      <c r="BK77" s="80" t="str">
        <f>REPLACE(INDEX(GroupVertices[Group], MATCH("~"&amp;Edges27[[#This Row],[Vertex 1]],GroupVertices[Vertex],0)),1,1,"")</f>
        <v>4</v>
      </c>
      <c r="BL77" s="80" t="str">
        <f>REPLACE(INDEX(GroupVertices[Group], MATCH("~"&amp;Edges27[[#This Row],[Vertex 2]],GroupVertices[Vertex],0)),1,1,"")</f>
        <v>4</v>
      </c>
      <c r="BM77" s="49"/>
      <c r="BN77" s="50"/>
      <c r="BO77" s="49"/>
      <c r="BP77" s="50"/>
      <c r="BQ77" s="49"/>
      <c r="BR77" s="50"/>
      <c r="BS77" s="49"/>
      <c r="BT77" s="50"/>
      <c r="BU77" s="49"/>
    </row>
    <row r="78" spans="1:73" x14ac:dyDescent="0.25">
      <c r="A78" s="65" t="s">
        <v>268</v>
      </c>
      <c r="B78" s="65" t="s">
        <v>279</v>
      </c>
      <c r="C78" s="66"/>
      <c r="D78" s="67"/>
      <c r="E78" s="68"/>
      <c r="F78" s="69"/>
      <c r="G78" s="66"/>
      <c r="H78" s="70"/>
      <c r="I78" s="71"/>
      <c r="J78" s="71"/>
      <c r="K78" s="35" t="s">
        <v>65</v>
      </c>
      <c r="L78" s="79">
        <v>137</v>
      </c>
      <c r="M78" s="79"/>
      <c r="N78" s="73"/>
      <c r="O78" s="81" t="s">
        <v>365</v>
      </c>
      <c r="P78" s="83">
        <v>45230.819780092592</v>
      </c>
      <c r="Q78" s="81" t="s">
        <v>431</v>
      </c>
      <c r="R78" s="81">
        <v>2</v>
      </c>
      <c r="S78" s="81">
        <v>0</v>
      </c>
      <c r="T78" s="81">
        <v>0</v>
      </c>
      <c r="U78" s="81">
        <v>0</v>
      </c>
      <c r="V78" s="81"/>
      <c r="W78" s="84" t="s">
        <v>490</v>
      </c>
      <c r="X78" s="81"/>
      <c r="Y78" s="81"/>
      <c r="Z78" s="81" t="s">
        <v>540</v>
      </c>
      <c r="AA78" s="81"/>
      <c r="AB78" s="81"/>
      <c r="AC78" s="84" t="s">
        <v>582</v>
      </c>
      <c r="AD78" s="81" t="s">
        <v>588</v>
      </c>
      <c r="AE78" s="86" t="str">
        <f>HYPERLINK("https://twitter.com/aejmc/status/1719439218492035292")</f>
        <v>https://twitter.com/aejmc/status/1719439218492035292</v>
      </c>
      <c r="AF78" s="83">
        <v>45230.819780092592</v>
      </c>
      <c r="AG78" s="89">
        <v>45230</v>
      </c>
      <c r="AH78" s="84" t="s">
        <v>664</v>
      </c>
      <c r="AI78" s="81"/>
      <c r="AJ78" s="81"/>
      <c r="AK78" s="81"/>
      <c r="AL78" s="81"/>
      <c r="AM78" s="81"/>
      <c r="AN78" s="81"/>
      <c r="AO78" s="81"/>
      <c r="AP78" s="81"/>
      <c r="AQ78" s="81"/>
      <c r="AR78" s="81"/>
      <c r="AS78" s="81"/>
      <c r="AT78" s="81"/>
      <c r="AU78" s="81"/>
      <c r="AV78" s="86" t="str">
        <f>HYPERLINK("https://pbs.twimg.com/profile_images/1559584982439444482/vOVkFGh3_normal.png")</f>
        <v>https://pbs.twimg.com/profile_images/1559584982439444482/vOVkFGh3_normal.png</v>
      </c>
      <c r="AW78" s="84" t="s">
        <v>818</v>
      </c>
      <c r="AX78" s="84" t="s">
        <v>818</v>
      </c>
      <c r="AY78" s="81"/>
      <c r="AZ78" s="84" t="s">
        <v>879</v>
      </c>
      <c r="BA78" s="84" t="s">
        <v>820</v>
      </c>
      <c r="BB78" s="84" t="s">
        <v>817</v>
      </c>
      <c r="BC78" s="84" t="s">
        <v>817</v>
      </c>
      <c r="BD78" s="81">
        <v>8442592</v>
      </c>
      <c r="BE78" s="81"/>
      <c r="BF78" s="81"/>
      <c r="BG78" s="81"/>
      <c r="BH78" s="81"/>
      <c r="BI78" s="81"/>
      <c r="BJ78">
        <v>1</v>
      </c>
      <c r="BK78" s="80" t="str">
        <f>REPLACE(INDEX(GroupVertices[Group], MATCH("~"&amp;Edges27[[#This Row],[Vertex 1]],GroupVertices[Vertex],0)),1,1,"")</f>
        <v>1</v>
      </c>
      <c r="BL78" s="80" t="str">
        <f>REPLACE(INDEX(GroupVertices[Group], MATCH("~"&amp;Edges27[[#This Row],[Vertex 2]],GroupVertices[Vertex],0)),1,1,"")</f>
        <v>4</v>
      </c>
      <c r="BM78" s="49"/>
      <c r="BN78" s="50"/>
      <c r="BO78" s="49"/>
      <c r="BP78" s="50"/>
      <c r="BQ78" s="49"/>
      <c r="BR78" s="50"/>
      <c r="BS78" s="49"/>
      <c r="BT78" s="50"/>
      <c r="BU78" s="49"/>
    </row>
    <row r="79" spans="1:73" x14ac:dyDescent="0.25">
      <c r="A79" s="65" t="s">
        <v>280</v>
      </c>
      <c r="B79" s="65" t="s">
        <v>279</v>
      </c>
      <c r="C79" s="66"/>
      <c r="D79" s="67"/>
      <c r="E79" s="68"/>
      <c r="F79" s="69"/>
      <c r="G79" s="66"/>
      <c r="H79" s="70"/>
      <c r="I79" s="71"/>
      <c r="J79" s="71"/>
      <c r="K79" s="35" t="s">
        <v>66</v>
      </c>
      <c r="L79" s="79">
        <v>138</v>
      </c>
      <c r="M79" s="79"/>
      <c r="N79" s="73"/>
      <c r="O79" s="81" t="s">
        <v>365</v>
      </c>
      <c r="P79" s="83">
        <v>45230.817835648151</v>
      </c>
      <c r="Q79" s="81" t="s">
        <v>431</v>
      </c>
      <c r="R79" s="81">
        <v>2</v>
      </c>
      <c r="S79" s="81">
        <v>0</v>
      </c>
      <c r="T79" s="81">
        <v>0</v>
      </c>
      <c r="U79" s="81">
        <v>0</v>
      </c>
      <c r="V79" s="81"/>
      <c r="W79" s="84" t="s">
        <v>490</v>
      </c>
      <c r="X79" s="81"/>
      <c r="Y79" s="81"/>
      <c r="Z79" s="81" t="s">
        <v>540</v>
      </c>
      <c r="AA79" s="81"/>
      <c r="AB79" s="81"/>
      <c r="AC79" s="84" t="s">
        <v>580</v>
      </c>
      <c r="AD79" s="81" t="s">
        <v>588</v>
      </c>
      <c r="AE79" s="86" t="str">
        <f>HYPERLINK("https://twitter.com/csgeaejmc/status/1719438511349137778")</f>
        <v>https://twitter.com/csgeaejmc/status/1719438511349137778</v>
      </c>
      <c r="AF79" s="83">
        <v>45230.817835648151</v>
      </c>
      <c r="AG79" s="89">
        <v>45230</v>
      </c>
      <c r="AH79" s="84" t="s">
        <v>665</v>
      </c>
      <c r="AI79" s="81"/>
      <c r="AJ79" s="81"/>
      <c r="AK79" s="81"/>
      <c r="AL79" s="81"/>
      <c r="AM79" s="81"/>
      <c r="AN79" s="81"/>
      <c r="AO79" s="81"/>
      <c r="AP79" s="81"/>
      <c r="AQ79" s="81"/>
      <c r="AR79" s="81"/>
      <c r="AS79" s="81"/>
      <c r="AT79" s="81"/>
      <c r="AU79" s="81"/>
      <c r="AV79" s="86" t="str">
        <f>HYPERLINK("https://pbs.twimg.com/profile_images/1631068834768515072/LdDIOISa_normal.jpg")</f>
        <v>https://pbs.twimg.com/profile_images/1631068834768515072/LdDIOISa_normal.jpg</v>
      </c>
      <c r="AW79" s="84" t="s">
        <v>819</v>
      </c>
      <c r="AX79" s="84" t="s">
        <v>819</v>
      </c>
      <c r="AY79" s="81"/>
      <c r="AZ79" s="84" t="s">
        <v>879</v>
      </c>
      <c r="BA79" s="84" t="s">
        <v>820</v>
      </c>
      <c r="BB79" s="84" t="s">
        <v>817</v>
      </c>
      <c r="BC79" s="84" t="s">
        <v>817</v>
      </c>
      <c r="BD79" s="84" t="s">
        <v>890</v>
      </c>
      <c r="BE79" s="81"/>
      <c r="BF79" s="81"/>
      <c r="BG79" s="81"/>
      <c r="BH79" s="81"/>
      <c r="BI79" s="81"/>
      <c r="BJ79">
        <v>1</v>
      </c>
      <c r="BK79" s="80" t="str">
        <f>REPLACE(INDEX(GroupVertices[Group], MATCH("~"&amp;Edges27[[#This Row],[Vertex 1]],GroupVertices[Vertex],0)),1,1,"")</f>
        <v>4</v>
      </c>
      <c r="BL79" s="80" t="str">
        <f>REPLACE(INDEX(GroupVertices[Group], MATCH("~"&amp;Edges27[[#This Row],[Vertex 2]],GroupVertices[Vertex],0)),1,1,"")</f>
        <v>4</v>
      </c>
      <c r="BM79" s="49"/>
      <c r="BN79" s="50"/>
      <c r="BO79" s="49"/>
      <c r="BP79" s="50"/>
      <c r="BQ79" s="49"/>
      <c r="BR79" s="50"/>
      <c r="BS79" s="49"/>
      <c r="BT79" s="50"/>
      <c r="BU79" s="49"/>
    </row>
    <row r="80" spans="1:73" x14ac:dyDescent="0.25">
      <c r="A80" s="65" t="s">
        <v>280</v>
      </c>
      <c r="B80" s="65" t="s">
        <v>328</v>
      </c>
      <c r="C80" s="66"/>
      <c r="D80" s="67"/>
      <c r="E80" s="68"/>
      <c r="F80" s="69"/>
      <c r="G80" s="66"/>
      <c r="H80" s="70"/>
      <c r="I80" s="71"/>
      <c r="J80" s="71"/>
      <c r="K80" s="35" t="s">
        <v>65</v>
      </c>
      <c r="L80" s="79">
        <v>139</v>
      </c>
      <c r="M80" s="79"/>
      <c r="N80" s="73"/>
      <c r="O80" s="81" t="s">
        <v>367</v>
      </c>
      <c r="P80" s="83">
        <v>45222.637326388889</v>
      </c>
      <c r="Q80" s="81" t="s">
        <v>432</v>
      </c>
      <c r="R80" s="81">
        <v>10</v>
      </c>
      <c r="S80" s="81">
        <v>14</v>
      </c>
      <c r="T80" s="81">
        <v>0</v>
      </c>
      <c r="U80" s="81">
        <v>2</v>
      </c>
      <c r="V80" s="81">
        <v>1621</v>
      </c>
      <c r="W80" s="84" t="s">
        <v>490</v>
      </c>
      <c r="X80" s="86" t="str">
        <f>HYPERLINK("https://bostonu.zoom.us/meeting/register/tJAkc-Gsqj8qGNfbayeDGxjSAisWKFmTXJAs")</f>
        <v>https://bostonu.zoom.us/meeting/register/tJAkc-Gsqj8qGNfbayeDGxjSAisWKFmTXJAs</v>
      </c>
      <c r="Y80" s="81" t="s">
        <v>502</v>
      </c>
      <c r="Z80" s="81" t="s">
        <v>541</v>
      </c>
      <c r="AA80" s="81" t="s">
        <v>568</v>
      </c>
      <c r="AB80" s="81" t="s">
        <v>575</v>
      </c>
      <c r="AC80" s="84" t="s">
        <v>582</v>
      </c>
      <c r="AD80" s="81" t="s">
        <v>588</v>
      </c>
      <c r="AE80" s="86" t="str">
        <f>HYPERLINK("https://twitter.com/csgeaejmc/status/1716473993249645024")</f>
        <v>https://twitter.com/csgeaejmc/status/1716473993249645024</v>
      </c>
      <c r="AF80" s="83">
        <v>45222.637326388889</v>
      </c>
      <c r="AG80" s="89">
        <v>45222</v>
      </c>
      <c r="AH80" s="84" t="s">
        <v>666</v>
      </c>
      <c r="AI80" s="81" t="b">
        <v>0</v>
      </c>
      <c r="AJ80" s="81"/>
      <c r="AK80" s="81"/>
      <c r="AL80" s="81"/>
      <c r="AM80" s="81"/>
      <c r="AN80" s="81"/>
      <c r="AO80" s="81"/>
      <c r="AP80" s="81"/>
      <c r="AQ80" s="81" t="s">
        <v>737</v>
      </c>
      <c r="AR80" s="81"/>
      <c r="AS80" s="81"/>
      <c r="AT80" s="81"/>
      <c r="AU80" s="81"/>
      <c r="AV80" s="86" t="str">
        <f>HYPERLINK("https://pbs.twimg.com/media/F9IjUUkXAAAIObs.png")</f>
        <v>https://pbs.twimg.com/media/F9IjUUkXAAAIObs.png</v>
      </c>
      <c r="AW80" s="84" t="s">
        <v>820</v>
      </c>
      <c r="AX80" s="84" t="s">
        <v>820</v>
      </c>
      <c r="AY80" s="81"/>
      <c r="AZ80" s="84" t="s">
        <v>879</v>
      </c>
      <c r="BA80" s="84" t="s">
        <v>879</v>
      </c>
      <c r="BB80" s="84" t="s">
        <v>879</v>
      </c>
      <c r="BC80" s="84" t="s">
        <v>820</v>
      </c>
      <c r="BD80" s="84" t="s">
        <v>890</v>
      </c>
      <c r="BE80" s="81"/>
      <c r="BF80" s="81"/>
      <c r="BG80" s="81"/>
      <c r="BH80" s="81"/>
      <c r="BI80" s="81"/>
      <c r="BJ80">
        <v>2</v>
      </c>
      <c r="BK80" s="80" t="str">
        <f>REPLACE(INDEX(GroupVertices[Group], MATCH("~"&amp;Edges27[[#This Row],[Vertex 1]],GroupVertices[Vertex],0)),1,1,"")</f>
        <v>4</v>
      </c>
      <c r="BL80" s="80" t="str">
        <f>REPLACE(INDEX(GroupVertices[Group], MATCH("~"&amp;Edges27[[#This Row],[Vertex 2]],GroupVertices[Vertex],0)),1,1,"")</f>
        <v>4</v>
      </c>
      <c r="BM80" s="49"/>
      <c r="BN80" s="50"/>
      <c r="BO80" s="49"/>
      <c r="BP80" s="50"/>
      <c r="BQ80" s="49"/>
      <c r="BR80" s="50"/>
      <c r="BS80" s="49"/>
      <c r="BT80" s="50"/>
      <c r="BU80" s="49"/>
    </row>
    <row r="81" spans="1:73" x14ac:dyDescent="0.25">
      <c r="A81" s="65" t="s">
        <v>280</v>
      </c>
      <c r="B81" s="65" t="s">
        <v>328</v>
      </c>
      <c r="C81" s="66"/>
      <c r="D81" s="67"/>
      <c r="E81" s="68"/>
      <c r="F81" s="69"/>
      <c r="G81" s="66"/>
      <c r="H81" s="70"/>
      <c r="I81" s="71"/>
      <c r="J81" s="71"/>
      <c r="K81" s="35" t="s">
        <v>65</v>
      </c>
      <c r="L81" s="79">
        <v>140</v>
      </c>
      <c r="M81" s="79"/>
      <c r="N81" s="73"/>
      <c r="O81" s="81" t="s">
        <v>367</v>
      </c>
      <c r="P81" s="83">
        <v>45233.799398148149</v>
      </c>
      <c r="Q81" s="81" t="s">
        <v>433</v>
      </c>
      <c r="R81" s="81">
        <v>4</v>
      </c>
      <c r="S81" s="81">
        <v>5</v>
      </c>
      <c r="T81" s="81">
        <v>0</v>
      </c>
      <c r="U81" s="81">
        <v>2</v>
      </c>
      <c r="V81" s="81">
        <v>1602</v>
      </c>
      <c r="W81" s="84" t="s">
        <v>490</v>
      </c>
      <c r="X81" s="86" t="str">
        <f>HYPERLINK("https://bostonu.zoom.us/meeting/register/tJAkc-Gsqj8qGNfbayeDGxjSAisWKFmTXJAs")</f>
        <v>https://bostonu.zoom.us/meeting/register/tJAkc-Gsqj8qGNfbayeDGxjSAisWKFmTXJAs</v>
      </c>
      <c r="Y81" s="81" t="s">
        <v>502</v>
      </c>
      <c r="Z81" s="81" t="s">
        <v>541</v>
      </c>
      <c r="AA81" s="81" t="s">
        <v>569</v>
      </c>
      <c r="AB81" s="81" t="s">
        <v>577</v>
      </c>
      <c r="AC81" s="84" t="s">
        <v>582</v>
      </c>
      <c r="AD81" s="81" t="s">
        <v>588</v>
      </c>
      <c r="AE81" s="86" t="str">
        <f>HYPERLINK("https://twitter.com/csgeaejmc/status/1720518995030556846")</f>
        <v>https://twitter.com/csgeaejmc/status/1720518995030556846</v>
      </c>
      <c r="AF81" s="83">
        <v>45233.799398148149</v>
      </c>
      <c r="AG81" s="89">
        <v>45233</v>
      </c>
      <c r="AH81" s="84" t="s">
        <v>667</v>
      </c>
      <c r="AI81" s="81" t="b">
        <v>0</v>
      </c>
      <c r="AJ81" s="81"/>
      <c r="AK81" s="81"/>
      <c r="AL81" s="81"/>
      <c r="AM81" s="81"/>
      <c r="AN81" s="81"/>
      <c r="AO81" s="81"/>
      <c r="AP81" s="81"/>
      <c r="AQ81" s="81" t="s">
        <v>738</v>
      </c>
      <c r="AR81" s="81"/>
      <c r="AS81" s="81"/>
      <c r="AT81" s="81"/>
      <c r="AU81" s="81"/>
      <c r="AV81" s="86" t="str">
        <f>HYPERLINK("https://pbs.twimg.com/tweet_video_thumb/F-CC553agAAW9bb.jpg")</f>
        <v>https://pbs.twimg.com/tweet_video_thumb/F-CC553agAAW9bb.jpg</v>
      </c>
      <c r="AW81" s="84" t="s">
        <v>821</v>
      </c>
      <c r="AX81" s="84" t="s">
        <v>821</v>
      </c>
      <c r="AY81" s="81"/>
      <c r="AZ81" s="84" t="s">
        <v>879</v>
      </c>
      <c r="BA81" s="84" t="s">
        <v>879</v>
      </c>
      <c r="BB81" s="84" t="s">
        <v>879</v>
      </c>
      <c r="BC81" s="84" t="s">
        <v>821</v>
      </c>
      <c r="BD81" s="84" t="s">
        <v>890</v>
      </c>
      <c r="BE81" s="81"/>
      <c r="BF81" s="81"/>
      <c r="BG81" s="81"/>
      <c r="BH81" s="81"/>
      <c r="BI81" s="81"/>
      <c r="BJ81">
        <v>2</v>
      </c>
      <c r="BK81" s="80" t="str">
        <f>REPLACE(INDEX(GroupVertices[Group], MATCH("~"&amp;Edges27[[#This Row],[Vertex 1]],GroupVertices[Vertex],0)),1,1,"")</f>
        <v>4</v>
      </c>
      <c r="BL81" s="80" t="str">
        <f>REPLACE(INDEX(GroupVertices[Group], MATCH("~"&amp;Edges27[[#This Row],[Vertex 2]],GroupVertices[Vertex],0)),1,1,"")</f>
        <v>4</v>
      </c>
      <c r="BM81" s="49"/>
      <c r="BN81" s="50"/>
      <c r="BO81" s="49"/>
      <c r="BP81" s="50"/>
      <c r="BQ81" s="49"/>
      <c r="BR81" s="50"/>
      <c r="BS81" s="49"/>
      <c r="BT81" s="50"/>
      <c r="BU81" s="49"/>
    </row>
    <row r="82" spans="1:73" x14ac:dyDescent="0.25">
      <c r="A82" s="65" t="s">
        <v>281</v>
      </c>
      <c r="B82" s="65" t="s">
        <v>322</v>
      </c>
      <c r="C82" s="66"/>
      <c r="D82" s="67"/>
      <c r="E82" s="68"/>
      <c r="F82" s="69"/>
      <c r="G82" s="66"/>
      <c r="H82" s="70"/>
      <c r="I82" s="71"/>
      <c r="J82" s="71"/>
      <c r="K82" s="35" t="s">
        <v>65</v>
      </c>
      <c r="L82" s="79">
        <v>153</v>
      </c>
      <c r="M82" s="79"/>
      <c r="N82" s="73"/>
      <c r="O82" s="81" t="s">
        <v>367</v>
      </c>
      <c r="P82" s="83">
        <v>45226.699976851851</v>
      </c>
      <c r="Q82" s="81" t="s">
        <v>434</v>
      </c>
      <c r="R82" s="81">
        <v>1</v>
      </c>
      <c r="S82" s="81">
        <v>8</v>
      </c>
      <c r="T82" s="81">
        <v>0</v>
      </c>
      <c r="U82" s="81">
        <v>0</v>
      </c>
      <c r="V82" s="81">
        <v>858</v>
      </c>
      <c r="W82" s="84" t="s">
        <v>491</v>
      </c>
      <c r="X82" s="86" t="str">
        <f>HYPERLINK("https://journals.sagepub.com/doi/10.1177/10776990231206366")</f>
        <v>https://journals.sagepub.com/doi/10.1177/10776990231206366</v>
      </c>
      <c r="Y82" s="81" t="s">
        <v>506</v>
      </c>
      <c r="Z82" s="81" t="s">
        <v>542</v>
      </c>
      <c r="AA82" s="81"/>
      <c r="AB82" s="81"/>
      <c r="AC82" s="84" t="s">
        <v>582</v>
      </c>
      <c r="AD82" s="81" t="s">
        <v>588</v>
      </c>
      <c r="AE82" s="86" t="str">
        <f>HYPERLINK("https://twitter.com/gregperreault/status/1717946250757378369")</f>
        <v>https://twitter.com/gregperreault/status/1717946250757378369</v>
      </c>
      <c r="AF82" s="83">
        <v>45226.699976851851</v>
      </c>
      <c r="AG82" s="89">
        <v>45226</v>
      </c>
      <c r="AH82" s="84" t="s">
        <v>668</v>
      </c>
      <c r="AI82" s="81" t="b">
        <v>0</v>
      </c>
      <c r="AJ82" s="81"/>
      <c r="AK82" s="81"/>
      <c r="AL82" s="81"/>
      <c r="AM82" s="81"/>
      <c r="AN82" s="81"/>
      <c r="AO82" s="81"/>
      <c r="AP82" s="81"/>
      <c r="AQ82" s="81"/>
      <c r="AR82" s="81"/>
      <c r="AS82" s="81"/>
      <c r="AT82" s="81"/>
      <c r="AU82" s="81"/>
      <c r="AV82" s="86" t="str">
        <f>HYPERLINK("https://pbs.twimg.com/profile_images/1411054146111873024/g2JD9Gqs_normal.jpg")</f>
        <v>https://pbs.twimg.com/profile_images/1411054146111873024/g2JD9Gqs_normal.jpg</v>
      </c>
      <c r="AW82" s="84" t="s">
        <v>822</v>
      </c>
      <c r="AX82" s="84" t="s">
        <v>822</v>
      </c>
      <c r="AY82" s="81"/>
      <c r="AZ82" s="84" t="s">
        <v>879</v>
      </c>
      <c r="BA82" s="84" t="s">
        <v>879</v>
      </c>
      <c r="BB82" s="84" t="s">
        <v>879</v>
      </c>
      <c r="BC82" s="84" t="s">
        <v>822</v>
      </c>
      <c r="BD82" s="81">
        <v>19065198</v>
      </c>
      <c r="BE82" s="81"/>
      <c r="BF82" s="81"/>
      <c r="BG82" s="81"/>
      <c r="BH82" s="81"/>
      <c r="BI82" s="81"/>
      <c r="BJ82">
        <v>1</v>
      </c>
      <c r="BK82" s="80" t="str">
        <f>REPLACE(INDEX(GroupVertices[Group], MATCH("~"&amp;Edges27[[#This Row],[Vertex 1]],GroupVertices[Vertex],0)),1,1,"")</f>
        <v>6</v>
      </c>
      <c r="BL82" s="80" t="str">
        <f>REPLACE(INDEX(GroupVertices[Group], MATCH("~"&amp;Edges27[[#This Row],[Vertex 2]],GroupVertices[Vertex],0)),1,1,"")</f>
        <v>6</v>
      </c>
      <c r="BM82" s="49"/>
      <c r="BN82" s="50"/>
      <c r="BO82" s="49"/>
      <c r="BP82" s="50"/>
      <c r="BQ82" s="49"/>
      <c r="BR82" s="50"/>
      <c r="BS82" s="49"/>
      <c r="BT82" s="50"/>
      <c r="BU82" s="49"/>
    </row>
    <row r="83" spans="1:73" x14ac:dyDescent="0.25">
      <c r="A83" s="65" t="s">
        <v>268</v>
      </c>
      <c r="B83" s="65" t="s">
        <v>336</v>
      </c>
      <c r="C83" s="66"/>
      <c r="D83" s="67"/>
      <c r="E83" s="68"/>
      <c r="F83" s="69"/>
      <c r="G83" s="66"/>
      <c r="H83" s="70"/>
      <c r="I83" s="71"/>
      <c r="J83" s="71"/>
      <c r="K83" s="35" t="s">
        <v>65</v>
      </c>
      <c r="L83" s="79">
        <v>156</v>
      </c>
      <c r="M83" s="79"/>
      <c r="N83" s="73"/>
      <c r="O83" s="81" t="s">
        <v>367</v>
      </c>
      <c r="P83" s="83">
        <v>45230.656944444447</v>
      </c>
      <c r="Q83" s="81" t="s">
        <v>436</v>
      </c>
      <c r="R83" s="81">
        <v>2</v>
      </c>
      <c r="S83" s="81">
        <v>3</v>
      </c>
      <c r="T83" s="81">
        <v>0</v>
      </c>
      <c r="U83" s="81">
        <v>0</v>
      </c>
      <c r="V83" s="81">
        <v>467</v>
      </c>
      <c r="W83" s="84" t="s">
        <v>482</v>
      </c>
      <c r="X83" s="86" t="str">
        <f>HYPERLINK("https://www.aejmc.org/jobads/?p=19429")</f>
        <v>https://www.aejmc.org/jobads/?p=19429</v>
      </c>
      <c r="Y83" s="81" t="s">
        <v>503</v>
      </c>
      <c r="Z83" s="81" t="s">
        <v>336</v>
      </c>
      <c r="AA83" s="81"/>
      <c r="AB83" s="81"/>
      <c r="AC83" s="84" t="s">
        <v>582</v>
      </c>
      <c r="AD83" s="81" t="s">
        <v>588</v>
      </c>
      <c r="AE83" s="86" t="str">
        <f>HYPERLINK("https://twitter.com/aejmc/status/1719380205683270107")</f>
        <v>https://twitter.com/aejmc/status/1719380205683270107</v>
      </c>
      <c r="AF83" s="83">
        <v>45230.656944444447</v>
      </c>
      <c r="AG83" s="89">
        <v>45230</v>
      </c>
      <c r="AH83" s="84" t="s">
        <v>670</v>
      </c>
      <c r="AI83" s="81" t="b">
        <v>0</v>
      </c>
      <c r="AJ83" s="81"/>
      <c r="AK83" s="81"/>
      <c r="AL83" s="81"/>
      <c r="AM83" s="81"/>
      <c r="AN83" s="81"/>
      <c r="AO83" s="81"/>
      <c r="AP83" s="81"/>
      <c r="AQ83" s="81"/>
      <c r="AR83" s="81"/>
      <c r="AS83" s="81"/>
      <c r="AT83" s="81"/>
      <c r="AU83" s="81"/>
      <c r="AV83" s="86" t="str">
        <f>HYPERLINK("https://pbs.twimg.com/profile_images/1559584982439444482/vOVkFGh3_normal.png")</f>
        <v>https://pbs.twimg.com/profile_images/1559584982439444482/vOVkFGh3_normal.png</v>
      </c>
      <c r="AW83" s="84" t="s">
        <v>824</v>
      </c>
      <c r="AX83" s="84" t="s">
        <v>824</v>
      </c>
      <c r="AY83" s="81"/>
      <c r="AZ83" s="84" t="s">
        <v>879</v>
      </c>
      <c r="BA83" s="84" t="s">
        <v>879</v>
      </c>
      <c r="BB83" s="84" t="s">
        <v>879</v>
      </c>
      <c r="BC83" s="84" t="s">
        <v>824</v>
      </c>
      <c r="BD83" s="81">
        <v>8442592</v>
      </c>
      <c r="BE83" s="81"/>
      <c r="BF83" s="81"/>
      <c r="BG83" s="81"/>
      <c r="BH83" s="81"/>
      <c r="BI83" s="81"/>
      <c r="BJ83">
        <v>2</v>
      </c>
      <c r="BK83" s="80" t="str">
        <f>REPLACE(INDEX(GroupVertices[Group], MATCH("~"&amp;Edges27[[#This Row],[Vertex 1]],GroupVertices[Vertex],0)),1,1,"")</f>
        <v>1</v>
      </c>
      <c r="BL83" s="80" t="str">
        <f>REPLACE(INDEX(GroupVertices[Group], MATCH("~"&amp;Edges27[[#This Row],[Vertex 2]],GroupVertices[Vertex],0)),1,1,"")</f>
        <v>6</v>
      </c>
      <c r="BM83" s="49">
        <v>1</v>
      </c>
      <c r="BN83" s="50">
        <v>5.2631578947368425</v>
      </c>
      <c r="BO83" s="49">
        <v>0</v>
      </c>
      <c r="BP83" s="50">
        <v>0</v>
      </c>
      <c r="BQ83" s="49">
        <v>0</v>
      </c>
      <c r="BR83" s="50">
        <v>0</v>
      </c>
      <c r="BS83" s="49">
        <v>14</v>
      </c>
      <c r="BT83" s="50">
        <v>73.684210526315795</v>
      </c>
      <c r="BU83" s="49">
        <v>19</v>
      </c>
    </row>
    <row r="84" spans="1:73" x14ac:dyDescent="0.25">
      <c r="A84" s="65" t="s">
        <v>268</v>
      </c>
      <c r="B84" s="65" t="s">
        <v>336</v>
      </c>
      <c r="C84" s="66"/>
      <c r="D84" s="67"/>
      <c r="E84" s="68"/>
      <c r="F84" s="69"/>
      <c r="G84" s="66"/>
      <c r="H84" s="70"/>
      <c r="I84" s="71"/>
      <c r="J84" s="71"/>
      <c r="K84" s="35" t="s">
        <v>65</v>
      </c>
      <c r="L84" s="79">
        <v>157</v>
      </c>
      <c r="M84" s="79"/>
      <c r="N84" s="73"/>
      <c r="O84" s="81" t="s">
        <v>367</v>
      </c>
      <c r="P84" s="83">
        <v>45216.700115740743</v>
      </c>
      <c r="Q84" s="81" t="s">
        <v>437</v>
      </c>
      <c r="R84" s="81">
        <v>5</v>
      </c>
      <c r="S84" s="81">
        <v>7</v>
      </c>
      <c r="T84" s="81">
        <v>0</v>
      </c>
      <c r="U84" s="81">
        <v>1</v>
      </c>
      <c r="V84" s="81">
        <v>1970</v>
      </c>
      <c r="W84" s="81"/>
      <c r="X84" s="86" t="str">
        <f>HYPERLINK("https://ci.uky.edu/about-ci/2024-aejmc-southeast-colloquium/paper-submissions")</f>
        <v>https://ci.uky.edu/about-ci/2024-aejmc-southeast-colloquium/paper-submissions</v>
      </c>
      <c r="Y84" s="81" t="s">
        <v>510</v>
      </c>
      <c r="Z84" s="81" t="s">
        <v>336</v>
      </c>
      <c r="AA84" s="81"/>
      <c r="AB84" s="81"/>
      <c r="AC84" s="84" t="s">
        <v>582</v>
      </c>
      <c r="AD84" s="81" t="s">
        <v>588</v>
      </c>
      <c r="AE84" s="86" t="str">
        <f>HYPERLINK("https://twitter.com/aejmc/status/1714322420926943611")</f>
        <v>https://twitter.com/aejmc/status/1714322420926943611</v>
      </c>
      <c r="AF84" s="83">
        <v>45216.700115740743</v>
      </c>
      <c r="AG84" s="89">
        <v>45216</v>
      </c>
      <c r="AH84" s="84" t="s">
        <v>671</v>
      </c>
      <c r="AI84" s="81" t="b">
        <v>0</v>
      </c>
      <c r="AJ84" s="81"/>
      <c r="AK84" s="81"/>
      <c r="AL84" s="81"/>
      <c r="AM84" s="81"/>
      <c r="AN84" s="81"/>
      <c r="AO84" s="81"/>
      <c r="AP84" s="81"/>
      <c r="AQ84" s="81"/>
      <c r="AR84" s="81"/>
      <c r="AS84" s="81"/>
      <c r="AT84" s="81"/>
      <c r="AU84" s="81"/>
      <c r="AV84" s="86" t="str">
        <f>HYPERLINK("https://pbs.twimg.com/profile_images/1559584982439444482/vOVkFGh3_normal.png")</f>
        <v>https://pbs.twimg.com/profile_images/1559584982439444482/vOVkFGh3_normal.png</v>
      </c>
      <c r="AW84" s="84" t="s">
        <v>825</v>
      </c>
      <c r="AX84" s="84" t="s">
        <v>825</v>
      </c>
      <c r="AY84" s="81"/>
      <c r="AZ84" s="84" t="s">
        <v>879</v>
      </c>
      <c r="BA84" s="84" t="s">
        <v>879</v>
      </c>
      <c r="BB84" s="84" t="s">
        <v>879</v>
      </c>
      <c r="BC84" s="84" t="s">
        <v>825</v>
      </c>
      <c r="BD84" s="81">
        <v>8442592</v>
      </c>
      <c r="BE84" s="81"/>
      <c r="BF84" s="81"/>
      <c r="BG84" s="81"/>
      <c r="BH84" s="81"/>
      <c r="BI84" s="81"/>
      <c r="BJ84">
        <v>2</v>
      </c>
      <c r="BK84" s="80" t="str">
        <f>REPLACE(INDEX(GroupVertices[Group], MATCH("~"&amp;Edges27[[#This Row],[Vertex 1]],GroupVertices[Vertex],0)),1,1,"")</f>
        <v>1</v>
      </c>
      <c r="BL84" s="80" t="str">
        <f>REPLACE(INDEX(GroupVertices[Group], MATCH("~"&amp;Edges27[[#This Row],[Vertex 2]],GroupVertices[Vertex],0)),1,1,"")</f>
        <v>6</v>
      </c>
      <c r="BM84" s="49">
        <v>2</v>
      </c>
      <c r="BN84" s="50">
        <v>5</v>
      </c>
      <c r="BO84" s="49">
        <v>0</v>
      </c>
      <c r="BP84" s="50">
        <v>0</v>
      </c>
      <c r="BQ84" s="49">
        <v>0</v>
      </c>
      <c r="BR84" s="50">
        <v>0</v>
      </c>
      <c r="BS84" s="49">
        <v>21</v>
      </c>
      <c r="BT84" s="50">
        <v>52.5</v>
      </c>
      <c r="BU84" s="49">
        <v>40</v>
      </c>
    </row>
    <row r="85" spans="1:73" x14ac:dyDescent="0.25">
      <c r="A85" s="65" t="s">
        <v>281</v>
      </c>
      <c r="B85" s="65" t="s">
        <v>336</v>
      </c>
      <c r="C85" s="66"/>
      <c r="D85" s="67"/>
      <c r="E85" s="68"/>
      <c r="F85" s="69"/>
      <c r="G85" s="66"/>
      <c r="H85" s="70"/>
      <c r="I85" s="71"/>
      <c r="J85" s="71"/>
      <c r="K85" s="35" t="s">
        <v>65</v>
      </c>
      <c r="L85" s="79">
        <v>158</v>
      </c>
      <c r="M85" s="79"/>
      <c r="N85" s="73"/>
      <c r="O85" s="81" t="s">
        <v>366</v>
      </c>
      <c r="P85" s="83">
        <v>45229.844351851854</v>
      </c>
      <c r="Q85" s="81" t="s">
        <v>438</v>
      </c>
      <c r="R85" s="81">
        <v>2</v>
      </c>
      <c r="S85" s="81">
        <v>0</v>
      </c>
      <c r="T85" s="81">
        <v>0</v>
      </c>
      <c r="U85" s="81">
        <v>0</v>
      </c>
      <c r="V85" s="81"/>
      <c r="W85" s="81"/>
      <c r="X85" s="81"/>
      <c r="Y85" s="81"/>
      <c r="Z85" s="81" t="s">
        <v>544</v>
      </c>
      <c r="AA85" s="81"/>
      <c r="AB85" s="81"/>
      <c r="AC85" s="84" t="s">
        <v>583</v>
      </c>
      <c r="AD85" s="81" t="s">
        <v>588</v>
      </c>
      <c r="AE85" s="86" t="str">
        <f>HYPERLINK("https://twitter.com/gregperreault/status/1719085731149226334")</f>
        <v>https://twitter.com/gregperreault/status/1719085731149226334</v>
      </c>
      <c r="AF85" s="83">
        <v>45229.844351851854</v>
      </c>
      <c r="AG85" s="89">
        <v>45229</v>
      </c>
      <c r="AH85" s="84" t="s">
        <v>672</v>
      </c>
      <c r="AI85" s="81"/>
      <c r="AJ85" s="81"/>
      <c r="AK85" s="81"/>
      <c r="AL85" s="81"/>
      <c r="AM85" s="81"/>
      <c r="AN85" s="81"/>
      <c r="AO85" s="81"/>
      <c r="AP85" s="81"/>
      <c r="AQ85" s="81"/>
      <c r="AR85" s="81"/>
      <c r="AS85" s="81"/>
      <c r="AT85" s="81"/>
      <c r="AU85" s="81"/>
      <c r="AV85" s="86" t="str">
        <f>HYPERLINK("https://pbs.twimg.com/profile_images/1411054146111873024/g2JD9Gqs_normal.jpg")</f>
        <v>https://pbs.twimg.com/profile_images/1411054146111873024/g2JD9Gqs_normal.jpg</v>
      </c>
      <c r="AW85" s="84" t="s">
        <v>826</v>
      </c>
      <c r="AX85" s="84" t="s">
        <v>826</v>
      </c>
      <c r="AY85" s="81"/>
      <c r="AZ85" s="84" t="s">
        <v>879</v>
      </c>
      <c r="BA85" s="84" t="s">
        <v>825</v>
      </c>
      <c r="BB85" s="84" t="s">
        <v>823</v>
      </c>
      <c r="BC85" s="84" t="s">
        <v>823</v>
      </c>
      <c r="BD85" s="81">
        <v>19065198</v>
      </c>
      <c r="BE85" s="81"/>
      <c r="BF85" s="81"/>
      <c r="BG85" s="81"/>
      <c r="BH85" s="81"/>
      <c r="BI85" s="81"/>
      <c r="BJ85">
        <v>1</v>
      </c>
      <c r="BK85" s="80" t="str">
        <f>REPLACE(INDEX(GroupVertices[Group], MATCH("~"&amp;Edges27[[#This Row],[Vertex 1]],GroupVertices[Vertex],0)),1,1,"")</f>
        <v>6</v>
      </c>
      <c r="BL85" s="80" t="str">
        <f>REPLACE(INDEX(GroupVertices[Group], MATCH("~"&amp;Edges27[[#This Row],[Vertex 2]],GroupVertices[Vertex],0)),1,1,"")</f>
        <v>6</v>
      </c>
      <c r="BM85" s="49">
        <v>0</v>
      </c>
      <c r="BN85" s="50">
        <v>0</v>
      </c>
      <c r="BO85" s="49">
        <v>0</v>
      </c>
      <c r="BP85" s="50">
        <v>0</v>
      </c>
      <c r="BQ85" s="49">
        <v>0</v>
      </c>
      <c r="BR85" s="50">
        <v>0</v>
      </c>
      <c r="BS85" s="49">
        <v>15</v>
      </c>
      <c r="BT85" s="50">
        <v>68.181818181818187</v>
      </c>
      <c r="BU85" s="49">
        <v>22</v>
      </c>
    </row>
    <row r="86" spans="1:73" x14ac:dyDescent="0.25">
      <c r="A86" s="65" t="s">
        <v>282</v>
      </c>
      <c r="B86" s="65" t="s">
        <v>268</v>
      </c>
      <c r="C86" s="66"/>
      <c r="D86" s="67"/>
      <c r="E86" s="68"/>
      <c r="F86" s="69"/>
      <c r="G86" s="66"/>
      <c r="H86" s="70"/>
      <c r="I86" s="71"/>
      <c r="J86" s="71"/>
      <c r="K86" s="35" t="s">
        <v>65</v>
      </c>
      <c r="L86" s="79">
        <v>161</v>
      </c>
      <c r="M86" s="79"/>
      <c r="N86" s="73"/>
      <c r="O86" s="81" t="s">
        <v>365</v>
      </c>
      <c r="P86" s="83">
        <v>45229.842824074076</v>
      </c>
      <c r="Q86" s="81" t="s">
        <v>439</v>
      </c>
      <c r="R86" s="81">
        <v>7</v>
      </c>
      <c r="S86" s="81">
        <v>0</v>
      </c>
      <c r="T86" s="81">
        <v>0</v>
      </c>
      <c r="U86" s="81">
        <v>0</v>
      </c>
      <c r="V86" s="81"/>
      <c r="W86" s="81"/>
      <c r="X86" s="81"/>
      <c r="Y86" s="81"/>
      <c r="Z86" s="81" t="s">
        <v>268</v>
      </c>
      <c r="AA86" s="81"/>
      <c r="AB86" s="81"/>
      <c r="AC86" s="84" t="s">
        <v>582</v>
      </c>
      <c r="AD86" s="81" t="s">
        <v>588</v>
      </c>
      <c r="AE86" s="86" t="str">
        <f>HYPERLINK("https://twitter.com/aejmc_nond/status/1719085181271933174")</f>
        <v>https://twitter.com/aejmc_nond/status/1719085181271933174</v>
      </c>
      <c r="AF86" s="83">
        <v>45229.842824074076</v>
      </c>
      <c r="AG86" s="89">
        <v>45229</v>
      </c>
      <c r="AH86" s="84" t="s">
        <v>673</v>
      </c>
      <c r="AI86" s="81"/>
      <c r="AJ86" s="81"/>
      <c r="AK86" s="81"/>
      <c r="AL86" s="81"/>
      <c r="AM86" s="81"/>
      <c r="AN86" s="81"/>
      <c r="AO86" s="81"/>
      <c r="AP86" s="81"/>
      <c r="AQ86" s="81"/>
      <c r="AR86" s="81"/>
      <c r="AS86" s="81"/>
      <c r="AT86" s="81"/>
      <c r="AU86" s="81"/>
      <c r="AV86" s="86" t="str">
        <f>HYPERLINK("https://pbs.twimg.com/profile_images/884110390493425664/HGSOS2S8_normal.jpg")</f>
        <v>https://pbs.twimg.com/profile_images/884110390493425664/HGSOS2S8_normal.jpg</v>
      </c>
      <c r="AW86" s="84" t="s">
        <v>827</v>
      </c>
      <c r="AX86" s="84" t="s">
        <v>827</v>
      </c>
      <c r="AY86" s="81"/>
      <c r="AZ86" s="84" t="s">
        <v>879</v>
      </c>
      <c r="BA86" s="84" t="s">
        <v>879</v>
      </c>
      <c r="BB86" s="84" t="s">
        <v>865</v>
      </c>
      <c r="BC86" s="84" t="s">
        <v>865</v>
      </c>
      <c r="BD86" s="81">
        <v>744265436</v>
      </c>
      <c r="BE86" s="81"/>
      <c r="BF86" s="81"/>
      <c r="BG86" s="81"/>
      <c r="BH86" s="81"/>
      <c r="BI86" s="81"/>
      <c r="BJ86">
        <v>1</v>
      </c>
      <c r="BK86" s="80" t="str">
        <f>REPLACE(INDEX(GroupVertices[Group], MATCH("~"&amp;Edges27[[#This Row],[Vertex 1]],GroupVertices[Vertex],0)),1,1,"")</f>
        <v>6</v>
      </c>
      <c r="BL86" s="80" t="str">
        <f>REPLACE(INDEX(GroupVertices[Group], MATCH("~"&amp;Edges27[[#This Row],[Vertex 2]],GroupVertices[Vertex],0)),1,1,"")</f>
        <v>1</v>
      </c>
      <c r="BM86" s="49">
        <v>1</v>
      </c>
      <c r="BN86" s="50">
        <v>4.5454545454545459</v>
      </c>
      <c r="BO86" s="49">
        <v>0</v>
      </c>
      <c r="BP86" s="50">
        <v>0</v>
      </c>
      <c r="BQ86" s="49">
        <v>0</v>
      </c>
      <c r="BR86" s="50">
        <v>0</v>
      </c>
      <c r="BS86" s="49">
        <v>11</v>
      </c>
      <c r="BT86" s="50">
        <v>50</v>
      </c>
      <c r="BU86" s="49">
        <v>22</v>
      </c>
    </row>
    <row r="87" spans="1:73" x14ac:dyDescent="0.25">
      <c r="A87" s="65" t="s">
        <v>268</v>
      </c>
      <c r="B87" s="65" t="s">
        <v>281</v>
      </c>
      <c r="C87" s="66"/>
      <c r="D87" s="67"/>
      <c r="E87" s="68"/>
      <c r="F87" s="69"/>
      <c r="G87" s="66"/>
      <c r="H87" s="70"/>
      <c r="I87" s="71"/>
      <c r="J87" s="71"/>
      <c r="K87" s="35" t="s">
        <v>66</v>
      </c>
      <c r="L87" s="79">
        <v>164</v>
      </c>
      <c r="M87" s="79"/>
      <c r="N87" s="73"/>
      <c r="O87" s="81" t="s">
        <v>365</v>
      </c>
      <c r="P87" s="83">
        <v>45229.645069444443</v>
      </c>
      <c r="Q87" s="81" t="s">
        <v>440</v>
      </c>
      <c r="R87" s="81">
        <v>1</v>
      </c>
      <c r="S87" s="81">
        <v>0</v>
      </c>
      <c r="T87" s="81">
        <v>0</v>
      </c>
      <c r="U87" s="81">
        <v>0</v>
      </c>
      <c r="V87" s="81"/>
      <c r="W87" s="84" t="s">
        <v>491</v>
      </c>
      <c r="X87" s="81"/>
      <c r="Y87" s="81"/>
      <c r="Z87" s="81" t="s">
        <v>281</v>
      </c>
      <c r="AA87" s="81"/>
      <c r="AB87" s="81"/>
      <c r="AC87" s="84" t="s">
        <v>582</v>
      </c>
      <c r="AD87" s="81" t="s">
        <v>588</v>
      </c>
      <c r="AE87" s="86" t="str">
        <f>HYPERLINK("https://twitter.com/aejmc/status/1719013516298862668")</f>
        <v>https://twitter.com/aejmc/status/1719013516298862668</v>
      </c>
      <c r="AF87" s="83">
        <v>45229.645069444443</v>
      </c>
      <c r="AG87" s="89">
        <v>45229</v>
      </c>
      <c r="AH87" s="84" t="s">
        <v>674</v>
      </c>
      <c r="AI87" s="81" t="b">
        <v>0</v>
      </c>
      <c r="AJ87" s="81"/>
      <c r="AK87" s="81"/>
      <c r="AL87" s="81"/>
      <c r="AM87" s="81"/>
      <c r="AN87" s="81"/>
      <c r="AO87" s="81"/>
      <c r="AP87" s="81"/>
      <c r="AQ87" s="81"/>
      <c r="AR87" s="81"/>
      <c r="AS87" s="81"/>
      <c r="AT87" s="81"/>
      <c r="AU87" s="81"/>
      <c r="AV87" s="86" t="str">
        <f>HYPERLINK("https://pbs.twimg.com/profile_images/1559584982439444482/vOVkFGh3_normal.png")</f>
        <v>https://pbs.twimg.com/profile_images/1559584982439444482/vOVkFGh3_normal.png</v>
      </c>
      <c r="AW87" s="84" t="s">
        <v>828</v>
      </c>
      <c r="AX87" s="84" t="s">
        <v>828</v>
      </c>
      <c r="AY87" s="81"/>
      <c r="AZ87" s="84" t="s">
        <v>879</v>
      </c>
      <c r="BA87" s="84" t="s">
        <v>879</v>
      </c>
      <c r="BB87" s="84" t="s">
        <v>822</v>
      </c>
      <c r="BC87" s="84" t="s">
        <v>822</v>
      </c>
      <c r="BD87" s="81">
        <v>8442592</v>
      </c>
      <c r="BE87" s="81"/>
      <c r="BF87" s="81"/>
      <c r="BG87" s="81"/>
      <c r="BH87" s="81"/>
      <c r="BI87" s="81"/>
      <c r="BJ87">
        <v>1</v>
      </c>
      <c r="BK87" s="80" t="str">
        <f>REPLACE(INDEX(GroupVertices[Group], MATCH("~"&amp;Edges27[[#This Row],[Vertex 1]],GroupVertices[Vertex],0)),1,1,"")</f>
        <v>1</v>
      </c>
      <c r="BL87" s="80" t="str">
        <f>REPLACE(INDEX(GroupVertices[Group], MATCH("~"&amp;Edges27[[#This Row],[Vertex 2]],GroupVertices[Vertex],0)),1,1,"")</f>
        <v>6</v>
      </c>
      <c r="BM87" s="49">
        <v>0</v>
      </c>
      <c r="BN87" s="50">
        <v>0</v>
      </c>
      <c r="BO87" s="49">
        <v>0</v>
      </c>
      <c r="BP87" s="50">
        <v>0</v>
      </c>
      <c r="BQ87" s="49">
        <v>0</v>
      </c>
      <c r="BR87" s="50">
        <v>0</v>
      </c>
      <c r="BS87" s="49">
        <v>11</v>
      </c>
      <c r="BT87" s="50">
        <v>45.833333333333336</v>
      </c>
      <c r="BU87" s="49">
        <v>24</v>
      </c>
    </row>
    <row r="88" spans="1:73" x14ac:dyDescent="0.25">
      <c r="A88" s="65" t="s">
        <v>281</v>
      </c>
      <c r="B88" s="65" t="s">
        <v>268</v>
      </c>
      <c r="C88" s="66"/>
      <c r="D88" s="67"/>
      <c r="E88" s="68"/>
      <c r="F88" s="69"/>
      <c r="G88" s="66"/>
      <c r="H88" s="70"/>
      <c r="I88" s="71"/>
      <c r="J88" s="71"/>
      <c r="K88" s="35" t="s">
        <v>66</v>
      </c>
      <c r="L88" s="79">
        <v>166</v>
      </c>
      <c r="M88" s="79"/>
      <c r="N88" s="73"/>
      <c r="O88" s="81" t="s">
        <v>365</v>
      </c>
      <c r="P88" s="83">
        <v>45229.843819444446</v>
      </c>
      <c r="Q88" s="81" t="s">
        <v>439</v>
      </c>
      <c r="R88" s="81">
        <v>7</v>
      </c>
      <c r="S88" s="81">
        <v>0</v>
      </c>
      <c r="T88" s="81">
        <v>0</v>
      </c>
      <c r="U88" s="81">
        <v>0</v>
      </c>
      <c r="V88" s="81"/>
      <c r="W88" s="81"/>
      <c r="X88" s="81"/>
      <c r="Y88" s="81"/>
      <c r="Z88" s="81" t="s">
        <v>268</v>
      </c>
      <c r="AA88" s="81"/>
      <c r="AB88" s="81"/>
      <c r="AC88" s="84" t="s">
        <v>583</v>
      </c>
      <c r="AD88" s="81" t="s">
        <v>588</v>
      </c>
      <c r="AE88" s="86" t="str">
        <f>HYPERLINK("https://twitter.com/gregperreault/status/1719085538118979812")</f>
        <v>https://twitter.com/gregperreault/status/1719085538118979812</v>
      </c>
      <c r="AF88" s="83">
        <v>45229.843819444446</v>
      </c>
      <c r="AG88" s="89">
        <v>45229</v>
      </c>
      <c r="AH88" s="84" t="s">
        <v>675</v>
      </c>
      <c r="AI88" s="81"/>
      <c r="AJ88" s="81"/>
      <c r="AK88" s="81"/>
      <c r="AL88" s="81"/>
      <c r="AM88" s="81"/>
      <c r="AN88" s="81"/>
      <c r="AO88" s="81"/>
      <c r="AP88" s="81"/>
      <c r="AQ88" s="81"/>
      <c r="AR88" s="81"/>
      <c r="AS88" s="81"/>
      <c r="AT88" s="81"/>
      <c r="AU88" s="81"/>
      <c r="AV88" s="86" t="str">
        <f>HYPERLINK("https://pbs.twimg.com/profile_images/1411054146111873024/g2JD9Gqs_normal.jpg")</f>
        <v>https://pbs.twimg.com/profile_images/1411054146111873024/g2JD9Gqs_normal.jpg</v>
      </c>
      <c r="AW88" s="84" t="s">
        <v>829</v>
      </c>
      <c r="AX88" s="84" t="s">
        <v>829</v>
      </c>
      <c r="AY88" s="81"/>
      <c r="AZ88" s="84" t="s">
        <v>879</v>
      </c>
      <c r="BA88" s="84" t="s">
        <v>879</v>
      </c>
      <c r="BB88" s="84" t="s">
        <v>865</v>
      </c>
      <c r="BC88" s="84" t="s">
        <v>865</v>
      </c>
      <c r="BD88" s="81">
        <v>19065198</v>
      </c>
      <c r="BE88" s="81"/>
      <c r="BF88" s="81"/>
      <c r="BG88" s="81"/>
      <c r="BH88" s="81"/>
      <c r="BI88" s="81"/>
      <c r="BJ88">
        <v>2</v>
      </c>
      <c r="BK88" s="80" t="str">
        <f>REPLACE(INDEX(GroupVertices[Group], MATCH("~"&amp;Edges27[[#This Row],[Vertex 1]],GroupVertices[Vertex],0)),1,1,"")</f>
        <v>6</v>
      </c>
      <c r="BL88" s="80" t="str">
        <f>REPLACE(INDEX(GroupVertices[Group], MATCH("~"&amp;Edges27[[#This Row],[Vertex 2]],GroupVertices[Vertex],0)),1,1,"")</f>
        <v>1</v>
      </c>
      <c r="BM88" s="49">
        <v>1</v>
      </c>
      <c r="BN88" s="50">
        <v>4.5454545454545459</v>
      </c>
      <c r="BO88" s="49">
        <v>0</v>
      </c>
      <c r="BP88" s="50">
        <v>0</v>
      </c>
      <c r="BQ88" s="49">
        <v>0</v>
      </c>
      <c r="BR88" s="50">
        <v>0</v>
      </c>
      <c r="BS88" s="49">
        <v>11</v>
      </c>
      <c r="BT88" s="50">
        <v>50</v>
      </c>
      <c r="BU88" s="49">
        <v>22</v>
      </c>
    </row>
    <row r="89" spans="1:73" x14ac:dyDescent="0.25">
      <c r="A89" s="65" t="s">
        <v>281</v>
      </c>
      <c r="B89" s="65" t="s">
        <v>268</v>
      </c>
      <c r="C89" s="66"/>
      <c r="D89" s="67"/>
      <c r="E89" s="68"/>
      <c r="F89" s="69"/>
      <c r="G89" s="66"/>
      <c r="H89" s="70"/>
      <c r="I89" s="71"/>
      <c r="J89" s="71"/>
      <c r="K89" s="35" t="s">
        <v>66</v>
      </c>
      <c r="L89" s="79">
        <v>170</v>
      </c>
      <c r="M89" s="79"/>
      <c r="N89" s="73"/>
      <c r="O89" s="81" t="s">
        <v>365</v>
      </c>
      <c r="P89" s="83">
        <v>45233.748668981483</v>
      </c>
      <c r="Q89" s="81" t="s">
        <v>406</v>
      </c>
      <c r="R89" s="81">
        <v>3</v>
      </c>
      <c r="S89" s="81">
        <v>0</v>
      </c>
      <c r="T89" s="81">
        <v>0</v>
      </c>
      <c r="U89" s="81">
        <v>0</v>
      </c>
      <c r="V89" s="81"/>
      <c r="W89" s="81"/>
      <c r="X89" s="81"/>
      <c r="Y89" s="81"/>
      <c r="Z89" s="81" t="s">
        <v>268</v>
      </c>
      <c r="AA89" s="81"/>
      <c r="AB89" s="81"/>
      <c r="AC89" s="84" t="s">
        <v>580</v>
      </c>
      <c r="AD89" s="81" t="s">
        <v>588</v>
      </c>
      <c r="AE89" s="86" t="str">
        <f>HYPERLINK("https://twitter.com/gregperreault/status/1720500610754097661")</f>
        <v>https://twitter.com/gregperreault/status/1720500610754097661</v>
      </c>
      <c r="AF89" s="83">
        <v>45233.748668981483</v>
      </c>
      <c r="AG89" s="89">
        <v>45233</v>
      </c>
      <c r="AH89" s="84" t="s">
        <v>676</v>
      </c>
      <c r="AI89" s="81"/>
      <c r="AJ89" s="81"/>
      <c r="AK89" s="81"/>
      <c r="AL89" s="81"/>
      <c r="AM89" s="81"/>
      <c r="AN89" s="81"/>
      <c r="AO89" s="81"/>
      <c r="AP89" s="81"/>
      <c r="AQ89" s="81"/>
      <c r="AR89" s="81"/>
      <c r="AS89" s="81"/>
      <c r="AT89" s="81"/>
      <c r="AU89" s="81"/>
      <c r="AV89" s="86" t="str">
        <f>HYPERLINK("https://pbs.twimg.com/profile_images/1411054146111873024/g2JD9Gqs_normal.jpg")</f>
        <v>https://pbs.twimg.com/profile_images/1411054146111873024/g2JD9Gqs_normal.jpg</v>
      </c>
      <c r="AW89" s="84" t="s">
        <v>830</v>
      </c>
      <c r="AX89" s="84" t="s">
        <v>830</v>
      </c>
      <c r="AY89" s="81"/>
      <c r="AZ89" s="84" t="s">
        <v>879</v>
      </c>
      <c r="BA89" s="84" t="s">
        <v>879</v>
      </c>
      <c r="BB89" s="84" t="s">
        <v>862</v>
      </c>
      <c r="BC89" s="84" t="s">
        <v>862</v>
      </c>
      <c r="BD89" s="81">
        <v>19065198</v>
      </c>
      <c r="BE89" s="81"/>
      <c r="BF89" s="81"/>
      <c r="BG89" s="81"/>
      <c r="BH89" s="81"/>
      <c r="BI89" s="81"/>
      <c r="BJ89">
        <v>2</v>
      </c>
      <c r="BK89" s="80" t="str">
        <f>REPLACE(INDEX(GroupVertices[Group], MATCH("~"&amp;Edges27[[#This Row],[Vertex 1]],GroupVertices[Vertex],0)),1,1,"")</f>
        <v>6</v>
      </c>
      <c r="BL89" s="80" t="str">
        <f>REPLACE(INDEX(GroupVertices[Group], MATCH("~"&amp;Edges27[[#This Row],[Vertex 2]],GroupVertices[Vertex],0)),1,1,"")</f>
        <v>1</v>
      </c>
      <c r="BM89" s="49">
        <v>2</v>
      </c>
      <c r="BN89" s="50">
        <v>9.0909090909090917</v>
      </c>
      <c r="BO89" s="49">
        <v>0</v>
      </c>
      <c r="BP89" s="50">
        <v>0</v>
      </c>
      <c r="BQ89" s="49">
        <v>0</v>
      </c>
      <c r="BR89" s="50">
        <v>0</v>
      </c>
      <c r="BS89" s="49">
        <v>12</v>
      </c>
      <c r="BT89" s="50">
        <v>54.545454545454547</v>
      </c>
      <c r="BU89" s="49">
        <v>22</v>
      </c>
    </row>
    <row r="90" spans="1:73" x14ac:dyDescent="0.25">
      <c r="A90" s="65" t="s">
        <v>281</v>
      </c>
      <c r="B90" s="65" t="s">
        <v>249</v>
      </c>
      <c r="C90" s="66"/>
      <c r="D90" s="67"/>
      <c r="E90" s="68"/>
      <c r="F90" s="69"/>
      <c r="G90" s="66"/>
      <c r="H90" s="70"/>
      <c r="I90" s="71"/>
      <c r="J90" s="71"/>
      <c r="K90" s="35" t="s">
        <v>66</v>
      </c>
      <c r="L90" s="79">
        <v>171</v>
      </c>
      <c r="M90" s="79"/>
      <c r="N90" s="73"/>
      <c r="O90" s="81" t="s">
        <v>365</v>
      </c>
      <c r="P90" s="83">
        <v>45233.740729166668</v>
      </c>
      <c r="Q90" s="81" t="s">
        <v>374</v>
      </c>
      <c r="R90" s="81">
        <v>4</v>
      </c>
      <c r="S90" s="81">
        <v>0</v>
      </c>
      <c r="T90" s="81">
        <v>0</v>
      </c>
      <c r="U90" s="81">
        <v>0</v>
      </c>
      <c r="V90" s="81"/>
      <c r="W90" s="84" t="s">
        <v>470</v>
      </c>
      <c r="X90" s="81"/>
      <c r="Y90" s="81"/>
      <c r="Z90" s="81" t="s">
        <v>249</v>
      </c>
      <c r="AA90" s="81"/>
      <c r="AB90" s="81"/>
      <c r="AC90" s="84" t="s">
        <v>580</v>
      </c>
      <c r="AD90" s="81" t="s">
        <v>588</v>
      </c>
      <c r="AE90" s="86" t="str">
        <f>HYPERLINK("https://twitter.com/gregperreault/status/1720497732803084389")</f>
        <v>https://twitter.com/gregperreault/status/1720497732803084389</v>
      </c>
      <c r="AF90" s="83">
        <v>45233.740729166668</v>
      </c>
      <c r="AG90" s="89">
        <v>45233</v>
      </c>
      <c r="AH90" s="84" t="s">
        <v>677</v>
      </c>
      <c r="AI90" s="81"/>
      <c r="AJ90" s="81"/>
      <c r="AK90" s="81"/>
      <c r="AL90" s="81"/>
      <c r="AM90" s="81"/>
      <c r="AN90" s="81"/>
      <c r="AO90" s="81"/>
      <c r="AP90" s="81"/>
      <c r="AQ90" s="81"/>
      <c r="AR90" s="81"/>
      <c r="AS90" s="81"/>
      <c r="AT90" s="81"/>
      <c r="AU90" s="81"/>
      <c r="AV90" s="86" t="str">
        <f>HYPERLINK("https://pbs.twimg.com/profile_images/1411054146111873024/g2JD9Gqs_normal.jpg")</f>
        <v>https://pbs.twimg.com/profile_images/1411054146111873024/g2JD9Gqs_normal.jpg</v>
      </c>
      <c r="AW90" s="84" t="s">
        <v>831</v>
      </c>
      <c r="AX90" s="84" t="s">
        <v>831</v>
      </c>
      <c r="AY90" s="81"/>
      <c r="AZ90" s="84" t="s">
        <v>879</v>
      </c>
      <c r="BA90" s="84" t="s">
        <v>879</v>
      </c>
      <c r="BB90" s="84" t="s">
        <v>754</v>
      </c>
      <c r="BC90" s="84" t="s">
        <v>754</v>
      </c>
      <c r="BD90" s="81">
        <v>19065198</v>
      </c>
      <c r="BE90" s="81"/>
      <c r="BF90" s="81"/>
      <c r="BG90" s="81"/>
      <c r="BH90" s="81"/>
      <c r="BI90" s="81"/>
      <c r="BJ90">
        <v>1</v>
      </c>
      <c r="BK90" s="80" t="str">
        <f>REPLACE(INDEX(GroupVertices[Group], MATCH("~"&amp;Edges27[[#This Row],[Vertex 1]],GroupVertices[Vertex],0)),1,1,"")</f>
        <v>6</v>
      </c>
      <c r="BL90" s="80" t="str">
        <f>REPLACE(INDEX(GroupVertices[Group], MATCH("~"&amp;Edges27[[#This Row],[Vertex 2]],GroupVertices[Vertex],0)),1,1,"")</f>
        <v>3</v>
      </c>
      <c r="BM90" s="49">
        <v>3</v>
      </c>
      <c r="BN90" s="50">
        <v>12.5</v>
      </c>
      <c r="BO90" s="49">
        <v>0</v>
      </c>
      <c r="BP90" s="50">
        <v>0</v>
      </c>
      <c r="BQ90" s="49">
        <v>0</v>
      </c>
      <c r="BR90" s="50">
        <v>0</v>
      </c>
      <c r="BS90" s="49">
        <v>9</v>
      </c>
      <c r="BT90" s="50">
        <v>37.5</v>
      </c>
      <c r="BU90" s="49">
        <v>24</v>
      </c>
    </row>
    <row r="91" spans="1:73" x14ac:dyDescent="0.25">
      <c r="A91" s="65" t="s">
        <v>283</v>
      </c>
      <c r="B91" s="65" t="s">
        <v>268</v>
      </c>
      <c r="C91" s="66"/>
      <c r="D91" s="67"/>
      <c r="E91" s="68"/>
      <c r="F91" s="69"/>
      <c r="G91" s="66"/>
      <c r="H91" s="70"/>
      <c r="I91" s="71"/>
      <c r="J91" s="71"/>
      <c r="K91" s="35" t="s">
        <v>65</v>
      </c>
      <c r="L91" s="79">
        <v>173</v>
      </c>
      <c r="M91" s="79"/>
      <c r="N91" s="73"/>
      <c r="O91" s="81" t="s">
        <v>365</v>
      </c>
      <c r="P91" s="83">
        <v>45234.54184027778</v>
      </c>
      <c r="Q91" s="81" t="s">
        <v>406</v>
      </c>
      <c r="R91" s="81">
        <v>3</v>
      </c>
      <c r="S91" s="81">
        <v>0</v>
      </c>
      <c r="T91" s="81">
        <v>0</v>
      </c>
      <c r="U91" s="81">
        <v>0</v>
      </c>
      <c r="V91" s="81"/>
      <c r="W91" s="81"/>
      <c r="X91" s="81"/>
      <c r="Y91" s="81"/>
      <c r="Z91" s="81" t="s">
        <v>268</v>
      </c>
      <c r="AA91" s="81"/>
      <c r="AB91" s="81"/>
      <c r="AC91" s="84" t="s">
        <v>580</v>
      </c>
      <c r="AD91" s="81" t="s">
        <v>588</v>
      </c>
      <c r="AE91" s="86" t="str">
        <f>HYPERLINK("https://twitter.com/hdeniswu/status/1720788047682326679")</f>
        <v>https://twitter.com/hdeniswu/status/1720788047682326679</v>
      </c>
      <c r="AF91" s="83">
        <v>45234.54184027778</v>
      </c>
      <c r="AG91" s="89">
        <v>45234</v>
      </c>
      <c r="AH91" s="84" t="s">
        <v>678</v>
      </c>
      <c r="AI91" s="81"/>
      <c r="AJ91" s="81"/>
      <c r="AK91" s="81"/>
      <c r="AL91" s="81"/>
      <c r="AM91" s="81"/>
      <c r="AN91" s="81"/>
      <c r="AO91" s="81"/>
      <c r="AP91" s="81"/>
      <c r="AQ91" s="81"/>
      <c r="AR91" s="81"/>
      <c r="AS91" s="81"/>
      <c r="AT91" s="81"/>
      <c r="AU91" s="81"/>
      <c r="AV91" s="86" t="str">
        <f>HYPERLINK("https://pbs.twimg.com/profile_images/1627050137070755847/LYNRis13_normal.jpg")</f>
        <v>https://pbs.twimg.com/profile_images/1627050137070755847/LYNRis13_normal.jpg</v>
      </c>
      <c r="AW91" s="84" t="s">
        <v>832</v>
      </c>
      <c r="AX91" s="84" t="s">
        <v>832</v>
      </c>
      <c r="AY91" s="81"/>
      <c r="AZ91" s="84" t="s">
        <v>879</v>
      </c>
      <c r="BA91" s="84" t="s">
        <v>879</v>
      </c>
      <c r="BB91" s="84" t="s">
        <v>862</v>
      </c>
      <c r="BC91" s="84" t="s">
        <v>862</v>
      </c>
      <c r="BD91" s="81">
        <v>3193013278</v>
      </c>
      <c r="BE91" s="81"/>
      <c r="BF91" s="81"/>
      <c r="BG91" s="81"/>
      <c r="BH91" s="81"/>
      <c r="BI91" s="81"/>
      <c r="BJ91">
        <v>1</v>
      </c>
      <c r="BK91" s="80" t="str">
        <f>REPLACE(INDEX(GroupVertices[Group], MATCH("~"&amp;Edges27[[#This Row],[Vertex 1]],GroupVertices[Vertex],0)),1,1,"")</f>
        <v>1</v>
      </c>
      <c r="BL91" s="80" t="str">
        <f>REPLACE(INDEX(GroupVertices[Group], MATCH("~"&amp;Edges27[[#This Row],[Vertex 2]],GroupVertices[Vertex],0)),1,1,"")</f>
        <v>1</v>
      </c>
      <c r="BM91" s="49">
        <v>2</v>
      </c>
      <c r="BN91" s="50">
        <v>9.0909090909090917</v>
      </c>
      <c r="BO91" s="49">
        <v>0</v>
      </c>
      <c r="BP91" s="50">
        <v>0</v>
      </c>
      <c r="BQ91" s="49">
        <v>0</v>
      </c>
      <c r="BR91" s="50">
        <v>0</v>
      </c>
      <c r="BS91" s="49">
        <v>12</v>
      </c>
      <c r="BT91" s="50">
        <v>54.545454545454547</v>
      </c>
      <c r="BU91" s="49">
        <v>22</v>
      </c>
    </row>
    <row r="92" spans="1:73" x14ac:dyDescent="0.25">
      <c r="A92" s="65" t="s">
        <v>284</v>
      </c>
      <c r="B92" s="65" t="s">
        <v>337</v>
      </c>
      <c r="C92" s="66"/>
      <c r="D92" s="67"/>
      <c r="E92" s="68"/>
      <c r="F92" s="69"/>
      <c r="G92" s="66"/>
      <c r="H92" s="70"/>
      <c r="I92" s="71"/>
      <c r="J92" s="71"/>
      <c r="K92" s="35" t="s">
        <v>65</v>
      </c>
      <c r="L92" s="79">
        <v>174</v>
      </c>
      <c r="M92" s="79"/>
      <c r="N92" s="73"/>
      <c r="O92" s="81" t="s">
        <v>367</v>
      </c>
      <c r="P92" s="83">
        <v>45230.554849537039</v>
      </c>
      <c r="Q92" s="81" t="s">
        <v>441</v>
      </c>
      <c r="R92" s="81">
        <v>1</v>
      </c>
      <c r="S92" s="81">
        <v>1</v>
      </c>
      <c r="T92" s="81">
        <v>0</v>
      </c>
      <c r="U92" s="81">
        <v>0</v>
      </c>
      <c r="V92" s="81">
        <v>313</v>
      </c>
      <c r="W92" s="81"/>
      <c r="X92" s="86" t="str">
        <f>HYPERLINK("https://www.celt.iastate.edu/event/a-culture-of-gratitude-best-practices-for-promotion-and-tenure/")</f>
        <v>https://www.celt.iastate.edu/event/a-culture-of-gratitude-best-practices-for-promotion-and-tenure/</v>
      </c>
      <c r="Y92" s="81" t="s">
        <v>511</v>
      </c>
      <c r="Z92" s="81" t="s">
        <v>545</v>
      </c>
      <c r="AA92" s="81"/>
      <c r="AB92" s="81"/>
      <c r="AC92" s="84" t="s">
        <v>582</v>
      </c>
      <c r="AD92" s="81" t="s">
        <v>588</v>
      </c>
      <c r="AE92" s="86" t="str">
        <f>HYPERLINK("https://twitter.com/michael_bugeja/status/1719343210949124292")</f>
        <v>https://twitter.com/michael_bugeja/status/1719343210949124292</v>
      </c>
      <c r="AF92" s="83">
        <v>45230.554849537039</v>
      </c>
      <c r="AG92" s="89">
        <v>45230</v>
      </c>
      <c r="AH92" s="84" t="s">
        <v>679</v>
      </c>
      <c r="AI92" s="81" t="b">
        <v>0</v>
      </c>
      <c r="AJ92" s="81"/>
      <c r="AK92" s="81"/>
      <c r="AL92" s="81"/>
      <c r="AM92" s="81"/>
      <c r="AN92" s="81"/>
      <c r="AO92" s="81"/>
      <c r="AP92" s="81"/>
      <c r="AQ92" s="81"/>
      <c r="AR92" s="81"/>
      <c r="AS92" s="81"/>
      <c r="AT92" s="81"/>
      <c r="AU92" s="81"/>
      <c r="AV92" s="86" t="str">
        <f>HYPERLINK("https://pbs.twimg.com/profile_images/1060299959570849793/ZJPqNMgP_normal.jpg")</f>
        <v>https://pbs.twimg.com/profile_images/1060299959570849793/ZJPqNMgP_normal.jpg</v>
      </c>
      <c r="AW92" s="84" t="s">
        <v>833</v>
      </c>
      <c r="AX92" s="84" t="s">
        <v>833</v>
      </c>
      <c r="AY92" s="81"/>
      <c r="AZ92" s="84" t="s">
        <v>879</v>
      </c>
      <c r="BA92" s="84" t="s">
        <v>879</v>
      </c>
      <c r="BB92" s="84" t="s">
        <v>879</v>
      </c>
      <c r="BC92" s="84" t="s">
        <v>833</v>
      </c>
      <c r="BD92" s="81">
        <v>80869971</v>
      </c>
      <c r="BE92" s="81"/>
      <c r="BF92" s="81"/>
      <c r="BG92" s="81"/>
      <c r="BH92" s="81"/>
      <c r="BI92" s="81"/>
      <c r="BJ92">
        <v>1</v>
      </c>
      <c r="BK92" s="80" t="str">
        <f>REPLACE(INDEX(GroupVertices[Group], MATCH("~"&amp;Edges27[[#This Row],[Vertex 1]],GroupVertices[Vertex],0)),1,1,"")</f>
        <v>9</v>
      </c>
      <c r="BL92" s="80" t="str">
        <f>REPLACE(INDEX(GroupVertices[Group], MATCH("~"&amp;Edges27[[#This Row],[Vertex 2]],GroupVertices[Vertex],0)),1,1,"")</f>
        <v>9</v>
      </c>
      <c r="BM92" s="49"/>
      <c r="BN92" s="50"/>
      <c r="BO92" s="49"/>
      <c r="BP92" s="50"/>
      <c r="BQ92" s="49"/>
      <c r="BR92" s="50"/>
      <c r="BS92" s="49"/>
      <c r="BT92" s="50"/>
      <c r="BU92" s="49"/>
    </row>
    <row r="93" spans="1:73" x14ac:dyDescent="0.25">
      <c r="A93" s="65" t="s">
        <v>285</v>
      </c>
      <c r="B93" s="65" t="s">
        <v>339</v>
      </c>
      <c r="C93" s="66"/>
      <c r="D93" s="67"/>
      <c r="E93" s="68"/>
      <c r="F93" s="69"/>
      <c r="G93" s="66"/>
      <c r="H93" s="70"/>
      <c r="I93" s="71"/>
      <c r="J93" s="71"/>
      <c r="K93" s="35" t="s">
        <v>65</v>
      </c>
      <c r="L93" s="79">
        <v>179</v>
      </c>
      <c r="M93" s="79"/>
      <c r="N93" s="73"/>
      <c r="O93" s="81" t="s">
        <v>369</v>
      </c>
      <c r="P93" s="83">
        <v>45233.745243055557</v>
      </c>
      <c r="Q93" s="81" t="s">
        <v>442</v>
      </c>
      <c r="R93" s="81">
        <v>0</v>
      </c>
      <c r="S93" s="81">
        <v>1</v>
      </c>
      <c r="T93" s="81">
        <v>0</v>
      </c>
      <c r="U93" s="81">
        <v>0</v>
      </c>
      <c r="V93" s="81">
        <v>27</v>
      </c>
      <c r="W93" s="81"/>
      <c r="X93" s="81"/>
      <c r="Y93" s="81"/>
      <c r="Z93" s="81" t="s">
        <v>339</v>
      </c>
      <c r="AA93" s="81"/>
      <c r="AB93" s="81"/>
      <c r="AC93" s="84" t="s">
        <v>582</v>
      </c>
      <c r="AD93" s="81" t="s">
        <v>588</v>
      </c>
      <c r="AE93" s="86" t="str">
        <f>HYPERLINK("https://twitter.com/mjfuhlhage/status/1720499366845088233")</f>
        <v>https://twitter.com/mjfuhlhage/status/1720499366845088233</v>
      </c>
      <c r="AF93" s="83">
        <v>45233.745243055557</v>
      </c>
      <c r="AG93" s="89">
        <v>45233</v>
      </c>
      <c r="AH93" s="84" t="s">
        <v>680</v>
      </c>
      <c r="AI93" s="81"/>
      <c r="AJ93" s="81"/>
      <c r="AK93" s="81"/>
      <c r="AL93" s="81"/>
      <c r="AM93" s="81"/>
      <c r="AN93" s="81"/>
      <c r="AO93" s="81"/>
      <c r="AP93" s="81"/>
      <c r="AQ93" s="81"/>
      <c r="AR93" s="81"/>
      <c r="AS93" s="81"/>
      <c r="AT93" s="81"/>
      <c r="AU93" s="81"/>
      <c r="AV93" s="86" t="str">
        <f>HYPERLINK("https://pbs.twimg.com/profile_images/1434178901991960580/rcQbpYJ1_normal.jpg")</f>
        <v>https://pbs.twimg.com/profile_images/1434178901991960580/rcQbpYJ1_normal.jpg</v>
      </c>
      <c r="AW93" s="84" t="s">
        <v>834</v>
      </c>
      <c r="AX93" s="84" t="s">
        <v>874</v>
      </c>
      <c r="AY93" s="84" t="s">
        <v>878</v>
      </c>
      <c r="AZ93" s="84" t="s">
        <v>874</v>
      </c>
      <c r="BA93" s="84" t="s">
        <v>879</v>
      </c>
      <c r="BB93" s="84" t="s">
        <v>879</v>
      </c>
      <c r="BC93" s="84" t="s">
        <v>874</v>
      </c>
      <c r="BD93" s="81">
        <v>213867085</v>
      </c>
      <c r="BE93" s="81"/>
      <c r="BF93" s="81"/>
      <c r="BG93" s="81"/>
      <c r="BH93" s="81"/>
      <c r="BI93" s="81"/>
      <c r="BJ93">
        <v>1</v>
      </c>
      <c r="BK93" s="80" t="str">
        <f>REPLACE(INDEX(GroupVertices[Group], MATCH("~"&amp;Edges27[[#This Row],[Vertex 1]],GroupVertices[Vertex],0)),1,1,"")</f>
        <v>14</v>
      </c>
      <c r="BL93" s="80" t="str">
        <f>REPLACE(INDEX(GroupVertices[Group], MATCH("~"&amp;Edges27[[#This Row],[Vertex 2]],GroupVertices[Vertex],0)),1,1,"")</f>
        <v>14</v>
      </c>
      <c r="BM93" s="49">
        <v>1</v>
      </c>
      <c r="BN93" s="50">
        <v>5.882352941176471</v>
      </c>
      <c r="BO93" s="49">
        <v>0</v>
      </c>
      <c r="BP93" s="50">
        <v>0</v>
      </c>
      <c r="BQ93" s="49">
        <v>0</v>
      </c>
      <c r="BR93" s="50">
        <v>0</v>
      </c>
      <c r="BS93" s="49">
        <v>8</v>
      </c>
      <c r="BT93" s="50">
        <v>47.058823529411768</v>
      </c>
      <c r="BU93" s="49">
        <v>17</v>
      </c>
    </row>
    <row r="94" spans="1:73" x14ac:dyDescent="0.25">
      <c r="A94" s="65" t="s">
        <v>286</v>
      </c>
      <c r="B94" s="65" t="s">
        <v>306</v>
      </c>
      <c r="C94" s="66"/>
      <c r="D94" s="67"/>
      <c r="E94" s="68"/>
      <c r="F94" s="69"/>
      <c r="G94" s="66"/>
      <c r="H94" s="70"/>
      <c r="I94" s="71"/>
      <c r="J94" s="71"/>
      <c r="K94" s="35" t="s">
        <v>65</v>
      </c>
      <c r="L94" s="79">
        <v>180</v>
      </c>
      <c r="M94" s="79"/>
      <c r="N94" s="73"/>
      <c r="O94" s="81" t="s">
        <v>365</v>
      </c>
      <c r="P94" s="83">
        <v>45234.978321759256</v>
      </c>
      <c r="Q94" s="81" t="s">
        <v>383</v>
      </c>
      <c r="R94" s="81">
        <v>4</v>
      </c>
      <c r="S94" s="81">
        <v>0</v>
      </c>
      <c r="T94" s="81">
        <v>0</v>
      </c>
      <c r="U94" s="81">
        <v>0</v>
      </c>
      <c r="V94" s="81"/>
      <c r="W94" s="81"/>
      <c r="X94" s="81"/>
      <c r="Y94" s="81"/>
      <c r="Z94" s="81" t="s">
        <v>306</v>
      </c>
      <c r="AA94" s="81"/>
      <c r="AB94" s="81"/>
      <c r="AC94" s="84" t="s">
        <v>580</v>
      </c>
      <c r="AD94" s="81" t="s">
        <v>588</v>
      </c>
      <c r="AE94" s="86" t="str">
        <f>HYPERLINK("https://twitter.com/chensibo/status/1720946220435210470")</f>
        <v>https://twitter.com/chensibo/status/1720946220435210470</v>
      </c>
      <c r="AF94" s="83">
        <v>45234.978321759256</v>
      </c>
      <c r="AG94" s="89">
        <v>45234</v>
      </c>
      <c r="AH94" s="84" t="s">
        <v>681</v>
      </c>
      <c r="AI94" s="81"/>
      <c r="AJ94" s="81"/>
      <c r="AK94" s="81"/>
      <c r="AL94" s="81"/>
      <c r="AM94" s="81"/>
      <c r="AN94" s="81"/>
      <c r="AO94" s="81"/>
      <c r="AP94" s="81"/>
      <c r="AQ94" s="81"/>
      <c r="AR94" s="81"/>
      <c r="AS94" s="81"/>
      <c r="AT94" s="81"/>
      <c r="AU94" s="81"/>
      <c r="AV94" s="86" t="str">
        <f>HYPERLINK("https://pbs.twimg.com/profile_images/1222958034990829568/O3XAgaHo_normal.jpg")</f>
        <v>https://pbs.twimg.com/profile_images/1222958034990829568/O3XAgaHo_normal.jpg</v>
      </c>
      <c r="AW94" s="84" t="s">
        <v>835</v>
      </c>
      <c r="AX94" s="84" t="s">
        <v>835</v>
      </c>
      <c r="AY94" s="81"/>
      <c r="AZ94" s="84" t="s">
        <v>879</v>
      </c>
      <c r="BA94" s="84" t="s">
        <v>879</v>
      </c>
      <c r="BB94" s="84" t="s">
        <v>870</v>
      </c>
      <c r="BC94" s="84" t="s">
        <v>870</v>
      </c>
      <c r="BD94" s="81">
        <v>374929582</v>
      </c>
      <c r="BE94" s="81"/>
      <c r="BF94" s="81"/>
      <c r="BG94" s="81"/>
      <c r="BH94" s="81"/>
      <c r="BI94" s="81"/>
      <c r="BJ94">
        <v>1</v>
      </c>
      <c r="BK94" s="80" t="str">
        <f>REPLACE(INDEX(GroupVertices[Group], MATCH("~"&amp;Edges27[[#This Row],[Vertex 1]],GroupVertices[Vertex],0)),1,1,"")</f>
        <v>7</v>
      </c>
      <c r="BL94" s="80" t="str">
        <f>REPLACE(INDEX(GroupVertices[Group], MATCH("~"&amp;Edges27[[#This Row],[Vertex 2]],GroupVertices[Vertex],0)),1,1,"")</f>
        <v>7</v>
      </c>
      <c r="BM94" s="49">
        <v>1</v>
      </c>
      <c r="BN94" s="50">
        <v>4.5454545454545459</v>
      </c>
      <c r="BO94" s="49">
        <v>0</v>
      </c>
      <c r="BP94" s="50">
        <v>0</v>
      </c>
      <c r="BQ94" s="49">
        <v>0</v>
      </c>
      <c r="BR94" s="50">
        <v>0</v>
      </c>
      <c r="BS94" s="49">
        <v>14</v>
      </c>
      <c r="BT94" s="50">
        <v>63.636363636363633</v>
      </c>
      <c r="BU94" s="49">
        <v>22</v>
      </c>
    </row>
    <row r="95" spans="1:73" x14ac:dyDescent="0.25">
      <c r="A95" s="65" t="s">
        <v>287</v>
      </c>
      <c r="B95" s="65" t="s">
        <v>340</v>
      </c>
      <c r="C95" s="66"/>
      <c r="D95" s="67"/>
      <c r="E95" s="68"/>
      <c r="F95" s="69"/>
      <c r="G95" s="66"/>
      <c r="H95" s="70"/>
      <c r="I95" s="71"/>
      <c r="J95" s="71"/>
      <c r="K95" s="35" t="s">
        <v>65</v>
      </c>
      <c r="L95" s="79">
        <v>181</v>
      </c>
      <c r="M95" s="79"/>
      <c r="N95" s="73"/>
      <c r="O95" s="81" t="s">
        <v>367</v>
      </c>
      <c r="P95" s="83">
        <v>45226.818807870368</v>
      </c>
      <c r="Q95" s="81" t="s">
        <v>443</v>
      </c>
      <c r="R95" s="81">
        <v>2</v>
      </c>
      <c r="S95" s="81">
        <v>1</v>
      </c>
      <c r="T95" s="81">
        <v>0</v>
      </c>
      <c r="U95" s="81">
        <v>0</v>
      </c>
      <c r="V95" s="81">
        <v>255</v>
      </c>
      <c r="W95" s="81"/>
      <c r="X95" s="86" t="str">
        <f>HYPERLINK("https://ow.ly/JyA050PZrHG")</f>
        <v>https://ow.ly/JyA050PZrHG</v>
      </c>
      <c r="Y95" s="81" t="s">
        <v>512</v>
      </c>
      <c r="Z95" s="81" t="s">
        <v>546</v>
      </c>
      <c r="AA95" s="81" t="s">
        <v>570</v>
      </c>
      <c r="AB95" s="81" t="s">
        <v>575</v>
      </c>
      <c r="AC95" s="84" t="s">
        <v>585</v>
      </c>
      <c r="AD95" s="81" t="s">
        <v>588</v>
      </c>
      <c r="AE95" s="86" t="str">
        <f>HYPERLINK("https://twitter.com/rlpgbooks/status/1717989312514412961")</f>
        <v>https://twitter.com/rlpgbooks/status/1717989312514412961</v>
      </c>
      <c r="AF95" s="83">
        <v>45226.818807870368</v>
      </c>
      <c r="AG95" s="89">
        <v>45226</v>
      </c>
      <c r="AH95" s="84" t="s">
        <v>682</v>
      </c>
      <c r="AI95" s="81" t="b">
        <v>0</v>
      </c>
      <c r="AJ95" s="81"/>
      <c r="AK95" s="81"/>
      <c r="AL95" s="81"/>
      <c r="AM95" s="81"/>
      <c r="AN95" s="81"/>
      <c r="AO95" s="81"/>
      <c r="AP95" s="81"/>
      <c r="AQ95" s="81" t="s">
        <v>739</v>
      </c>
      <c r="AR95" s="81"/>
      <c r="AS95" s="81"/>
      <c r="AT95" s="81"/>
      <c r="AU95" s="81"/>
      <c r="AV95" s="86" t="str">
        <f>HYPERLINK("https://pbs.twimg.com/media/F9eGLPPW4AAuhpV.jpg")</f>
        <v>https://pbs.twimg.com/media/F9eGLPPW4AAuhpV.jpg</v>
      </c>
      <c r="AW95" s="84" t="s">
        <v>836</v>
      </c>
      <c r="AX95" s="84" t="s">
        <v>836</v>
      </c>
      <c r="AY95" s="81"/>
      <c r="AZ95" s="84" t="s">
        <v>879</v>
      </c>
      <c r="BA95" s="84" t="s">
        <v>879</v>
      </c>
      <c r="BB95" s="84" t="s">
        <v>879</v>
      </c>
      <c r="BC95" s="84" t="s">
        <v>836</v>
      </c>
      <c r="BD95" s="81">
        <v>81992242</v>
      </c>
      <c r="BE95" s="81"/>
      <c r="BF95" s="81"/>
      <c r="BG95" s="81"/>
      <c r="BH95" s="81"/>
      <c r="BI95" s="81"/>
      <c r="BJ95">
        <v>1</v>
      </c>
      <c r="BK95" s="80" t="str">
        <f>REPLACE(INDEX(GroupVertices[Group], MATCH("~"&amp;Edges27[[#This Row],[Vertex 1]],GroupVertices[Vertex],0)),1,1,"")</f>
        <v>4</v>
      </c>
      <c r="BL95" s="80" t="str">
        <f>REPLACE(INDEX(GroupVertices[Group], MATCH("~"&amp;Edges27[[#This Row],[Vertex 2]],GroupVertices[Vertex],0)),1,1,"")</f>
        <v>4</v>
      </c>
      <c r="BM95" s="49"/>
      <c r="BN95" s="50"/>
      <c r="BO95" s="49"/>
      <c r="BP95" s="50"/>
      <c r="BQ95" s="49"/>
      <c r="BR95" s="50"/>
      <c r="BS95" s="49"/>
      <c r="BT95" s="50"/>
      <c r="BU95" s="49"/>
    </row>
    <row r="96" spans="1:73" x14ac:dyDescent="0.25">
      <c r="A96" s="65" t="s">
        <v>280</v>
      </c>
      <c r="B96" s="65" t="s">
        <v>287</v>
      </c>
      <c r="C96" s="66"/>
      <c r="D96" s="67"/>
      <c r="E96" s="68"/>
      <c r="F96" s="69"/>
      <c r="G96" s="66"/>
      <c r="H96" s="70"/>
      <c r="I96" s="71"/>
      <c r="J96" s="71"/>
      <c r="K96" s="35" t="s">
        <v>66</v>
      </c>
      <c r="L96" s="79">
        <v>189</v>
      </c>
      <c r="M96" s="79"/>
      <c r="N96" s="73"/>
      <c r="O96" s="81" t="s">
        <v>365</v>
      </c>
      <c r="P96" s="83">
        <v>45230.817754629628</v>
      </c>
      <c r="Q96" s="81" t="s">
        <v>444</v>
      </c>
      <c r="R96" s="81">
        <v>2</v>
      </c>
      <c r="S96" s="81">
        <v>0</v>
      </c>
      <c r="T96" s="81">
        <v>0</v>
      </c>
      <c r="U96" s="81">
        <v>0</v>
      </c>
      <c r="V96" s="81"/>
      <c r="W96" s="81"/>
      <c r="X96" s="81"/>
      <c r="Y96" s="81"/>
      <c r="Z96" s="81" t="s">
        <v>287</v>
      </c>
      <c r="AA96" s="81"/>
      <c r="AB96" s="81"/>
      <c r="AC96" s="84" t="s">
        <v>580</v>
      </c>
      <c r="AD96" s="81" t="s">
        <v>588</v>
      </c>
      <c r="AE96" s="86" t="str">
        <f>HYPERLINK("https://twitter.com/csgeaejmc/status/1719438481913421861")</f>
        <v>https://twitter.com/csgeaejmc/status/1719438481913421861</v>
      </c>
      <c r="AF96" s="83">
        <v>45230.817754629628</v>
      </c>
      <c r="AG96" s="89">
        <v>45230</v>
      </c>
      <c r="AH96" s="84" t="s">
        <v>683</v>
      </c>
      <c r="AI96" s="81"/>
      <c r="AJ96" s="81"/>
      <c r="AK96" s="81"/>
      <c r="AL96" s="81"/>
      <c r="AM96" s="81"/>
      <c r="AN96" s="81"/>
      <c r="AO96" s="81"/>
      <c r="AP96" s="81"/>
      <c r="AQ96" s="81"/>
      <c r="AR96" s="81"/>
      <c r="AS96" s="81"/>
      <c r="AT96" s="81"/>
      <c r="AU96" s="81"/>
      <c r="AV96" s="86" t="str">
        <f>HYPERLINK("https://pbs.twimg.com/profile_images/1631068834768515072/LdDIOISa_normal.jpg")</f>
        <v>https://pbs.twimg.com/profile_images/1631068834768515072/LdDIOISa_normal.jpg</v>
      </c>
      <c r="AW96" s="84" t="s">
        <v>837</v>
      </c>
      <c r="AX96" s="84" t="s">
        <v>837</v>
      </c>
      <c r="AY96" s="81"/>
      <c r="AZ96" s="84" t="s">
        <v>879</v>
      </c>
      <c r="BA96" s="84" t="s">
        <v>879</v>
      </c>
      <c r="BB96" s="84" t="s">
        <v>836</v>
      </c>
      <c r="BC96" s="84" t="s">
        <v>836</v>
      </c>
      <c r="BD96" s="84" t="s">
        <v>890</v>
      </c>
      <c r="BE96" s="81"/>
      <c r="BF96" s="81"/>
      <c r="BG96" s="81"/>
      <c r="BH96" s="81"/>
      <c r="BI96" s="81"/>
      <c r="BJ96">
        <v>1</v>
      </c>
      <c r="BK96" s="80" t="str">
        <f>REPLACE(INDEX(GroupVertices[Group], MATCH("~"&amp;Edges27[[#This Row],[Vertex 1]],GroupVertices[Vertex],0)),1,1,"")</f>
        <v>4</v>
      </c>
      <c r="BL96" s="80" t="str">
        <f>REPLACE(INDEX(GroupVertices[Group], MATCH("~"&amp;Edges27[[#This Row],[Vertex 2]],GroupVertices[Vertex],0)),1,1,"")</f>
        <v>4</v>
      </c>
      <c r="BM96" s="49">
        <v>1</v>
      </c>
      <c r="BN96" s="50">
        <v>4.3478260869565215</v>
      </c>
      <c r="BO96" s="49">
        <v>0</v>
      </c>
      <c r="BP96" s="50">
        <v>0</v>
      </c>
      <c r="BQ96" s="49">
        <v>0</v>
      </c>
      <c r="BR96" s="50">
        <v>0</v>
      </c>
      <c r="BS96" s="49">
        <v>13</v>
      </c>
      <c r="BT96" s="50">
        <v>56.521739130434781</v>
      </c>
      <c r="BU96" s="49">
        <v>23</v>
      </c>
    </row>
    <row r="97" spans="1:73" x14ac:dyDescent="0.25">
      <c r="A97" s="65" t="s">
        <v>288</v>
      </c>
      <c r="B97" s="65" t="s">
        <v>345</v>
      </c>
      <c r="C97" s="66"/>
      <c r="D97" s="67"/>
      <c r="E97" s="68"/>
      <c r="F97" s="69"/>
      <c r="G97" s="66"/>
      <c r="H97" s="70"/>
      <c r="I97" s="71"/>
      <c r="J97" s="71"/>
      <c r="K97" s="35" t="s">
        <v>65</v>
      </c>
      <c r="L97" s="79">
        <v>192</v>
      </c>
      <c r="M97" s="79"/>
      <c r="N97" s="73"/>
      <c r="O97" s="81" t="s">
        <v>367</v>
      </c>
      <c r="P97" s="83">
        <v>45226.655486111114</v>
      </c>
      <c r="Q97" s="81" t="s">
        <v>445</v>
      </c>
      <c r="R97" s="81">
        <v>39</v>
      </c>
      <c r="S97" s="81">
        <v>141</v>
      </c>
      <c r="T97" s="81">
        <v>1</v>
      </c>
      <c r="U97" s="81">
        <v>6</v>
      </c>
      <c r="V97" s="81">
        <v>22026</v>
      </c>
      <c r="W97" s="81"/>
      <c r="X97" s="86" t="str">
        <f>HYPERLINK("https://journals.sagepub.com/doi/10.1177/14614448231205893")</f>
        <v>https://journals.sagepub.com/doi/10.1177/14614448231205893</v>
      </c>
      <c r="Y97" s="81" t="s">
        <v>506</v>
      </c>
      <c r="Z97" s="81" t="s">
        <v>547</v>
      </c>
      <c r="AA97" s="81"/>
      <c r="AB97" s="81"/>
      <c r="AC97" s="84" t="s">
        <v>582</v>
      </c>
      <c r="AD97" s="81" t="s">
        <v>588</v>
      </c>
      <c r="AE97" s="86" t="str">
        <f>HYPERLINK("https://twitter.com/pengyilang/status/1717930126736761107")</f>
        <v>https://twitter.com/pengyilang/status/1717930126736761107</v>
      </c>
      <c r="AF97" s="83">
        <v>45226.655486111114</v>
      </c>
      <c r="AG97" s="89">
        <v>45226</v>
      </c>
      <c r="AH97" s="84" t="s">
        <v>684</v>
      </c>
      <c r="AI97" s="81" t="b">
        <v>0</v>
      </c>
      <c r="AJ97" s="81"/>
      <c r="AK97" s="81"/>
      <c r="AL97" s="81"/>
      <c r="AM97" s="81"/>
      <c r="AN97" s="81"/>
      <c r="AO97" s="81"/>
      <c r="AP97" s="81"/>
      <c r="AQ97" s="81"/>
      <c r="AR97" s="81"/>
      <c r="AS97" s="81"/>
      <c r="AT97" s="81"/>
      <c r="AU97" s="81"/>
      <c r="AV97" s="86" t="str">
        <f>HYPERLINK("https://pbs.twimg.com/profile_images/1543843345998483456/C83GM58-_normal.jpg")</f>
        <v>https://pbs.twimg.com/profile_images/1543843345998483456/C83GM58-_normal.jpg</v>
      </c>
      <c r="AW97" s="84" t="s">
        <v>838</v>
      </c>
      <c r="AX97" s="84" t="s">
        <v>838</v>
      </c>
      <c r="AY97" s="81"/>
      <c r="AZ97" s="84" t="s">
        <v>879</v>
      </c>
      <c r="BA97" s="84" t="s">
        <v>879</v>
      </c>
      <c r="BB97" s="84" t="s">
        <v>879</v>
      </c>
      <c r="BC97" s="84" t="s">
        <v>838</v>
      </c>
      <c r="BD97" s="81">
        <v>343340218</v>
      </c>
      <c r="BE97" s="81"/>
      <c r="BF97" s="81"/>
      <c r="BG97" s="81"/>
      <c r="BH97" s="81"/>
      <c r="BI97" s="81"/>
      <c r="BJ97">
        <v>1</v>
      </c>
      <c r="BK97" s="80" t="str">
        <f>REPLACE(INDEX(GroupVertices[Group], MATCH("~"&amp;Edges27[[#This Row],[Vertex 1]],GroupVertices[Vertex],0)),1,1,"")</f>
        <v>3</v>
      </c>
      <c r="BL97" s="80" t="str">
        <f>REPLACE(INDEX(GroupVertices[Group], MATCH("~"&amp;Edges27[[#This Row],[Vertex 2]],GroupVertices[Vertex],0)),1,1,"")</f>
        <v>3</v>
      </c>
      <c r="BM97" s="49"/>
      <c r="BN97" s="50"/>
      <c r="BO97" s="49"/>
      <c r="BP97" s="50"/>
      <c r="BQ97" s="49"/>
      <c r="BR97" s="50"/>
      <c r="BS97" s="49"/>
      <c r="BT97" s="50"/>
      <c r="BU97" s="49"/>
    </row>
    <row r="98" spans="1:73" x14ac:dyDescent="0.25">
      <c r="A98" s="65" t="s">
        <v>289</v>
      </c>
      <c r="B98" s="65" t="s">
        <v>289</v>
      </c>
      <c r="C98" s="66"/>
      <c r="D98" s="67"/>
      <c r="E98" s="68"/>
      <c r="F98" s="69"/>
      <c r="G98" s="66"/>
      <c r="H98" s="70"/>
      <c r="I98" s="71"/>
      <c r="J98" s="71"/>
      <c r="K98" s="35" t="s">
        <v>65</v>
      </c>
      <c r="L98" s="79">
        <v>194</v>
      </c>
      <c r="M98" s="79"/>
      <c r="N98" s="73"/>
      <c r="O98" s="81" t="s">
        <v>196</v>
      </c>
      <c r="P98" s="83">
        <v>45230.707835648151</v>
      </c>
      <c r="Q98" s="81" t="s">
        <v>446</v>
      </c>
      <c r="R98" s="81">
        <v>5</v>
      </c>
      <c r="S98" s="81">
        <v>3</v>
      </c>
      <c r="T98" s="81">
        <v>0</v>
      </c>
      <c r="U98" s="81">
        <v>0</v>
      </c>
      <c r="V98" s="81">
        <v>754</v>
      </c>
      <c r="W98" s="81"/>
      <c r="X98" s="86" t="str">
        <f>HYPERLINK("https://mmedivision.wordpress.com/2023/10/31/paper-call-aejmc-midwinter-conference/")</f>
        <v>https://mmedivision.wordpress.com/2023/10/31/paper-call-aejmc-midwinter-conference/</v>
      </c>
      <c r="Y98" s="81" t="s">
        <v>513</v>
      </c>
      <c r="Z98" s="81"/>
      <c r="AA98" s="81"/>
      <c r="AB98" s="81"/>
      <c r="AC98" s="84" t="s">
        <v>582</v>
      </c>
      <c r="AD98" s="81" t="s">
        <v>588</v>
      </c>
      <c r="AE98" s="86" t="str">
        <f>HYPERLINK("https://twitter.com/aejmcmmee/status/1719398651049726196")</f>
        <v>https://twitter.com/aejmcmmee/status/1719398651049726196</v>
      </c>
      <c r="AF98" s="83">
        <v>45230.707835648151</v>
      </c>
      <c r="AG98" s="89">
        <v>45230</v>
      </c>
      <c r="AH98" s="84" t="s">
        <v>685</v>
      </c>
      <c r="AI98" s="81" t="b">
        <v>0</v>
      </c>
      <c r="AJ98" s="81"/>
      <c r="AK98" s="81"/>
      <c r="AL98" s="81"/>
      <c r="AM98" s="81"/>
      <c r="AN98" s="81"/>
      <c r="AO98" s="81"/>
      <c r="AP98" s="81"/>
      <c r="AQ98" s="81"/>
      <c r="AR98" s="81"/>
      <c r="AS98" s="81"/>
      <c r="AT98" s="81"/>
      <c r="AU98" s="81"/>
      <c r="AV98" s="86" t="str">
        <f>HYPERLINK("https://pbs.twimg.com/profile_images/1466447527884963840/ZQq_A9e7_normal.jpg")</f>
        <v>https://pbs.twimg.com/profile_images/1466447527884963840/ZQq_A9e7_normal.jpg</v>
      </c>
      <c r="AW98" s="84" t="s">
        <v>839</v>
      </c>
      <c r="AX98" s="84" t="s">
        <v>839</v>
      </c>
      <c r="AY98" s="81"/>
      <c r="AZ98" s="84" t="s">
        <v>879</v>
      </c>
      <c r="BA98" s="84" t="s">
        <v>879</v>
      </c>
      <c r="BB98" s="84" t="s">
        <v>879</v>
      </c>
      <c r="BC98" s="84" t="s">
        <v>839</v>
      </c>
      <c r="BD98" s="81">
        <v>3307384609</v>
      </c>
      <c r="BE98" s="81"/>
      <c r="BF98" s="81"/>
      <c r="BG98" s="81"/>
      <c r="BH98" s="81"/>
      <c r="BI98" s="81"/>
      <c r="BJ98">
        <v>1</v>
      </c>
      <c r="BK98" s="80" t="str">
        <f>REPLACE(INDEX(GroupVertices[Group], MATCH("~"&amp;Edges27[[#This Row],[Vertex 1]],GroupVertices[Vertex],0)),1,1,"")</f>
        <v>10</v>
      </c>
      <c r="BL98" s="80" t="str">
        <f>REPLACE(INDEX(GroupVertices[Group], MATCH("~"&amp;Edges27[[#This Row],[Vertex 2]],GroupVertices[Vertex],0)),1,1,"")</f>
        <v>10</v>
      </c>
      <c r="BM98" s="49">
        <v>0</v>
      </c>
      <c r="BN98" s="50">
        <v>0</v>
      </c>
      <c r="BO98" s="49">
        <v>0</v>
      </c>
      <c r="BP98" s="50">
        <v>0</v>
      </c>
      <c r="BQ98" s="49">
        <v>0</v>
      </c>
      <c r="BR98" s="50">
        <v>0</v>
      </c>
      <c r="BS98" s="49">
        <v>16</v>
      </c>
      <c r="BT98" s="50">
        <v>61.53846153846154</v>
      </c>
      <c r="BU98" s="49">
        <v>26</v>
      </c>
    </row>
    <row r="99" spans="1:73" x14ac:dyDescent="0.25">
      <c r="A99" s="65" t="s">
        <v>268</v>
      </c>
      <c r="B99" s="65" t="s">
        <v>289</v>
      </c>
      <c r="C99" s="66"/>
      <c r="D99" s="67"/>
      <c r="E99" s="68"/>
      <c r="F99" s="69"/>
      <c r="G99" s="66"/>
      <c r="H99" s="70"/>
      <c r="I99" s="71"/>
      <c r="J99" s="71"/>
      <c r="K99" s="35" t="s">
        <v>65</v>
      </c>
      <c r="L99" s="79">
        <v>195</v>
      </c>
      <c r="M99" s="79"/>
      <c r="N99" s="73"/>
      <c r="O99" s="81" t="s">
        <v>365</v>
      </c>
      <c r="P99" s="83">
        <v>45230.816064814811</v>
      </c>
      <c r="Q99" s="81" t="s">
        <v>372</v>
      </c>
      <c r="R99" s="81">
        <v>5</v>
      </c>
      <c r="S99" s="81">
        <v>0</v>
      </c>
      <c r="T99" s="81">
        <v>0</v>
      </c>
      <c r="U99" s="81">
        <v>0</v>
      </c>
      <c r="V99" s="81"/>
      <c r="W99" s="81"/>
      <c r="X99" s="81"/>
      <c r="Y99" s="81"/>
      <c r="Z99" s="81" t="s">
        <v>289</v>
      </c>
      <c r="AA99" s="81"/>
      <c r="AB99" s="81"/>
      <c r="AC99" s="84" t="s">
        <v>582</v>
      </c>
      <c r="AD99" s="81" t="s">
        <v>588</v>
      </c>
      <c r="AE99" s="86" t="str">
        <f>HYPERLINK("https://twitter.com/aejmc/status/1719437871679971702")</f>
        <v>https://twitter.com/aejmc/status/1719437871679971702</v>
      </c>
      <c r="AF99" s="83">
        <v>45230.816064814811</v>
      </c>
      <c r="AG99" s="89">
        <v>45230</v>
      </c>
      <c r="AH99" s="84" t="s">
        <v>686</v>
      </c>
      <c r="AI99" s="81" t="b">
        <v>0</v>
      </c>
      <c r="AJ99" s="81"/>
      <c r="AK99" s="81"/>
      <c r="AL99" s="81"/>
      <c r="AM99" s="81"/>
      <c r="AN99" s="81"/>
      <c r="AO99" s="81"/>
      <c r="AP99" s="81"/>
      <c r="AQ99" s="81"/>
      <c r="AR99" s="81"/>
      <c r="AS99" s="81"/>
      <c r="AT99" s="81"/>
      <c r="AU99" s="81"/>
      <c r="AV99" s="86" t="str">
        <f>HYPERLINK("https://pbs.twimg.com/profile_images/1559584982439444482/vOVkFGh3_normal.png")</f>
        <v>https://pbs.twimg.com/profile_images/1559584982439444482/vOVkFGh3_normal.png</v>
      </c>
      <c r="AW99" s="84" t="s">
        <v>840</v>
      </c>
      <c r="AX99" s="84" t="s">
        <v>840</v>
      </c>
      <c r="AY99" s="81"/>
      <c r="AZ99" s="84" t="s">
        <v>879</v>
      </c>
      <c r="BA99" s="84" t="s">
        <v>879</v>
      </c>
      <c r="BB99" s="84" t="s">
        <v>839</v>
      </c>
      <c r="BC99" s="84" t="s">
        <v>839</v>
      </c>
      <c r="BD99" s="81">
        <v>8442592</v>
      </c>
      <c r="BE99" s="81"/>
      <c r="BF99" s="81"/>
      <c r="BG99" s="81"/>
      <c r="BH99" s="81"/>
      <c r="BI99" s="81"/>
      <c r="BJ99">
        <v>1</v>
      </c>
      <c r="BK99" s="80" t="str">
        <f>REPLACE(INDEX(GroupVertices[Group], MATCH("~"&amp;Edges27[[#This Row],[Vertex 1]],GroupVertices[Vertex],0)),1,1,"")</f>
        <v>1</v>
      </c>
      <c r="BL99" s="80" t="str">
        <f>REPLACE(INDEX(GroupVertices[Group], MATCH("~"&amp;Edges27[[#This Row],[Vertex 2]],GroupVertices[Vertex],0)),1,1,"")</f>
        <v>10</v>
      </c>
      <c r="BM99" s="49">
        <v>0</v>
      </c>
      <c r="BN99" s="50">
        <v>0</v>
      </c>
      <c r="BO99" s="49">
        <v>0</v>
      </c>
      <c r="BP99" s="50">
        <v>0</v>
      </c>
      <c r="BQ99" s="49">
        <v>0</v>
      </c>
      <c r="BR99" s="50">
        <v>0</v>
      </c>
      <c r="BS99" s="49">
        <v>13</v>
      </c>
      <c r="BT99" s="50">
        <v>54.166666666666664</v>
      </c>
      <c r="BU99" s="49">
        <v>24</v>
      </c>
    </row>
    <row r="100" spans="1:73" x14ac:dyDescent="0.25">
      <c r="A100" s="65" t="s">
        <v>290</v>
      </c>
      <c r="B100" s="65" t="s">
        <v>289</v>
      </c>
      <c r="C100" s="66"/>
      <c r="D100" s="67"/>
      <c r="E100" s="68"/>
      <c r="F100" s="69"/>
      <c r="G100" s="66"/>
      <c r="H100" s="70"/>
      <c r="I100" s="71"/>
      <c r="J100" s="71"/>
      <c r="K100" s="35" t="s">
        <v>65</v>
      </c>
      <c r="L100" s="79">
        <v>196</v>
      </c>
      <c r="M100" s="79"/>
      <c r="N100" s="73"/>
      <c r="O100" s="81" t="s">
        <v>365</v>
      </c>
      <c r="P100" s="83">
        <v>45231.106574074074</v>
      </c>
      <c r="Q100" s="81" t="s">
        <v>372</v>
      </c>
      <c r="R100" s="81">
        <v>5</v>
      </c>
      <c r="S100" s="81">
        <v>0</v>
      </c>
      <c r="T100" s="81">
        <v>0</v>
      </c>
      <c r="U100" s="81">
        <v>0</v>
      </c>
      <c r="V100" s="81"/>
      <c r="W100" s="81"/>
      <c r="X100" s="81"/>
      <c r="Y100" s="81"/>
      <c r="Z100" s="81" t="s">
        <v>289</v>
      </c>
      <c r="AA100" s="81"/>
      <c r="AB100" s="81"/>
      <c r="AC100" s="84" t="s">
        <v>580</v>
      </c>
      <c r="AD100" s="81" t="s">
        <v>588</v>
      </c>
      <c r="AE100" s="86" t="str">
        <f>HYPERLINK("https://twitter.com/uyendpp/status/1719543148467130375")</f>
        <v>https://twitter.com/uyendpp/status/1719543148467130375</v>
      </c>
      <c r="AF100" s="83">
        <v>45231.106574074074</v>
      </c>
      <c r="AG100" s="89">
        <v>45231</v>
      </c>
      <c r="AH100" s="84" t="s">
        <v>687</v>
      </c>
      <c r="AI100" s="81" t="b">
        <v>0</v>
      </c>
      <c r="AJ100" s="81"/>
      <c r="AK100" s="81"/>
      <c r="AL100" s="81"/>
      <c r="AM100" s="81"/>
      <c r="AN100" s="81"/>
      <c r="AO100" s="81"/>
      <c r="AP100" s="81"/>
      <c r="AQ100" s="81"/>
      <c r="AR100" s="81"/>
      <c r="AS100" s="81"/>
      <c r="AT100" s="81"/>
      <c r="AU100" s="81"/>
      <c r="AV100" s="86" t="str">
        <f>HYPERLINK("https://pbs.twimg.com/profile_images/1584045967027879937/izp8q46N_normal.jpg")</f>
        <v>https://pbs.twimg.com/profile_images/1584045967027879937/izp8q46N_normal.jpg</v>
      </c>
      <c r="AW100" s="84" t="s">
        <v>841</v>
      </c>
      <c r="AX100" s="84" t="s">
        <v>841</v>
      </c>
      <c r="AY100" s="81"/>
      <c r="AZ100" s="84" t="s">
        <v>879</v>
      </c>
      <c r="BA100" s="84" t="s">
        <v>879</v>
      </c>
      <c r="BB100" s="84" t="s">
        <v>839</v>
      </c>
      <c r="BC100" s="84" t="s">
        <v>839</v>
      </c>
      <c r="BD100" s="84" t="s">
        <v>891</v>
      </c>
      <c r="BE100" s="81"/>
      <c r="BF100" s="81"/>
      <c r="BG100" s="81"/>
      <c r="BH100" s="81"/>
      <c r="BI100" s="81"/>
      <c r="BJ100">
        <v>1</v>
      </c>
      <c r="BK100" s="80" t="str">
        <f>REPLACE(INDEX(GroupVertices[Group], MATCH("~"&amp;Edges27[[#This Row],[Vertex 1]],GroupVertices[Vertex],0)),1,1,"")</f>
        <v>10</v>
      </c>
      <c r="BL100" s="80" t="str">
        <f>REPLACE(INDEX(GroupVertices[Group], MATCH("~"&amp;Edges27[[#This Row],[Vertex 2]],GroupVertices[Vertex],0)),1,1,"")</f>
        <v>10</v>
      </c>
      <c r="BM100" s="49">
        <v>0</v>
      </c>
      <c r="BN100" s="50">
        <v>0</v>
      </c>
      <c r="BO100" s="49">
        <v>0</v>
      </c>
      <c r="BP100" s="50">
        <v>0</v>
      </c>
      <c r="BQ100" s="49">
        <v>0</v>
      </c>
      <c r="BR100" s="50">
        <v>0</v>
      </c>
      <c r="BS100" s="49">
        <v>13</v>
      </c>
      <c r="BT100" s="50">
        <v>54.166666666666664</v>
      </c>
      <c r="BU100" s="49">
        <v>24</v>
      </c>
    </row>
    <row r="101" spans="1:73" x14ac:dyDescent="0.25">
      <c r="A101" s="65" t="s">
        <v>291</v>
      </c>
      <c r="B101" s="65" t="s">
        <v>312</v>
      </c>
      <c r="C101" s="66"/>
      <c r="D101" s="67"/>
      <c r="E101" s="68"/>
      <c r="F101" s="69"/>
      <c r="G101" s="66"/>
      <c r="H101" s="70"/>
      <c r="I101" s="71"/>
      <c r="J101" s="71"/>
      <c r="K101" s="35" t="s">
        <v>65</v>
      </c>
      <c r="L101" s="79">
        <v>197</v>
      </c>
      <c r="M101" s="79"/>
      <c r="N101" s="73"/>
      <c r="O101" s="81" t="s">
        <v>366</v>
      </c>
      <c r="P101" s="83">
        <v>45232.011874999997</v>
      </c>
      <c r="Q101" s="81" t="s">
        <v>379</v>
      </c>
      <c r="R101" s="81">
        <v>5</v>
      </c>
      <c r="S101" s="81">
        <v>0</v>
      </c>
      <c r="T101" s="81">
        <v>0</v>
      </c>
      <c r="U101" s="81">
        <v>0</v>
      </c>
      <c r="V101" s="81"/>
      <c r="W101" s="81"/>
      <c r="X101" s="81"/>
      <c r="Y101" s="81"/>
      <c r="Z101" s="81" t="s">
        <v>523</v>
      </c>
      <c r="AA101" s="81"/>
      <c r="AB101" s="81"/>
      <c r="AC101" s="84" t="s">
        <v>580</v>
      </c>
      <c r="AD101" s="81" t="s">
        <v>588</v>
      </c>
      <c r="AE101" s="86" t="str">
        <f>HYPERLINK("https://twitter.com/enwillis/status/1719871217073799451")</f>
        <v>https://twitter.com/enwillis/status/1719871217073799451</v>
      </c>
      <c r="AF101" s="83">
        <v>45232.011874999997</v>
      </c>
      <c r="AG101" s="89">
        <v>45232</v>
      </c>
      <c r="AH101" s="84" t="s">
        <v>688</v>
      </c>
      <c r="AI101" s="81"/>
      <c r="AJ101" s="81"/>
      <c r="AK101" s="81"/>
      <c r="AL101" s="81"/>
      <c r="AM101" s="81"/>
      <c r="AN101" s="81"/>
      <c r="AO101" s="81"/>
      <c r="AP101" s="81"/>
      <c r="AQ101" s="81"/>
      <c r="AR101" s="81"/>
      <c r="AS101" s="81"/>
      <c r="AT101" s="81"/>
      <c r="AU101" s="81"/>
      <c r="AV101" s="86" t="str">
        <f>HYPERLINK("https://pbs.twimg.com/profile_images/689449033899704320/cLJDzNha_normal.jpg")</f>
        <v>https://pbs.twimg.com/profile_images/689449033899704320/cLJDzNha_normal.jpg</v>
      </c>
      <c r="AW101" s="84" t="s">
        <v>842</v>
      </c>
      <c r="AX101" s="84" t="s">
        <v>842</v>
      </c>
      <c r="AY101" s="81"/>
      <c r="AZ101" s="84" t="s">
        <v>879</v>
      </c>
      <c r="BA101" s="84" t="s">
        <v>879</v>
      </c>
      <c r="BB101" s="84" t="s">
        <v>757</v>
      </c>
      <c r="BC101" s="84" t="s">
        <v>757</v>
      </c>
      <c r="BD101" s="81">
        <v>21897949</v>
      </c>
      <c r="BE101" s="81"/>
      <c r="BF101" s="81"/>
      <c r="BG101" s="81"/>
      <c r="BH101" s="81"/>
      <c r="BI101" s="81"/>
      <c r="BJ101">
        <v>1</v>
      </c>
      <c r="BK101" s="80" t="str">
        <f>REPLACE(INDEX(GroupVertices[Group], MATCH("~"&amp;Edges27[[#This Row],[Vertex 1]],GroupVertices[Vertex],0)),1,1,"")</f>
        <v>2</v>
      </c>
      <c r="BL101" s="80" t="str">
        <f>REPLACE(INDEX(GroupVertices[Group], MATCH("~"&amp;Edges27[[#This Row],[Vertex 2]],GroupVertices[Vertex],0)),1,1,"")</f>
        <v>2</v>
      </c>
      <c r="BM101" s="49"/>
      <c r="BN101" s="50"/>
      <c r="BO101" s="49"/>
      <c r="BP101" s="50"/>
      <c r="BQ101" s="49"/>
      <c r="BR101" s="50"/>
      <c r="BS101" s="49"/>
      <c r="BT101" s="50"/>
      <c r="BU101" s="49"/>
    </row>
    <row r="102" spans="1:73" x14ac:dyDescent="0.25">
      <c r="A102" s="65" t="s">
        <v>292</v>
      </c>
      <c r="B102" s="65" t="s">
        <v>292</v>
      </c>
      <c r="C102" s="66"/>
      <c r="D102" s="67"/>
      <c r="E102" s="68"/>
      <c r="F102" s="69"/>
      <c r="G102" s="66"/>
      <c r="H102" s="70"/>
      <c r="I102" s="71"/>
      <c r="J102" s="71"/>
      <c r="K102" s="35" t="s">
        <v>65</v>
      </c>
      <c r="L102" s="79">
        <v>199</v>
      </c>
      <c r="M102" s="79"/>
      <c r="N102" s="73"/>
      <c r="O102" s="81" t="s">
        <v>196</v>
      </c>
      <c r="P102" s="83">
        <v>45228.741678240738</v>
      </c>
      <c r="Q102" s="81" t="s">
        <v>447</v>
      </c>
      <c r="R102" s="81">
        <v>6</v>
      </c>
      <c r="S102" s="81">
        <v>25</v>
      </c>
      <c r="T102" s="81">
        <v>0</v>
      </c>
      <c r="U102" s="81">
        <v>0</v>
      </c>
      <c r="V102" s="81">
        <v>2088</v>
      </c>
      <c r="W102" s="81"/>
      <c r="X102" s="86" t="str">
        <f>HYPERLINK("https://buff.ly/3Q29Dxl")</f>
        <v>https://buff.ly/3Q29Dxl</v>
      </c>
      <c r="Y102" s="81" t="s">
        <v>507</v>
      </c>
      <c r="Z102" s="81"/>
      <c r="AA102" s="81" t="s">
        <v>571</v>
      </c>
      <c r="AB102" s="81" t="s">
        <v>575</v>
      </c>
      <c r="AC102" s="84" t="s">
        <v>581</v>
      </c>
      <c r="AD102" s="81" t="s">
        <v>588</v>
      </c>
      <c r="AE102" s="86" t="str">
        <f>HYPERLINK("https://twitter.com/columbiaup/status/1718686137701585028")</f>
        <v>https://twitter.com/columbiaup/status/1718686137701585028</v>
      </c>
      <c r="AF102" s="83">
        <v>45228.741678240738</v>
      </c>
      <c r="AG102" s="89">
        <v>45228</v>
      </c>
      <c r="AH102" s="84" t="s">
        <v>689</v>
      </c>
      <c r="AI102" s="81" t="b">
        <v>0</v>
      </c>
      <c r="AJ102" s="81"/>
      <c r="AK102" s="81"/>
      <c r="AL102" s="81"/>
      <c r="AM102" s="81"/>
      <c r="AN102" s="81"/>
      <c r="AO102" s="81"/>
      <c r="AP102" s="81"/>
      <c r="AQ102" s="81" t="s">
        <v>740</v>
      </c>
      <c r="AR102" s="81"/>
      <c r="AS102" s="81"/>
      <c r="AT102" s="81"/>
      <c r="AU102" s="81"/>
      <c r="AV102" s="86" t="str">
        <f>HYPERLINK("https://pbs.twimg.com/media/F9n_7x2W8AAFr58.jpg")</f>
        <v>https://pbs.twimg.com/media/F9n_7x2W8AAFr58.jpg</v>
      </c>
      <c r="AW102" s="84" t="s">
        <v>843</v>
      </c>
      <c r="AX102" s="84" t="s">
        <v>843</v>
      </c>
      <c r="AY102" s="81"/>
      <c r="AZ102" s="84" t="s">
        <v>879</v>
      </c>
      <c r="BA102" s="84" t="s">
        <v>879</v>
      </c>
      <c r="BB102" s="84" t="s">
        <v>879</v>
      </c>
      <c r="BC102" s="84" t="s">
        <v>843</v>
      </c>
      <c r="BD102" s="81">
        <v>19692478</v>
      </c>
      <c r="BE102" s="81"/>
      <c r="BF102" s="81"/>
      <c r="BG102" s="81"/>
      <c r="BH102" s="81"/>
      <c r="BI102" s="81"/>
      <c r="BJ102">
        <v>1</v>
      </c>
      <c r="BK102" s="80" t="str">
        <f>REPLACE(INDEX(GroupVertices[Group], MATCH("~"&amp;Edges27[[#This Row],[Vertex 1]],GroupVertices[Vertex],0)),1,1,"")</f>
        <v>15</v>
      </c>
      <c r="BL102" s="80" t="str">
        <f>REPLACE(INDEX(GroupVertices[Group], MATCH("~"&amp;Edges27[[#This Row],[Vertex 2]],GroupVertices[Vertex],0)),1,1,"")</f>
        <v>15</v>
      </c>
      <c r="BM102" s="49">
        <v>2</v>
      </c>
      <c r="BN102" s="50">
        <v>8.3333333333333339</v>
      </c>
      <c r="BO102" s="49">
        <v>0</v>
      </c>
      <c r="BP102" s="50">
        <v>0</v>
      </c>
      <c r="BQ102" s="49">
        <v>0</v>
      </c>
      <c r="BR102" s="50">
        <v>0</v>
      </c>
      <c r="BS102" s="49">
        <v>12</v>
      </c>
      <c r="BT102" s="50">
        <v>50</v>
      </c>
      <c r="BU102" s="49">
        <v>24</v>
      </c>
    </row>
    <row r="103" spans="1:73" x14ac:dyDescent="0.25">
      <c r="A103" s="65" t="s">
        <v>293</v>
      </c>
      <c r="B103" s="65" t="s">
        <v>347</v>
      </c>
      <c r="C103" s="66"/>
      <c r="D103" s="67"/>
      <c r="E103" s="68"/>
      <c r="F103" s="69"/>
      <c r="G103" s="66"/>
      <c r="H103" s="70"/>
      <c r="I103" s="71"/>
      <c r="J103" s="71"/>
      <c r="K103" s="35" t="s">
        <v>65</v>
      </c>
      <c r="L103" s="79">
        <v>200</v>
      </c>
      <c r="M103" s="79"/>
      <c r="N103" s="73"/>
      <c r="O103" s="81" t="s">
        <v>367</v>
      </c>
      <c r="P103" s="83">
        <v>45230.601157407407</v>
      </c>
      <c r="Q103" s="81" t="s">
        <v>448</v>
      </c>
      <c r="R103" s="81">
        <v>1</v>
      </c>
      <c r="S103" s="81">
        <v>2</v>
      </c>
      <c r="T103" s="81">
        <v>0</v>
      </c>
      <c r="U103" s="81">
        <v>2</v>
      </c>
      <c r="V103" s="81">
        <v>1383</v>
      </c>
      <c r="W103" s="81"/>
      <c r="X103" s="86" t="str">
        <f>HYPERLINK("http://www.aejmc.com/home/wp-content/uploads/2023/10/NED-Video-Competition-Winners-2023.pdf")</f>
        <v>http://www.aejmc.com/home/wp-content/uploads/2023/10/NED-Video-Competition-Winners-2023.pdf</v>
      </c>
      <c r="Y103" s="81" t="s">
        <v>514</v>
      </c>
      <c r="Z103" s="81" t="s">
        <v>548</v>
      </c>
      <c r="AA103" s="81"/>
      <c r="AB103" s="81"/>
      <c r="AC103" s="84" t="s">
        <v>579</v>
      </c>
      <c r="AD103" s="81" t="s">
        <v>588</v>
      </c>
      <c r="AE103" s="86" t="str">
        <f>HYPERLINK("https://twitter.com/keontecoleman/status/1719359990362681403")</f>
        <v>https://twitter.com/keontecoleman/status/1719359990362681403</v>
      </c>
      <c r="AF103" s="83">
        <v>45230.601157407407</v>
      </c>
      <c r="AG103" s="89">
        <v>45230</v>
      </c>
      <c r="AH103" s="84" t="s">
        <v>690</v>
      </c>
      <c r="AI103" s="81" t="b">
        <v>0</v>
      </c>
      <c r="AJ103" s="81"/>
      <c r="AK103" s="81"/>
      <c r="AL103" s="81"/>
      <c r="AM103" s="81"/>
      <c r="AN103" s="81"/>
      <c r="AO103" s="81"/>
      <c r="AP103" s="81"/>
      <c r="AQ103" s="81"/>
      <c r="AR103" s="81"/>
      <c r="AS103" s="81"/>
      <c r="AT103" s="81"/>
      <c r="AU103" s="81"/>
      <c r="AV103" s="86" t="str">
        <f>HYPERLINK("https://pbs.twimg.com/profile_images/1554277220742463489/Y-mHzutC_normal.jpg")</f>
        <v>https://pbs.twimg.com/profile_images/1554277220742463489/Y-mHzutC_normal.jpg</v>
      </c>
      <c r="AW103" s="84" t="s">
        <v>844</v>
      </c>
      <c r="AX103" s="84" t="s">
        <v>844</v>
      </c>
      <c r="AY103" s="84" t="s">
        <v>877</v>
      </c>
      <c r="AZ103" s="84" t="s">
        <v>879</v>
      </c>
      <c r="BA103" s="84" t="s">
        <v>879</v>
      </c>
      <c r="BB103" s="84" t="s">
        <v>879</v>
      </c>
      <c r="BC103" s="84" t="s">
        <v>844</v>
      </c>
      <c r="BD103" s="81">
        <v>778037328</v>
      </c>
      <c r="BE103" s="81"/>
      <c r="BF103" s="81"/>
      <c r="BG103" s="81"/>
      <c r="BH103" s="81"/>
      <c r="BI103" s="81"/>
      <c r="BJ103">
        <v>1</v>
      </c>
      <c r="BK103" s="80" t="str">
        <f>REPLACE(INDEX(GroupVertices[Group], MATCH("~"&amp;Edges27[[#This Row],[Vertex 1]],GroupVertices[Vertex],0)),1,1,"")</f>
        <v>1</v>
      </c>
      <c r="BL103" s="80" t="str">
        <f>REPLACE(INDEX(GroupVertices[Group], MATCH("~"&amp;Edges27[[#This Row],[Vertex 2]],GroupVertices[Vertex],0)),1,1,"")</f>
        <v>1</v>
      </c>
      <c r="BM103" s="49"/>
      <c r="BN103" s="50"/>
      <c r="BO103" s="49"/>
      <c r="BP103" s="50"/>
      <c r="BQ103" s="49"/>
      <c r="BR103" s="50"/>
      <c r="BS103" s="49"/>
      <c r="BT103" s="50"/>
      <c r="BU103" s="49"/>
    </row>
    <row r="104" spans="1:73" x14ac:dyDescent="0.25">
      <c r="A104" s="65" t="s">
        <v>249</v>
      </c>
      <c r="B104" s="65" t="s">
        <v>249</v>
      </c>
      <c r="C104" s="66"/>
      <c r="D104" s="67"/>
      <c r="E104" s="68"/>
      <c r="F104" s="69"/>
      <c r="G104" s="66"/>
      <c r="H104" s="70"/>
      <c r="I104" s="71"/>
      <c r="J104" s="71"/>
      <c r="K104" s="35" t="s">
        <v>65</v>
      </c>
      <c r="L104" s="79">
        <v>211</v>
      </c>
      <c r="M104" s="79"/>
      <c r="N104" s="73"/>
      <c r="O104" s="81" t="s">
        <v>196</v>
      </c>
      <c r="P104" s="83">
        <v>45231.670092592591</v>
      </c>
      <c r="Q104" s="81" t="s">
        <v>449</v>
      </c>
      <c r="R104" s="81">
        <v>4</v>
      </c>
      <c r="S104" s="81">
        <v>7</v>
      </c>
      <c r="T104" s="81">
        <v>0</v>
      </c>
      <c r="U104" s="81">
        <v>1</v>
      </c>
      <c r="V104" s="81">
        <v>1602</v>
      </c>
      <c r="W104" s="84" t="s">
        <v>488</v>
      </c>
      <c r="X104" s="86" t="str">
        <f>HYPERLINK("https://journals.sagepub.com/doi/abs/10.1177/10776990231202702")</f>
        <v>https://journals.sagepub.com/doi/abs/10.1177/10776990231202702</v>
      </c>
      <c r="Y104" s="81" t="s">
        <v>506</v>
      </c>
      <c r="Z104" s="81"/>
      <c r="AA104" s="81"/>
      <c r="AB104" s="81"/>
      <c r="AC104" s="84" t="s">
        <v>579</v>
      </c>
      <c r="AD104" s="81" t="s">
        <v>588</v>
      </c>
      <c r="AE104" s="86" t="str">
        <f>HYPERLINK("https://twitter.com/jmcquarterly/status/1719747359171625099")</f>
        <v>https://twitter.com/jmcquarterly/status/1719747359171625099</v>
      </c>
      <c r="AF104" s="83">
        <v>45231.670092592591</v>
      </c>
      <c r="AG104" s="89">
        <v>45231</v>
      </c>
      <c r="AH104" s="84" t="s">
        <v>691</v>
      </c>
      <c r="AI104" s="81" t="b">
        <v>0</v>
      </c>
      <c r="AJ104" s="81"/>
      <c r="AK104" s="81"/>
      <c r="AL104" s="81"/>
      <c r="AM104" s="81"/>
      <c r="AN104" s="81"/>
      <c r="AO104" s="81"/>
      <c r="AP104" s="81"/>
      <c r="AQ104" s="81"/>
      <c r="AR104" s="81"/>
      <c r="AS104" s="81"/>
      <c r="AT104" s="81"/>
      <c r="AU104" s="81"/>
      <c r="AV104" s="86" t="str">
        <f>HYPERLINK("https://pbs.twimg.com/profile_images/1297970849820147712/3xME2yZ6_normal.jpg")</f>
        <v>https://pbs.twimg.com/profile_images/1297970849820147712/3xME2yZ6_normal.jpg</v>
      </c>
      <c r="AW104" s="84" t="s">
        <v>845</v>
      </c>
      <c r="AX104" s="84" t="s">
        <v>845</v>
      </c>
      <c r="AY104" s="81"/>
      <c r="AZ104" s="84" t="s">
        <v>879</v>
      </c>
      <c r="BA104" s="84" t="s">
        <v>879</v>
      </c>
      <c r="BB104" s="84" t="s">
        <v>879</v>
      </c>
      <c r="BC104" s="84" t="s">
        <v>845</v>
      </c>
      <c r="BD104" s="84" t="s">
        <v>876</v>
      </c>
      <c r="BE104" s="81"/>
      <c r="BF104" s="81"/>
      <c r="BG104" s="81"/>
      <c r="BH104" s="81"/>
      <c r="BI104" s="81"/>
      <c r="BJ104">
        <v>1</v>
      </c>
      <c r="BK104" s="80" t="str">
        <f>REPLACE(INDEX(GroupVertices[Group], MATCH("~"&amp;Edges27[[#This Row],[Vertex 1]],GroupVertices[Vertex],0)),1,1,"")</f>
        <v>3</v>
      </c>
      <c r="BL104" s="80" t="str">
        <f>REPLACE(INDEX(GroupVertices[Group], MATCH("~"&amp;Edges27[[#This Row],[Vertex 2]],GroupVertices[Vertex],0)),1,1,"")</f>
        <v>3</v>
      </c>
      <c r="BM104" s="49">
        <v>3</v>
      </c>
      <c r="BN104" s="50">
        <v>10.344827586206897</v>
      </c>
      <c r="BO104" s="49">
        <v>2</v>
      </c>
      <c r="BP104" s="50">
        <v>6.8965517241379306</v>
      </c>
      <c r="BQ104" s="49">
        <v>0</v>
      </c>
      <c r="BR104" s="50">
        <v>0</v>
      </c>
      <c r="BS104" s="49">
        <v>14</v>
      </c>
      <c r="BT104" s="50">
        <v>48.275862068965516</v>
      </c>
      <c r="BU104" s="49">
        <v>29</v>
      </c>
    </row>
    <row r="105" spans="1:73" x14ac:dyDescent="0.25">
      <c r="A105" s="65" t="s">
        <v>268</v>
      </c>
      <c r="B105" s="65" t="s">
        <v>249</v>
      </c>
      <c r="C105" s="66"/>
      <c r="D105" s="67"/>
      <c r="E105" s="68"/>
      <c r="F105" s="69"/>
      <c r="G105" s="66"/>
      <c r="H105" s="70"/>
      <c r="I105" s="71"/>
      <c r="J105" s="71"/>
      <c r="K105" s="35" t="s">
        <v>66</v>
      </c>
      <c r="L105" s="79">
        <v>225</v>
      </c>
      <c r="M105" s="79"/>
      <c r="N105" s="73"/>
      <c r="O105" s="81" t="s">
        <v>365</v>
      </c>
      <c r="P105" s="83">
        <v>45233.544027777774</v>
      </c>
      <c r="Q105" s="81" t="s">
        <v>374</v>
      </c>
      <c r="R105" s="81">
        <v>4</v>
      </c>
      <c r="S105" s="81">
        <v>0</v>
      </c>
      <c r="T105" s="81">
        <v>0</v>
      </c>
      <c r="U105" s="81">
        <v>0</v>
      </c>
      <c r="V105" s="81"/>
      <c r="W105" s="84" t="s">
        <v>470</v>
      </c>
      <c r="X105" s="81"/>
      <c r="Y105" s="81"/>
      <c r="Z105" s="81" t="s">
        <v>249</v>
      </c>
      <c r="AA105" s="81"/>
      <c r="AB105" s="81"/>
      <c r="AC105" s="84" t="s">
        <v>582</v>
      </c>
      <c r="AD105" s="81" t="s">
        <v>588</v>
      </c>
      <c r="AE105" s="86" t="str">
        <f>HYPERLINK("https://twitter.com/aejmc/status/1720426451046891612")</f>
        <v>https://twitter.com/aejmc/status/1720426451046891612</v>
      </c>
      <c r="AF105" s="83">
        <v>45233.544027777774</v>
      </c>
      <c r="AG105" s="89">
        <v>45233</v>
      </c>
      <c r="AH105" s="84" t="s">
        <v>692</v>
      </c>
      <c r="AI105" s="81"/>
      <c r="AJ105" s="81"/>
      <c r="AK105" s="81"/>
      <c r="AL105" s="81"/>
      <c r="AM105" s="81"/>
      <c r="AN105" s="81"/>
      <c r="AO105" s="81"/>
      <c r="AP105" s="81"/>
      <c r="AQ105" s="81"/>
      <c r="AR105" s="81"/>
      <c r="AS105" s="81"/>
      <c r="AT105" s="81"/>
      <c r="AU105" s="81"/>
      <c r="AV105" s="86" t="str">
        <f>HYPERLINK("https://pbs.twimg.com/profile_images/1559584982439444482/vOVkFGh3_normal.png")</f>
        <v>https://pbs.twimg.com/profile_images/1559584982439444482/vOVkFGh3_normal.png</v>
      </c>
      <c r="AW105" s="84" t="s">
        <v>846</v>
      </c>
      <c r="AX105" s="84" t="s">
        <v>846</v>
      </c>
      <c r="AY105" s="81"/>
      <c r="AZ105" s="84" t="s">
        <v>879</v>
      </c>
      <c r="BA105" s="84" t="s">
        <v>879</v>
      </c>
      <c r="BB105" s="84" t="s">
        <v>754</v>
      </c>
      <c r="BC105" s="84" t="s">
        <v>754</v>
      </c>
      <c r="BD105" s="81">
        <v>8442592</v>
      </c>
      <c r="BE105" s="81"/>
      <c r="BF105" s="81"/>
      <c r="BG105" s="81"/>
      <c r="BH105" s="81"/>
      <c r="BI105" s="81"/>
      <c r="BJ105">
        <v>7</v>
      </c>
      <c r="BK105" s="80" t="str">
        <f>REPLACE(INDEX(GroupVertices[Group], MATCH("~"&amp;Edges27[[#This Row],[Vertex 1]],GroupVertices[Vertex],0)),1,1,"")</f>
        <v>1</v>
      </c>
      <c r="BL105" s="80" t="str">
        <f>REPLACE(INDEX(GroupVertices[Group], MATCH("~"&amp;Edges27[[#This Row],[Vertex 2]],GroupVertices[Vertex],0)),1,1,"")</f>
        <v>3</v>
      </c>
      <c r="BM105" s="49">
        <v>3</v>
      </c>
      <c r="BN105" s="50">
        <v>12.5</v>
      </c>
      <c r="BO105" s="49">
        <v>0</v>
      </c>
      <c r="BP105" s="50">
        <v>0</v>
      </c>
      <c r="BQ105" s="49">
        <v>0</v>
      </c>
      <c r="BR105" s="50">
        <v>0</v>
      </c>
      <c r="BS105" s="49">
        <v>9</v>
      </c>
      <c r="BT105" s="50">
        <v>37.5</v>
      </c>
      <c r="BU105" s="49">
        <v>24</v>
      </c>
    </row>
    <row r="106" spans="1:73" x14ac:dyDescent="0.25">
      <c r="A106" s="65" t="s">
        <v>268</v>
      </c>
      <c r="B106" s="65" t="s">
        <v>249</v>
      </c>
      <c r="C106" s="66"/>
      <c r="D106" s="67"/>
      <c r="E106" s="68"/>
      <c r="F106" s="69"/>
      <c r="G106" s="66"/>
      <c r="H106" s="70"/>
      <c r="I106" s="71"/>
      <c r="J106" s="71"/>
      <c r="K106" s="35" t="s">
        <v>66</v>
      </c>
      <c r="L106" s="79">
        <v>226</v>
      </c>
      <c r="M106" s="79"/>
      <c r="N106" s="73"/>
      <c r="O106" s="81" t="s">
        <v>365</v>
      </c>
      <c r="P106" s="83">
        <v>45231.677418981482</v>
      </c>
      <c r="Q106" s="81" t="s">
        <v>424</v>
      </c>
      <c r="R106" s="81">
        <v>4</v>
      </c>
      <c r="S106" s="81">
        <v>0</v>
      </c>
      <c r="T106" s="81">
        <v>0</v>
      </c>
      <c r="U106" s="81">
        <v>0</v>
      </c>
      <c r="V106" s="81"/>
      <c r="W106" s="84" t="s">
        <v>488</v>
      </c>
      <c r="X106" s="81"/>
      <c r="Y106" s="81"/>
      <c r="Z106" s="81" t="s">
        <v>249</v>
      </c>
      <c r="AA106" s="81"/>
      <c r="AB106" s="81"/>
      <c r="AC106" s="84" t="s">
        <v>582</v>
      </c>
      <c r="AD106" s="81" t="s">
        <v>588</v>
      </c>
      <c r="AE106" s="86" t="str">
        <f>HYPERLINK("https://twitter.com/aejmc/status/1719750016036634739")</f>
        <v>https://twitter.com/aejmc/status/1719750016036634739</v>
      </c>
      <c r="AF106" s="83">
        <v>45231.677418981482</v>
      </c>
      <c r="AG106" s="89">
        <v>45231</v>
      </c>
      <c r="AH106" s="84" t="s">
        <v>693</v>
      </c>
      <c r="AI106" s="81" t="b">
        <v>0</v>
      </c>
      <c r="AJ106" s="81"/>
      <c r="AK106" s="81"/>
      <c r="AL106" s="81"/>
      <c r="AM106" s="81"/>
      <c r="AN106" s="81"/>
      <c r="AO106" s="81"/>
      <c r="AP106" s="81"/>
      <c r="AQ106" s="81"/>
      <c r="AR106" s="81"/>
      <c r="AS106" s="81"/>
      <c r="AT106" s="81"/>
      <c r="AU106" s="81"/>
      <c r="AV106" s="86" t="str">
        <f>HYPERLINK("https://pbs.twimg.com/profile_images/1559584982439444482/vOVkFGh3_normal.png")</f>
        <v>https://pbs.twimg.com/profile_images/1559584982439444482/vOVkFGh3_normal.png</v>
      </c>
      <c r="AW106" s="84" t="s">
        <v>847</v>
      </c>
      <c r="AX106" s="84" t="s">
        <v>847</v>
      </c>
      <c r="AY106" s="81"/>
      <c r="AZ106" s="84" t="s">
        <v>879</v>
      </c>
      <c r="BA106" s="84" t="s">
        <v>879</v>
      </c>
      <c r="BB106" s="84" t="s">
        <v>845</v>
      </c>
      <c r="BC106" s="84" t="s">
        <v>845</v>
      </c>
      <c r="BD106" s="81">
        <v>8442592</v>
      </c>
      <c r="BE106" s="81"/>
      <c r="BF106" s="81"/>
      <c r="BG106" s="81"/>
      <c r="BH106" s="81"/>
      <c r="BI106" s="81"/>
      <c r="BJ106">
        <v>7</v>
      </c>
      <c r="BK106" s="80" t="str">
        <f>REPLACE(INDEX(GroupVertices[Group], MATCH("~"&amp;Edges27[[#This Row],[Vertex 1]],GroupVertices[Vertex],0)),1,1,"")</f>
        <v>1</v>
      </c>
      <c r="BL106" s="80" t="str">
        <f>REPLACE(INDEX(GroupVertices[Group], MATCH("~"&amp;Edges27[[#This Row],[Vertex 2]],GroupVertices[Vertex],0)),1,1,"")</f>
        <v>3</v>
      </c>
      <c r="BM106" s="49">
        <v>2</v>
      </c>
      <c r="BN106" s="50">
        <v>11.111111111111111</v>
      </c>
      <c r="BO106" s="49">
        <v>1</v>
      </c>
      <c r="BP106" s="50">
        <v>5.5555555555555554</v>
      </c>
      <c r="BQ106" s="49">
        <v>0</v>
      </c>
      <c r="BR106" s="50">
        <v>0</v>
      </c>
      <c r="BS106" s="49">
        <v>8</v>
      </c>
      <c r="BT106" s="50">
        <v>44.444444444444443</v>
      </c>
      <c r="BU106" s="49">
        <v>18</v>
      </c>
    </row>
    <row r="107" spans="1:73" x14ac:dyDescent="0.25">
      <c r="A107" s="65" t="s">
        <v>294</v>
      </c>
      <c r="B107" s="65" t="s">
        <v>249</v>
      </c>
      <c r="C107" s="66"/>
      <c r="D107" s="67"/>
      <c r="E107" s="68"/>
      <c r="F107" s="69"/>
      <c r="G107" s="66"/>
      <c r="H107" s="70"/>
      <c r="I107" s="71"/>
      <c r="J107" s="71"/>
      <c r="K107" s="35" t="s">
        <v>66</v>
      </c>
      <c r="L107" s="79">
        <v>227</v>
      </c>
      <c r="M107" s="79"/>
      <c r="N107" s="73"/>
      <c r="O107" s="81" t="s">
        <v>365</v>
      </c>
      <c r="P107" s="83">
        <v>45233.590439814812</v>
      </c>
      <c r="Q107" s="81" t="s">
        <v>374</v>
      </c>
      <c r="R107" s="81">
        <v>4</v>
      </c>
      <c r="S107" s="81">
        <v>0</v>
      </c>
      <c r="T107" s="81">
        <v>0</v>
      </c>
      <c r="U107" s="81">
        <v>0</v>
      </c>
      <c r="V107" s="81"/>
      <c r="W107" s="84" t="s">
        <v>470</v>
      </c>
      <c r="X107" s="81"/>
      <c r="Y107" s="81"/>
      <c r="Z107" s="81" t="s">
        <v>249</v>
      </c>
      <c r="AA107" s="81"/>
      <c r="AB107" s="81"/>
      <c r="AC107" s="84" t="s">
        <v>582</v>
      </c>
      <c r="AD107" s="81" t="s">
        <v>588</v>
      </c>
      <c r="AE107" s="86" t="str">
        <f>HYPERLINK("https://twitter.com/aejmc_polcomm/status/1720443268767342998")</f>
        <v>https://twitter.com/aejmc_polcomm/status/1720443268767342998</v>
      </c>
      <c r="AF107" s="83">
        <v>45233.590439814812</v>
      </c>
      <c r="AG107" s="89">
        <v>45233</v>
      </c>
      <c r="AH107" s="84" t="s">
        <v>694</v>
      </c>
      <c r="AI107" s="81"/>
      <c r="AJ107" s="81"/>
      <c r="AK107" s="81"/>
      <c r="AL107" s="81"/>
      <c r="AM107" s="81"/>
      <c r="AN107" s="81"/>
      <c r="AO107" s="81"/>
      <c r="AP107" s="81"/>
      <c r="AQ107" s="81"/>
      <c r="AR107" s="81"/>
      <c r="AS107" s="81"/>
      <c r="AT107" s="81"/>
      <c r="AU107" s="81"/>
      <c r="AV107" s="86" t="str">
        <f>HYPERLINK("https://pbs.twimg.com/profile_images/1161687454635700227/2U3mrkeY_normal.png")</f>
        <v>https://pbs.twimg.com/profile_images/1161687454635700227/2U3mrkeY_normal.png</v>
      </c>
      <c r="AW107" s="84" t="s">
        <v>848</v>
      </c>
      <c r="AX107" s="84" t="s">
        <v>848</v>
      </c>
      <c r="AY107" s="81"/>
      <c r="AZ107" s="84" t="s">
        <v>879</v>
      </c>
      <c r="BA107" s="84" t="s">
        <v>879</v>
      </c>
      <c r="BB107" s="84" t="s">
        <v>754</v>
      </c>
      <c r="BC107" s="84" t="s">
        <v>754</v>
      </c>
      <c r="BD107" s="81">
        <v>382407937</v>
      </c>
      <c r="BE107" s="81"/>
      <c r="BF107" s="81"/>
      <c r="BG107" s="81"/>
      <c r="BH107" s="81"/>
      <c r="BI107" s="81"/>
      <c r="BJ107">
        <v>1</v>
      </c>
      <c r="BK107" s="80" t="str">
        <f>REPLACE(INDEX(GroupVertices[Group], MATCH("~"&amp;Edges27[[#This Row],[Vertex 1]],GroupVertices[Vertex],0)),1,1,"")</f>
        <v>6</v>
      </c>
      <c r="BL107" s="80" t="str">
        <f>REPLACE(INDEX(GroupVertices[Group], MATCH("~"&amp;Edges27[[#This Row],[Vertex 2]],GroupVertices[Vertex],0)),1,1,"")</f>
        <v>3</v>
      </c>
      <c r="BM107" s="49">
        <v>3</v>
      </c>
      <c r="BN107" s="50">
        <v>12.5</v>
      </c>
      <c r="BO107" s="49">
        <v>0</v>
      </c>
      <c r="BP107" s="50">
        <v>0</v>
      </c>
      <c r="BQ107" s="49">
        <v>0</v>
      </c>
      <c r="BR107" s="50">
        <v>0</v>
      </c>
      <c r="BS107" s="49">
        <v>9</v>
      </c>
      <c r="BT107" s="50">
        <v>37.5</v>
      </c>
      <c r="BU107" s="49">
        <v>24</v>
      </c>
    </row>
    <row r="108" spans="1:73" x14ac:dyDescent="0.25">
      <c r="A108" s="65" t="s">
        <v>295</v>
      </c>
      <c r="B108" s="65" t="s">
        <v>243</v>
      </c>
      <c r="C108" s="66"/>
      <c r="D108" s="67"/>
      <c r="E108" s="68"/>
      <c r="F108" s="69"/>
      <c r="G108" s="66"/>
      <c r="H108" s="70"/>
      <c r="I108" s="71"/>
      <c r="J108" s="71"/>
      <c r="K108" s="35" t="s">
        <v>65</v>
      </c>
      <c r="L108" s="79">
        <v>231</v>
      </c>
      <c r="M108" s="79"/>
      <c r="N108" s="73"/>
      <c r="O108" s="81" t="s">
        <v>366</v>
      </c>
      <c r="P108" s="83">
        <v>45230.604907407411</v>
      </c>
      <c r="Q108" s="81" t="s">
        <v>450</v>
      </c>
      <c r="R108" s="81">
        <v>1</v>
      </c>
      <c r="S108" s="81">
        <v>0</v>
      </c>
      <c r="T108" s="81">
        <v>0</v>
      </c>
      <c r="U108" s="81">
        <v>0</v>
      </c>
      <c r="V108" s="81"/>
      <c r="W108" s="81"/>
      <c r="X108" s="81"/>
      <c r="Y108" s="81"/>
      <c r="Z108" s="81" t="s">
        <v>549</v>
      </c>
      <c r="AA108" s="81"/>
      <c r="AB108" s="81"/>
      <c r="AC108" s="84" t="s">
        <v>580</v>
      </c>
      <c r="AD108" s="81" t="s">
        <v>588</v>
      </c>
      <c r="AE108" s="86" t="str">
        <f>HYPERLINK("https://twitter.com/newhousebdj/status/1719361350286069994")</f>
        <v>https://twitter.com/newhousebdj/status/1719361350286069994</v>
      </c>
      <c r="AF108" s="83">
        <v>45230.604907407411</v>
      </c>
      <c r="AG108" s="89">
        <v>45230</v>
      </c>
      <c r="AH108" s="84" t="s">
        <v>695</v>
      </c>
      <c r="AI108" s="81"/>
      <c r="AJ108" s="81"/>
      <c r="AK108" s="81"/>
      <c r="AL108" s="81"/>
      <c r="AM108" s="81"/>
      <c r="AN108" s="81"/>
      <c r="AO108" s="81"/>
      <c r="AP108" s="81"/>
      <c r="AQ108" s="81"/>
      <c r="AR108" s="81"/>
      <c r="AS108" s="81"/>
      <c r="AT108" s="81"/>
      <c r="AU108" s="81"/>
      <c r="AV108" s="86" t="str">
        <f>HYPERLINK("https://pbs.twimg.com/profile_images/1346224080589115394/tMwjkFTB_normal.jpg")</f>
        <v>https://pbs.twimg.com/profile_images/1346224080589115394/tMwjkFTB_normal.jpg</v>
      </c>
      <c r="AW108" s="84" t="s">
        <v>849</v>
      </c>
      <c r="AX108" s="84" t="s">
        <v>849</v>
      </c>
      <c r="AY108" s="81"/>
      <c r="AZ108" s="84" t="s">
        <v>879</v>
      </c>
      <c r="BA108" s="84" t="s">
        <v>879</v>
      </c>
      <c r="BB108" s="84" t="s">
        <v>844</v>
      </c>
      <c r="BC108" s="84" t="s">
        <v>844</v>
      </c>
      <c r="BD108" s="81">
        <v>42631107</v>
      </c>
      <c r="BE108" s="81"/>
      <c r="BF108" s="81"/>
      <c r="BG108" s="81"/>
      <c r="BH108" s="81"/>
      <c r="BI108" s="81"/>
      <c r="BJ108">
        <v>1</v>
      </c>
      <c r="BK108" s="80" t="str">
        <f>REPLACE(INDEX(GroupVertices[Group], MATCH("~"&amp;Edges27[[#This Row],[Vertex 1]],GroupVertices[Vertex],0)),1,1,"")</f>
        <v>1</v>
      </c>
      <c r="BL108" s="80" t="str">
        <f>REPLACE(INDEX(GroupVertices[Group], MATCH("~"&amp;Edges27[[#This Row],[Vertex 2]],GroupVertices[Vertex],0)),1,1,"")</f>
        <v>1</v>
      </c>
      <c r="BM108" s="49"/>
      <c r="BN108" s="50"/>
      <c r="BO108" s="49"/>
      <c r="BP108" s="50"/>
      <c r="BQ108" s="49"/>
      <c r="BR108" s="50"/>
      <c r="BS108" s="49"/>
      <c r="BT108" s="50"/>
      <c r="BU108" s="49"/>
    </row>
    <row r="109" spans="1:73" x14ac:dyDescent="0.25">
      <c r="A109" s="65" t="s">
        <v>268</v>
      </c>
      <c r="B109" s="65" t="s">
        <v>350</v>
      </c>
      <c r="C109" s="66"/>
      <c r="D109" s="67"/>
      <c r="E109" s="68"/>
      <c r="F109" s="69"/>
      <c r="G109" s="66"/>
      <c r="H109" s="70"/>
      <c r="I109" s="71"/>
      <c r="J109" s="71"/>
      <c r="K109" s="35" t="s">
        <v>65</v>
      </c>
      <c r="L109" s="79">
        <v>232</v>
      </c>
      <c r="M109" s="79"/>
      <c r="N109" s="73"/>
      <c r="O109" s="81" t="s">
        <v>370</v>
      </c>
      <c r="P109" s="83">
        <v>45230.763067129628</v>
      </c>
      <c r="Q109" s="81" t="s">
        <v>451</v>
      </c>
      <c r="R109" s="81">
        <v>0</v>
      </c>
      <c r="S109" s="81">
        <v>1</v>
      </c>
      <c r="T109" s="81">
        <v>0</v>
      </c>
      <c r="U109" s="81">
        <v>0</v>
      </c>
      <c r="V109" s="81">
        <v>591</v>
      </c>
      <c r="W109" s="81"/>
      <c r="X109" s="81"/>
      <c r="Y109" s="81"/>
      <c r="Z109" s="81" t="s">
        <v>350</v>
      </c>
      <c r="AA109" s="81"/>
      <c r="AB109" s="81"/>
      <c r="AC109" s="84" t="s">
        <v>582</v>
      </c>
      <c r="AD109" s="81" t="s">
        <v>588</v>
      </c>
      <c r="AE109" s="86" t="str">
        <f>HYPERLINK("https://twitter.com/aejmc/status/1719418665555153211")</f>
        <v>https://twitter.com/aejmc/status/1719418665555153211</v>
      </c>
      <c r="AF109" s="83">
        <v>45230.763067129628</v>
      </c>
      <c r="AG109" s="89">
        <v>45230</v>
      </c>
      <c r="AH109" s="84" t="s">
        <v>696</v>
      </c>
      <c r="AI109" s="81"/>
      <c r="AJ109" s="81"/>
      <c r="AK109" s="81"/>
      <c r="AL109" s="81"/>
      <c r="AM109" s="81"/>
      <c r="AN109" s="81"/>
      <c r="AO109" s="81"/>
      <c r="AP109" s="81"/>
      <c r="AQ109" s="81"/>
      <c r="AR109" s="81"/>
      <c r="AS109" s="81"/>
      <c r="AT109" s="81"/>
      <c r="AU109" s="81"/>
      <c r="AV109" s="86" t="str">
        <f>HYPERLINK("https://pbs.twimg.com/profile_images/1559584982439444482/vOVkFGh3_normal.png")</f>
        <v>https://pbs.twimg.com/profile_images/1559584982439444482/vOVkFGh3_normal.png</v>
      </c>
      <c r="AW109" s="84" t="s">
        <v>850</v>
      </c>
      <c r="AX109" s="84" t="s">
        <v>850</v>
      </c>
      <c r="AY109" s="81"/>
      <c r="AZ109" s="84" t="s">
        <v>879</v>
      </c>
      <c r="BA109" s="84" t="s">
        <v>844</v>
      </c>
      <c r="BB109" s="84" t="s">
        <v>879</v>
      </c>
      <c r="BC109" s="84" t="s">
        <v>844</v>
      </c>
      <c r="BD109" s="81">
        <v>8442592</v>
      </c>
      <c r="BE109" s="81"/>
      <c r="BF109" s="81"/>
      <c r="BG109" s="81"/>
      <c r="BH109" s="81"/>
      <c r="BI109" s="81"/>
      <c r="BJ109">
        <v>1</v>
      </c>
      <c r="BK109" s="80" t="str">
        <f>REPLACE(INDEX(GroupVertices[Group], MATCH("~"&amp;Edges27[[#This Row],[Vertex 1]],GroupVertices[Vertex],0)),1,1,"")</f>
        <v>1</v>
      </c>
      <c r="BL109" s="80" t="str">
        <f>REPLACE(INDEX(GroupVertices[Group], MATCH("~"&amp;Edges27[[#This Row],[Vertex 2]],GroupVertices[Vertex],0)),1,1,"")</f>
        <v>1</v>
      </c>
      <c r="BM109" s="49">
        <v>4</v>
      </c>
      <c r="BN109" s="50">
        <v>22.222222222222221</v>
      </c>
      <c r="BO109" s="49">
        <v>0</v>
      </c>
      <c r="BP109" s="50">
        <v>0</v>
      </c>
      <c r="BQ109" s="49">
        <v>0</v>
      </c>
      <c r="BR109" s="50">
        <v>0</v>
      </c>
      <c r="BS109" s="49">
        <v>4</v>
      </c>
      <c r="BT109" s="50">
        <v>22.222222222222221</v>
      </c>
      <c r="BU109" s="49">
        <v>18</v>
      </c>
    </row>
    <row r="110" spans="1:73" x14ac:dyDescent="0.25">
      <c r="A110" s="65" t="s">
        <v>296</v>
      </c>
      <c r="B110" s="65" t="s">
        <v>284</v>
      </c>
      <c r="C110" s="66"/>
      <c r="D110" s="67"/>
      <c r="E110" s="68"/>
      <c r="F110" s="69"/>
      <c r="G110" s="66"/>
      <c r="H110" s="70"/>
      <c r="I110" s="71"/>
      <c r="J110" s="71"/>
      <c r="K110" s="35" t="s">
        <v>66</v>
      </c>
      <c r="L110" s="79">
        <v>243</v>
      </c>
      <c r="M110" s="79"/>
      <c r="N110" s="73"/>
      <c r="O110" s="81" t="s">
        <v>365</v>
      </c>
      <c r="P110" s="83">
        <v>45230.663136574076</v>
      </c>
      <c r="Q110" s="81" t="s">
        <v>452</v>
      </c>
      <c r="R110" s="81">
        <v>1</v>
      </c>
      <c r="S110" s="81">
        <v>0</v>
      </c>
      <c r="T110" s="81">
        <v>0</v>
      </c>
      <c r="U110" s="81">
        <v>0</v>
      </c>
      <c r="V110" s="81"/>
      <c r="W110" s="81"/>
      <c r="X110" s="81"/>
      <c r="Y110" s="81"/>
      <c r="Z110" s="81" t="s">
        <v>284</v>
      </c>
      <c r="AA110" s="81"/>
      <c r="AB110" s="81"/>
      <c r="AC110" s="84" t="s">
        <v>586</v>
      </c>
      <c r="AD110" s="81" t="s">
        <v>588</v>
      </c>
      <c r="AE110" s="86" t="str">
        <f>HYPERLINK("https://twitter.com/natcomm/status/1719382452064391275")</f>
        <v>https://twitter.com/natcomm/status/1719382452064391275</v>
      </c>
      <c r="AF110" s="83">
        <v>45230.663136574076</v>
      </c>
      <c r="AG110" s="89">
        <v>45230</v>
      </c>
      <c r="AH110" s="84" t="s">
        <v>697</v>
      </c>
      <c r="AI110" s="81"/>
      <c r="AJ110" s="81"/>
      <c r="AK110" s="81"/>
      <c r="AL110" s="81"/>
      <c r="AM110" s="81"/>
      <c r="AN110" s="81"/>
      <c r="AO110" s="81"/>
      <c r="AP110" s="81"/>
      <c r="AQ110" s="81"/>
      <c r="AR110" s="81"/>
      <c r="AS110" s="81"/>
      <c r="AT110" s="81"/>
      <c r="AU110" s="81"/>
      <c r="AV110" s="86" t="str">
        <f>HYPERLINK("https://pbs.twimg.com/profile_images/1110927896435150849/M16LTNRp_normal.png")</f>
        <v>https://pbs.twimg.com/profile_images/1110927896435150849/M16LTNRp_normal.png</v>
      </c>
      <c r="AW110" s="84" t="s">
        <v>851</v>
      </c>
      <c r="AX110" s="84" t="s">
        <v>851</v>
      </c>
      <c r="AY110" s="81"/>
      <c r="AZ110" s="84" t="s">
        <v>879</v>
      </c>
      <c r="BA110" s="84" t="s">
        <v>879</v>
      </c>
      <c r="BB110" s="84" t="s">
        <v>833</v>
      </c>
      <c r="BC110" s="84" t="s">
        <v>833</v>
      </c>
      <c r="BD110" s="81">
        <v>17880989</v>
      </c>
      <c r="BE110" s="81"/>
      <c r="BF110" s="81"/>
      <c r="BG110" s="81"/>
      <c r="BH110" s="81"/>
      <c r="BI110" s="81"/>
      <c r="BJ110">
        <v>1</v>
      </c>
      <c r="BK110" s="80" t="str">
        <f>REPLACE(INDEX(GroupVertices[Group], MATCH("~"&amp;Edges27[[#This Row],[Vertex 1]],GroupVertices[Vertex],0)),1,1,"")</f>
        <v>9</v>
      </c>
      <c r="BL110" s="80" t="str">
        <f>REPLACE(INDEX(GroupVertices[Group], MATCH("~"&amp;Edges27[[#This Row],[Vertex 2]],GroupVertices[Vertex],0)),1,1,"")</f>
        <v>9</v>
      </c>
      <c r="BM110" s="49">
        <v>1</v>
      </c>
      <c r="BN110" s="50">
        <v>3.7037037037037037</v>
      </c>
      <c r="BO110" s="49">
        <v>0</v>
      </c>
      <c r="BP110" s="50">
        <v>0</v>
      </c>
      <c r="BQ110" s="49">
        <v>0</v>
      </c>
      <c r="BR110" s="50">
        <v>0</v>
      </c>
      <c r="BS110" s="49">
        <v>8</v>
      </c>
      <c r="BT110" s="50">
        <v>29.62962962962963</v>
      </c>
      <c r="BU110" s="49">
        <v>27</v>
      </c>
    </row>
    <row r="111" spans="1:73" x14ac:dyDescent="0.25">
      <c r="A111" s="65" t="s">
        <v>297</v>
      </c>
      <c r="B111" s="65" t="s">
        <v>306</v>
      </c>
      <c r="C111" s="66"/>
      <c r="D111" s="67"/>
      <c r="E111" s="68"/>
      <c r="F111" s="69"/>
      <c r="G111" s="66"/>
      <c r="H111" s="70"/>
      <c r="I111" s="71"/>
      <c r="J111" s="71"/>
      <c r="K111" s="35" t="s">
        <v>65</v>
      </c>
      <c r="L111" s="79">
        <v>244</v>
      </c>
      <c r="M111" s="79"/>
      <c r="N111" s="73"/>
      <c r="O111" s="81" t="s">
        <v>365</v>
      </c>
      <c r="P111" s="83">
        <v>45234.965081018519</v>
      </c>
      <c r="Q111" s="81" t="s">
        <v>383</v>
      </c>
      <c r="R111" s="81">
        <v>4</v>
      </c>
      <c r="S111" s="81">
        <v>0</v>
      </c>
      <c r="T111" s="81">
        <v>0</v>
      </c>
      <c r="U111" s="81">
        <v>0</v>
      </c>
      <c r="V111" s="81"/>
      <c r="W111" s="81"/>
      <c r="X111" s="81"/>
      <c r="Y111" s="81"/>
      <c r="Z111" s="81" t="s">
        <v>306</v>
      </c>
      <c r="AA111" s="81"/>
      <c r="AB111" s="81"/>
      <c r="AC111" s="84" t="s">
        <v>580</v>
      </c>
      <c r="AD111" s="81" t="s">
        <v>588</v>
      </c>
      <c r="AE111" s="86" t="str">
        <f>HYPERLINK("https://twitter.com/ittefaqm/status/1720941421941694564")</f>
        <v>https://twitter.com/ittefaqm/status/1720941421941694564</v>
      </c>
      <c r="AF111" s="83">
        <v>45234.965081018519</v>
      </c>
      <c r="AG111" s="89">
        <v>45234</v>
      </c>
      <c r="AH111" s="84" t="s">
        <v>698</v>
      </c>
      <c r="AI111" s="81"/>
      <c r="AJ111" s="81"/>
      <c r="AK111" s="81"/>
      <c r="AL111" s="81"/>
      <c r="AM111" s="81"/>
      <c r="AN111" s="81"/>
      <c r="AO111" s="81"/>
      <c r="AP111" s="81"/>
      <c r="AQ111" s="81"/>
      <c r="AR111" s="81"/>
      <c r="AS111" s="81"/>
      <c r="AT111" s="81"/>
      <c r="AU111" s="81"/>
      <c r="AV111" s="86" t="str">
        <f>HYPERLINK("https://pbs.twimg.com/profile_images/1549199628058386433/iqbxJw_t_normal.jpg")</f>
        <v>https://pbs.twimg.com/profile_images/1549199628058386433/iqbxJw_t_normal.jpg</v>
      </c>
      <c r="AW111" s="84" t="s">
        <v>852</v>
      </c>
      <c r="AX111" s="84" t="s">
        <v>852</v>
      </c>
      <c r="AY111" s="81"/>
      <c r="AZ111" s="84" t="s">
        <v>879</v>
      </c>
      <c r="BA111" s="84" t="s">
        <v>879</v>
      </c>
      <c r="BB111" s="84" t="s">
        <v>870</v>
      </c>
      <c r="BC111" s="84" t="s">
        <v>870</v>
      </c>
      <c r="BD111" s="81">
        <v>2832986725</v>
      </c>
      <c r="BE111" s="81"/>
      <c r="BF111" s="81"/>
      <c r="BG111" s="81"/>
      <c r="BH111" s="81"/>
      <c r="BI111" s="81"/>
      <c r="BJ111">
        <v>1</v>
      </c>
      <c r="BK111" s="80" t="str">
        <f>REPLACE(INDEX(GroupVertices[Group], MATCH("~"&amp;Edges27[[#This Row],[Vertex 1]],GroupVertices[Vertex],0)),1,1,"")</f>
        <v>7</v>
      </c>
      <c r="BL111" s="80" t="str">
        <f>REPLACE(INDEX(GroupVertices[Group], MATCH("~"&amp;Edges27[[#This Row],[Vertex 2]],GroupVertices[Vertex],0)),1,1,"")</f>
        <v>7</v>
      </c>
      <c r="BM111" s="49">
        <v>1</v>
      </c>
      <c r="BN111" s="50">
        <v>4.5454545454545459</v>
      </c>
      <c r="BO111" s="49">
        <v>0</v>
      </c>
      <c r="BP111" s="50">
        <v>0</v>
      </c>
      <c r="BQ111" s="49">
        <v>0</v>
      </c>
      <c r="BR111" s="50">
        <v>0</v>
      </c>
      <c r="BS111" s="49">
        <v>14</v>
      </c>
      <c r="BT111" s="50">
        <v>63.636363636363633</v>
      </c>
      <c r="BU111" s="49">
        <v>22</v>
      </c>
    </row>
    <row r="112" spans="1:73" x14ac:dyDescent="0.25">
      <c r="A112" s="65" t="s">
        <v>298</v>
      </c>
      <c r="B112" s="65" t="s">
        <v>351</v>
      </c>
      <c r="C112" s="66"/>
      <c r="D112" s="67"/>
      <c r="E112" s="68"/>
      <c r="F112" s="69"/>
      <c r="G112" s="66"/>
      <c r="H112" s="70"/>
      <c r="I112" s="71"/>
      <c r="J112" s="71"/>
      <c r="K112" s="35" t="s">
        <v>65</v>
      </c>
      <c r="L112" s="79">
        <v>245</v>
      </c>
      <c r="M112" s="79"/>
      <c r="N112" s="73"/>
      <c r="O112" s="81" t="s">
        <v>370</v>
      </c>
      <c r="P112" s="83">
        <v>45228.872465277775</v>
      </c>
      <c r="Q112" s="81" t="s">
        <v>453</v>
      </c>
      <c r="R112" s="81">
        <v>0</v>
      </c>
      <c r="S112" s="81">
        <v>0</v>
      </c>
      <c r="T112" s="81">
        <v>0</v>
      </c>
      <c r="U112" s="81">
        <v>0</v>
      </c>
      <c r="V112" s="81">
        <v>320</v>
      </c>
      <c r="W112" s="84" t="s">
        <v>492</v>
      </c>
      <c r="X112" s="81"/>
      <c r="Y112" s="81"/>
      <c r="Z112" s="81" t="s">
        <v>550</v>
      </c>
      <c r="AA112" s="81"/>
      <c r="AB112" s="81"/>
      <c r="AC112" s="84" t="s">
        <v>580</v>
      </c>
      <c r="AD112" s="81" t="s">
        <v>588</v>
      </c>
      <c r="AE112" s="86" t="str">
        <f>HYPERLINK("https://twitter.com/jeremyhl/status/1718733533605196087")</f>
        <v>https://twitter.com/jeremyhl/status/1718733533605196087</v>
      </c>
      <c r="AF112" s="83">
        <v>45228.872465277775</v>
      </c>
      <c r="AG112" s="89">
        <v>45228</v>
      </c>
      <c r="AH112" s="84" t="s">
        <v>699</v>
      </c>
      <c r="AI112" s="81"/>
      <c r="AJ112" s="81"/>
      <c r="AK112" s="81"/>
      <c r="AL112" s="81"/>
      <c r="AM112" s="81"/>
      <c r="AN112" s="81"/>
      <c r="AO112" s="81"/>
      <c r="AP112" s="81"/>
      <c r="AQ112" s="81"/>
      <c r="AR112" s="81"/>
      <c r="AS112" s="81"/>
      <c r="AT112" s="81"/>
      <c r="AU112" s="81"/>
      <c r="AV112" s="86" t="str">
        <f>HYPERLINK("https://pbs.twimg.com/profile_images/912667889395798022/pMoB2qc8_normal.jpg")</f>
        <v>https://pbs.twimg.com/profile_images/912667889395798022/pMoB2qc8_normal.jpg</v>
      </c>
      <c r="AW112" s="84" t="s">
        <v>853</v>
      </c>
      <c r="AX112" s="84" t="s">
        <v>853</v>
      </c>
      <c r="AY112" s="81"/>
      <c r="AZ112" s="84" t="s">
        <v>879</v>
      </c>
      <c r="BA112" s="84" t="s">
        <v>859</v>
      </c>
      <c r="BB112" s="84" t="s">
        <v>879</v>
      </c>
      <c r="BC112" s="84" t="s">
        <v>859</v>
      </c>
      <c r="BD112" s="81">
        <v>12006842</v>
      </c>
      <c r="BE112" s="81"/>
      <c r="BF112" s="81"/>
      <c r="BG112" s="81"/>
      <c r="BH112" s="81"/>
      <c r="BI112" s="81"/>
      <c r="BJ112">
        <v>1</v>
      </c>
      <c r="BK112" s="80" t="str">
        <f>REPLACE(INDEX(GroupVertices[Group], MATCH("~"&amp;Edges27[[#This Row],[Vertex 1]],GroupVertices[Vertex],0)),1,1,"")</f>
        <v>5</v>
      </c>
      <c r="BL112" s="80" t="str">
        <f>REPLACE(INDEX(GroupVertices[Group], MATCH("~"&amp;Edges27[[#This Row],[Vertex 2]],GroupVertices[Vertex],0)),1,1,"")</f>
        <v>5</v>
      </c>
      <c r="BM112" s="49"/>
      <c r="BN112" s="50"/>
      <c r="BO112" s="49"/>
      <c r="BP112" s="50"/>
      <c r="BQ112" s="49"/>
      <c r="BR112" s="50"/>
      <c r="BS112" s="49"/>
      <c r="BT112" s="50"/>
      <c r="BU112" s="49"/>
    </row>
    <row r="113" spans="1:73" x14ac:dyDescent="0.25">
      <c r="A113" s="65" t="s">
        <v>299</v>
      </c>
      <c r="B113" s="65" t="s">
        <v>312</v>
      </c>
      <c r="C113" s="66"/>
      <c r="D113" s="67"/>
      <c r="E113" s="68"/>
      <c r="F113" s="69"/>
      <c r="G113" s="66"/>
      <c r="H113" s="70"/>
      <c r="I113" s="71"/>
      <c r="J113" s="71"/>
      <c r="K113" s="35" t="s">
        <v>65</v>
      </c>
      <c r="L113" s="79">
        <v>247</v>
      </c>
      <c r="M113" s="79"/>
      <c r="N113" s="73"/>
      <c r="O113" s="81" t="s">
        <v>366</v>
      </c>
      <c r="P113" s="83">
        <v>45232.042453703703</v>
      </c>
      <c r="Q113" s="81" t="s">
        <v>379</v>
      </c>
      <c r="R113" s="81">
        <v>5</v>
      </c>
      <c r="S113" s="81">
        <v>0</v>
      </c>
      <c r="T113" s="81">
        <v>0</v>
      </c>
      <c r="U113" s="81">
        <v>0</v>
      </c>
      <c r="V113" s="81"/>
      <c r="W113" s="81"/>
      <c r="X113" s="81"/>
      <c r="Y113" s="81"/>
      <c r="Z113" s="81" t="s">
        <v>523</v>
      </c>
      <c r="AA113" s="81"/>
      <c r="AB113" s="81"/>
      <c r="AC113" s="84" t="s">
        <v>582</v>
      </c>
      <c r="AD113" s="81" t="s">
        <v>588</v>
      </c>
      <c r="AE113" s="86" t="str">
        <f>HYPERLINK("https://twitter.com/drsrivi/status/1719882297246167082")</f>
        <v>https://twitter.com/drsrivi/status/1719882297246167082</v>
      </c>
      <c r="AF113" s="83">
        <v>45232.042453703703</v>
      </c>
      <c r="AG113" s="89">
        <v>45232</v>
      </c>
      <c r="AH113" s="84" t="s">
        <v>700</v>
      </c>
      <c r="AI113" s="81"/>
      <c r="AJ113" s="81"/>
      <c r="AK113" s="81"/>
      <c r="AL113" s="81"/>
      <c r="AM113" s="81"/>
      <c r="AN113" s="81"/>
      <c r="AO113" s="81"/>
      <c r="AP113" s="81"/>
      <c r="AQ113" s="81"/>
      <c r="AR113" s="81"/>
      <c r="AS113" s="81"/>
      <c r="AT113" s="81"/>
      <c r="AU113" s="81"/>
      <c r="AV113" s="86" t="str">
        <f>HYPERLINK("https://pbs.twimg.com/profile_images/1708069099107139584/btI-fYmY_normal.jpg")</f>
        <v>https://pbs.twimg.com/profile_images/1708069099107139584/btI-fYmY_normal.jpg</v>
      </c>
      <c r="AW113" s="84" t="s">
        <v>854</v>
      </c>
      <c r="AX113" s="84" t="s">
        <v>854</v>
      </c>
      <c r="AY113" s="81"/>
      <c r="AZ113" s="84" t="s">
        <v>879</v>
      </c>
      <c r="BA113" s="84" t="s">
        <v>879</v>
      </c>
      <c r="BB113" s="84" t="s">
        <v>757</v>
      </c>
      <c r="BC113" s="84" t="s">
        <v>757</v>
      </c>
      <c r="BD113" s="81">
        <v>1485229458</v>
      </c>
      <c r="BE113" s="81"/>
      <c r="BF113" s="81"/>
      <c r="BG113" s="81"/>
      <c r="BH113" s="81"/>
      <c r="BI113" s="81"/>
      <c r="BJ113">
        <v>1</v>
      </c>
      <c r="BK113" s="80" t="str">
        <f>REPLACE(INDEX(GroupVertices[Group], MATCH("~"&amp;Edges27[[#This Row],[Vertex 1]],GroupVertices[Vertex],0)),1,1,"")</f>
        <v>2</v>
      </c>
      <c r="BL113" s="80" t="str">
        <f>REPLACE(INDEX(GroupVertices[Group], MATCH("~"&amp;Edges27[[#This Row],[Vertex 2]],GroupVertices[Vertex],0)),1,1,"")</f>
        <v>2</v>
      </c>
      <c r="BM113" s="49"/>
      <c r="BN113" s="50"/>
      <c r="BO113" s="49"/>
      <c r="BP113" s="50"/>
      <c r="BQ113" s="49"/>
      <c r="BR113" s="50"/>
      <c r="BS113" s="49"/>
      <c r="BT113" s="50"/>
      <c r="BU113" s="49"/>
    </row>
    <row r="114" spans="1:73" x14ac:dyDescent="0.25">
      <c r="A114" s="65" t="s">
        <v>252</v>
      </c>
      <c r="B114" s="65" t="s">
        <v>268</v>
      </c>
      <c r="C114" s="66"/>
      <c r="D114" s="67"/>
      <c r="E114" s="68"/>
      <c r="F114" s="69"/>
      <c r="G114" s="66"/>
      <c r="H114" s="70"/>
      <c r="I114" s="71"/>
      <c r="J114" s="71"/>
      <c r="K114" s="35" t="s">
        <v>65</v>
      </c>
      <c r="L114" s="79">
        <v>249</v>
      </c>
      <c r="M114" s="79"/>
      <c r="N114" s="73"/>
      <c r="O114" s="81" t="s">
        <v>367</v>
      </c>
      <c r="P114" s="83">
        <v>45231.131168981483</v>
      </c>
      <c r="Q114" s="81" t="s">
        <v>454</v>
      </c>
      <c r="R114" s="81">
        <v>2</v>
      </c>
      <c r="S114" s="81">
        <v>2</v>
      </c>
      <c r="T114" s="81">
        <v>0</v>
      </c>
      <c r="U114" s="81">
        <v>0</v>
      </c>
      <c r="V114" s="81">
        <v>291</v>
      </c>
      <c r="W114" s="84" t="s">
        <v>476</v>
      </c>
      <c r="X114" s="86" t="str">
        <f>HYPERLINK("https://employment.marquette.edu/postings/20457")</f>
        <v>https://employment.marquette.edu/postings/20457</v>
      </c>
      <c r="Y114" s="81" t="s">
        <v>500</v>
      </c>
      <c r="Z114" s="81" t="s">
        <v>268</v>
      </c>
      <c r="AA114" s="81"/>
      <c r="AB114" s="81"/>
      <c r="AC114" s="84" t="s">
        <v>580</v>
      </c>
      <c r="AD114" s="81" t="s">
        <v>588</v>
      </c>
      <c r="AE114" s="86" t="str">
        <f>HYPERLINK("https://twitter.com/willthewordguy/status/1719552058796241046")</f>
        <v>https://twitter.com/willthewordguy/status/1719552058796241046</v>
      </c>
      <c r="AF114" s="83">
        <v>45231.131168981483</v>
      </c>
      <c r="AG114" s="89">
        <v>45231</v>
      </c>
      <c r="AH114" s="84" t="s">
        <v>701</v>
      </c>
      <c r="AI114" s="81" t="b">
        <v>0</v>
      </c>
      <c r="AJ114" s="81"/>
      <c r="AK114" s="81"/>
      <c r="AL114" s="81"/>
      <c r="AM114" s="81"/>
      <c r="AN114" s="81"/>
      <c r="AO114" s="81"/>
      <c r="AP114" s="81"/>
      <c r="AQ114" s="81"/>
      <c r="AR114" s="81"/>
      <c r="AS114" s="81"/>
      <c r="AT114" s="81"/>
      <c r="AU114" s="81"/>
      <c r="AV114" s="86" t="str">
        <f>HYPERLINK("https://pbs.twimg.com/profile_images/1331376273755664384/mF7tQg3B_normal.jpg")</f>
        <v>https://pbs.twimg.com/profile_images/1331376273755664384/mF7tQg3B_normal.jpg</v>
      </c>
      <c r="AW114" s="84" t="s">
        <v>855</v>
      </c>
      <c r="AX114" s="84" t="s">
        <v>855</v>
      </c>
      <c r="AY114" s="81"/>
      <c r="AZ114" s="84" t="s">
        <v>879</v>
      </c>
      <c r="BA114" s="84" t="s">
        <v>879</v>
      </c>
      <c r="BB114" s="84" t="s">
        <v>879</v>
      </c>
      <c r="BC114" s="84" t="s">
        <v>855</v>
      </c>
      <c r="BD114" s="81">
        <v>414179273</v>
      </c>
      <c r="BE114" s="81"/>
      <c r="BF114" s="81"/>
      <c r="BG114" s="81"/>
      <c r="BH114" s="81"/>
      <c r="BI114" s="81"/>
      <c r="BJ114">
        <v>8</v>
      </c>
      <c r="BK114" s="80" t="str">
        <f>REPLACE(INDEX(GroupVertices[Group], MATCH("~"&amp;Edges27[[#This Row],[Vertex 1]],GroupVertices[Vertex],0)),1,1,"")</f>
        <v>2</v>
      </c>
      <c r="BL114" s="80" t="str">
        <f>REPLACE(INDEX(GroupVertices[Group], MATCH("~"&amp;Edges27[[#This Row],[Vertex 2]],GroupVertices[Vertex],0)),1,1,"")</f>
        <v>1</v>
      </c>
      <c r="BM114" s="49">
        <v>0</v>
      </c>
      <c r="BN114" s="50">
        <v>0</v>
      </c>
      <c r="BO114" s="49">
        <v>0</v>
      </c>
      <c r="BP114" s="50">
        <v>0</v>
      </c>
      <c r="BQ114" s="49">
        <v>0</v>
      </c>
      <c r="BR114" s="50">
        <v>0</v>
      </c>
      <c r="BS114" s="49">
        <v>9</v>
      </c>
      <c r="BT114" s="50">
        <v>90</v>
      </c>
      <c r="BU114" s="49">
        <v>10</v>
      </c>
    </row>
    <row r="115" spans="1:73" x14ac:dyDescent="0.25">
      <c r="A115" s="65" t="s">
        <v>252</v>
      </c>
      <c r="B115" s="65" t="s">
        <v>268</v>
      </c>
      <c r="C115" s="66"/>
      <c r="D115" s="67"/>
      <c r="E115" s="68"/>
      <c r="F115" s="69"/>
      <c r="G115" s="66"/>
      <c r="H115" s="70"/>
      <c r="I115" s="71"/>
      <c r="J115" s="71"/>
      <c r="K115" s="35" t="s">
        <v>65</v>
      </c>
      <c r="L115" s="79">
        <v>250</v>
      </c>
      <c r="M115" s="79"/>
      <c r="N115" s="73"/>
      <c r="O115" s="81" t="s">
        <v>367</v>
      </c>
      <c r="P115" s="83">
        <v>45233.678136574075</v>
      </c>
      <c r="Q115" s="81" t="s">
        <v>455</v>
      </c>
      <c r="R115" s="81">
        <v>1</v>
      </c>
      <c r="S115" s="81">
        <v>3</v>
      </c>
      <c r="T115" s="81">
        <v>0</v>
      </c>
      <c r="U115" s="81">
        <v>0</v>
      </c>
      <c r="V115" s="81">
        <v>295</v>
      </c>
      <c r="W115" s="84" t="s">
        <v>474</v>
      </c>
      <c r="X115" s="86" t="str">
        <f>HYPERLINK("https://www.higheredjobs.com/faculty/details.cfm?JobCode=178596886")</f>
        <v>https://www.higheredjobs.com/faculty/details.cfm?JobCode=178596886</v>
      </c>
      <c r="Y115" s="81" t="s">
        <v>498</v>
      </c>
      <c r="Z115" s="81" t="s">
        <v>268</v>
      </c>
      <c r="AA115" s="81"/>
      <c r="AB115" s="81"/>
      <c r="AC115" s="84" t="s">
        <v>580</v>
      </c>
      <c r="AD115" s="81" t="s">
        <v>588</v>
      </c>
      <c r="AE115" s="86" t="str">
        <f>HYPERLINK("https://twitter.com/willthewordguy/status/1720475048329228593")</f>
        <v>https://twitter.com/willthewordguy/status/1720475048329228593</v>
      </c>
      <c r="AF115" s="83">
        <v>45233.678136574075</v>
      </c>
      <c r="AG115" s="89">
        <v>45233</v>
      </c>
      <c r="AH115" s="84" t="s">
        <v>702</v>
      </c>
      <c r="AI115" s="81" t="b">
        <v>0</v>
      </c>
      <c r="AJ115" s="81"/>
      <c r="AK115" s="81"/>
      <c r="AL115" s="81"/>
      <c r="AM115" s="81"/>
      <c r="AN115" s="81"/>
      <c r="AO115" s="81"/>
      <c r="AP115" s="81"/>
      <c r="AQ115" s="81"/>
      <c r="AR115" s="81"/>
      <c r="AS115" s="81"/>
      <c r="AT115" s="81"/>
      <c r="AU115" s="81"/>
      <c r="AV115" s="86" t="str">
        <f>HYPERLINK("https://pbs.twimg.com/profile_images/1331376273755664384/mF7tQg3B_normal.jpg")</f>
        <v>https://pbs.twimg.com/profile_images/1331376273755664384/mF7tQg3B_normal.jpg</v>
      </c>
      <c r="AW115" s="84" t="s">
        <v>856</v>
      </c>
      <c r="AX115" s="84" t="s">
        <v>856</v>
      </c>
      <c r="AY115" s="81"/>
      <c r="AZ115" s="84" t="s">
        <v>879</v>
      </c>
      <c r="BA115" s="84" t="s">
        <v>879</v>
      </c>
      <c r="BB115" s="84" t="s">
        <v>879</v>
      </c>
      <c r="BC115" s="84" t="s">
        <v>856</v>
      </c>
      <c r="BD115" s="81">
        <v>414179273</v>
      </c>
      <c r="BE115" s="81"/>
      <c r="BF115" s="81"/>
      <c r="BG115" s="81"/>
      <c r="BH115" s="81"/>
      <c r="BI115" s="81"/>
      <c r="BJ115">
        <v>8</v>
      </c>
      <c r="BK115" s="80" t="str">
        <f>REPLACE(INDEX(GroupVertices[Group], MATCH("~"&amp;Edges27[[#This Row],[Vertex 1]],GroupVertices[Vertex],0)),1,1,"")</f>
        <v>2</v>
      </c>
      <c r="BL115" s="80" t="str">
        <f>REPLACE(INDEX(GroupVertices[Group], MATCH("~"&amp;Edges27[[#This Row],[Vertex 2]],GroupVertices[Vertex],0)),1,1,"")</f>
        <v>1</v>
      </c>
      <c r="BM115" s="49">
        <v>0</v>
      </c>
      <c r="BN115" s="50">
        <v>0</v>
      </c>
      <c r="BO115" s="49">
        <v>0</v>
      </c>
      <c r="BP115" s="50">
        <v>0</v>
      </c>
      <c r="BQ115" s="49">
        <v>0</v>
      </c>
      <c r="BR115" s="50">
        <v>0</v>
      </c>
      <c r="BS115" s="49">
        <v>6</v>
      </c>
      <c r="BT115" s="50">
        <v>85.714285714285708</v>
      </c>
      <c r="BU115" s="49">
        <v>7</v>
      </c>
    </row>
    <row r="116" spans="1:73" x14ac:dyDescent="0.25">
      <c r="A116" s="65" t="s">
        <v>252</v>
      </c>
      <c r="B116" s="65" t="s">
        <v>268</v>
      </c>
      <c r="C116" s="66"/>
      <c r="D116" s="67"/>
      <c r="E116" s="68"/>
      <c r="F116" s="69"/>
      <c r="G116" s="66"/>
      <c r="H116" s="70"/>
      <c r="I116" s="71"/>
      <c r="J116" s="71"/>
      <c r="K116" s="35" t="s">
        <v>65</v>
      </c>
      <c r="L116" s="79">
        <v>252</v>
      </c>
      <c r="M116" s="79"/>
      <c r="N116" s="73"/>
      <c r="O116" s="81" t="s">
        <v>367</v>
      </c>
      <c r="P116" s="83">
        <v>45233.678900462961</v>
      </c>
      <c r="Q116" s="81" t="s">
        <v>456</v>
      </c>
      <c r="R116" s="81">
        <v>0</v>
      </c>
      <c r="S116" s="81">
        <v>1</v>
      </c>
      <c r="T116" s="81">
        <v>0</v>
      </c>
      <c r="U116" s="81">
        <v>0</v>
      </c>
      <c r="V116" s="81">
        <v>119</v>
      </c>
      <c r="W116" s="84" t="s">
        <v>474</v>
      </c>
      <c r="X116" s="86" t="str">
        <f>HYPERLINK("https://www.higheredjobs.com/faculty/details.cfm?JobCode=178596185")</f>
        <v>https://www.higheredjobs.com/faculty/details.cfm?JobCode=178596185</v>
      </c>
      <c r="Y116" s="81" t="s">
        <v>498</v>
      </c>
      <c r="Z116" s="81" t="s">
        <v>268</v>
      </c>
      <c r="AA116" s="81"/>
      <c r="AB116" s="81"/>
      <c r="AC116" s="84" t="s">
        <v>580</v>
      </c>
      <c r="AD116" s="81" t="s">
        <v>588</v>
      </c>
      <c r="AE116" s="86" t="str">
        <f>HYPERLINK("https://twitter.com/willthewordguy/status/1720475325337854362")</f>
        <v>https://twitter.com/willthewordguy/status/1720475325337854362</v>
      </c>
      <c r="AF116" s="83">
        <v>45233.678900462961</v>
      </c>
      <c r="AG116" s="89">
        <v>45233</v>
      </c>
      <c r="AH116" s="84" t="s">
        <v>703</v>
      </c>
      <c r="AI116" s="81" t="b">
        <v>0</v>
      </c>
      <c r="AJ116" s="81"/>
      <c r="AK116" s="81"/>
      <c r="AL116" s="81"/>
      <c r="AM116" s="81"/>
      <c r="AN116" s="81"/>
      <c r="AO116" s="81"/>
      <c r="AP116" s="81"/>
      <c r="AQ116" s="81"/>
      <c r="AR116" s="81"/>
      <c r="AS116" s="81"/>
      <c r="AT116" s="81"/>
      <c r="AU116" s="81"/>
      <c r="AV116" s="86" t="str">
        <f>HYPERLINK("https://pbs.twimg.com/profile_images/1331376273755664384/mF7tQg3B_normal.jpg")</f>
        <v>https://pbs.twimg.com/profile_images/1331376273755664384/mF7tQg3B_normal.jpg</v>
      </c>
      <c r="AW116" s="84" t="s">
        <v>857</v>
      </c>
      <c r="AX116" s="84" t="s">
        <v>857</v>
      </c>
      <c r="AY116" s="81"/>
      <c r="AZ116" s="84" t="s">
        <v>879</v>
      </c>
      <c r="BA116" s="84" t="s">
        <v>879</v>
      </c>
      <c r="BB116" s="84" t="s">
        <v>879</v>
      </c>
      <c r="BC116" s="84" t="s">
        <v>857</v>
      </c>
      <c r="BD116" s="81">
        <v>414179273</v>
      </c>
      <c r="BE116" s="81"/>
      <c r="BF116" s="81"/>
      <c r="BG116" s="81"/>
      <c r="BH116" s="81"/>
      <c r="BI116" s="81"/>
      <c r="BJ116">
        <v>8</v>
      </c>
      <c r="BK116" s="80" t="str">
        <f>REPLACE(INDEX(GroupVertices[Group], MATCH("~"&amp;Edges27[[#This Row],[Vertex 1]],GroupVertices[Vertex],0)),1,1,"")</f>
        <v>2</v>
      </c>
      <c r="BL116" s="80" t="str">
        <f>REPLACE(INDEX(GroupVertices[Group], MATCH("~"&amp;Edges27[[#This Row],[Vertex 2]],GroupVertices[Vertex],0)),1,1,"")</f>
        <v>1</v>
      </c>
      <c r="BM116" s="49">
        <v>0</v>
      </c>
      <c r="BN116" s="50">
        <v>0</v>
      </c>
      <c r="BO116" s="49">
        <v>0</v>
      </c>
      <c r="BP116" s="50">
        <v>0</v>
      </c>
      <c r="BQ116" s="49">
        <v>0</v>
      </c>
      <c r="BR116" s="50">
        <v>0</v>
      </c>
      <c r="BS116" s="49">
        <v>6</v>
      </c>
      <c r="BT116" s="50">
        <v>100</v>
      </c>
      <c r="BU116" s="49">
        <v>6</v>
      </c>
    </row>
    <row r="117" spans="1:73" x14ac:dyDescent="0.25">
      <c r="A117" s="65" t="s">
        <v>252</v>
      </c>
      <c r="B117" s="65" t="s">
        <v>268</v>
      </c>
      <c r="C117" s="66"/>
      <c r="D117" s="67"/>
      <c r="E117" s="68"/>
      <c r="F117" s="69"/>
      <c r="G117" s="66"/>
      <c r="H117" s="70"/>
      <c r="I117" s="71"/>
      <c r="J117" s="71"/>
      <c r="K117" s="35" t="s">
        <v>65</v>
      </c>
      <c r="L117" s="79">
        <v>253</v>
      </c>
      <c r="M117" s="79"/>
      <c r="N117" s="73"/>
      <c r="O117" s="81" t="s">
        <v>367</v>
      </c>
      <c r="P117" s="83">
        <v>45233.678576388891</v>
      </c>
      <c r="Q117" s="81" t="s">
        <v>457</v>
      </c>
      <c r="R117" s="81">
        <v>0</v>
      </c>
      <c r="S117" s="81">
        <v>1</v>
      </c>
      <c r="T117" s="81">
        <v>0</v>
      </c>
      <c r="U117" s="81">
        <v>0</v>
      </c>
      <c r="V117" s="81">
        <v>98</v>
      </c>
      <c r="W117" s="84" t="s">
        <v>474</v>
      </c>
      <c r="X117" s="86" t="str">
        <f>HYPERLINK("https://www.higheredjobs.com/faculty/details.cfm?JobCode=178596364")</f>
        <v>https://www.higheredjobs.com/faculty/details.cfm?JobCode=178596364</v>
      </c>
      <c r="Y117" s="81" t="s">
        <v>498</v>
      </c>
      <c r="Z117" s="81" t="s">
        <v>268</v>
      </c>
      <c r="AA117" s="81"/>
      <c r="AB117" s="81"/>
      <c r="AC117" s="84" t="s">
        <v>580</v>
      </c>
      <c r="AD117" s="81" t="s">
        <v>588</v>
      </c>
      <c r="AE117" s="86" t="str">
        <f>HYPERLINK("https://twitter.com/willthewordguy/status/1720475208295887090")</f>
        <v>https://twitter.com/willthewordguy/status/1720475208295887090</v>
      </c>
      <c r="AF117" s="83">
        <v>45233.678576388891</v>
      </c>
      <c r="AG117" s="89">
        <v>45233</v>
      </c>
      <c r="AH117" s="84" t="s">
        <v>704</v>
      </c>
      <c r="AI117" s="81" t="b">
        <v>0</v>
      </c>
      <c r="AJ117" s="81"/>
      <c r="AK117" s="81"/>
      <c r="AL117" s="81"/>
      <c r="AM117" s="81"/>
      <c r="AN117" s="81"/>
      <c r="AO117" s="81"/>
      <c r="AP117" s="81"/>
      <c r="AQ117" s="81"/>
      <c r="AR117" s="81"/>
      <c r="AS117" s="81"/>
      <c r="AT117" s="81"/>
      <c r="AU117" s="81"/>
      <c r="AV117" s="86" t="str">
        <f>HYPERLINK("https://pbs.twimg.com/profile_images/1331376273755664384/mF7tQg3B_normal.jpg")</f>
        <v>https://pbs.twimg.com/profile_images/1331376273755664384/mF7tQg3B_normal.jpg</v>
      </c>
      <c r="AW117" s="84" t="s">
        <v>858</v>
      </c>
      <c r="AX117" s="84" t="s">
        <v>858</v>
      </c>
      <c r="AY117" s="81"/>
      <c r="AZ117" s="84" t="s">
        <v>879</v>
      </c>
      <c r="BA117" s="84" t="s">
        <v>879</v>
      </c>
      <c r="BB117" s="84" t="s">
        <v>879</v>
      </c>
      <c r="BC117" s="84" t="s">
        <v>858</v>
      </c>
      <c r="BD117" s="81">
        <v>414179273</v>
      </c>
      <c r="BE117" s="81"/>
      <c r="BF117" s="81"/>
      <c r="BG117" s="81"/>
      <c r="BH117" s="81"/>
      <c r="BI117" s="81"/>
      <c r="BJ117">
        <v>8</v>
      </c>
      <c r="BK117" s="80" t="str">
        <f>REPLACE(INDEX(GroupVertices[Group], MATCH("~"&amp;Edges27[[#This Row],[Vertex 1]],GroupVertices[Vertex],0)),1,1,"")</f>
        <v>2</v>
      </c>
      <c r="BL117" s="80" t="str">
        <f>REPLACE(INDEX(GroupVertices[Group], MATCH("~"&amp;Edges27[[#This Row],[Vertex 2]],GroupVertices[Vertex],0)),1,1,"")</f>
        <v>1</v>
      </c>
      <c r="BM117" s="49">
        <v>0</v>
      </c>
      <c r="BN117" s="50">
        <v>0</v>
      </c>
      <c r="BO117" s="49">
        <v>0</v>
      </c>
      <c r="BP117" s="50">
        <v>0</v>
      </c>
      <c r="BQ117" s="49">
        <v>0</v>
      </c>
      <c r="BR117" s="50">
        <v>0</v>
      </c>
      <c r="BS117" s="49">
        <v>6</v>
      </c>
      <c r="BT117" s="50">
        <v>100</v>
      </c>
      <c r="BU117" s="49">
        <v>6</v>
      </c>
    </row>
    <row r="118" spans="1:73" x14ac:dyDescent="0.25">
      <c r="A118" s="65" t="s">
        <v>300</v>
      </c>
      <c r="B118" s="65" t="s">
        <v>300</v>
      </c>
      <c r="C118" s="66"/>
      <c r="D118" s="67"/>
      <c r="E118" s="68"/>
      <c r="F118" s="69"/>
      <c r="G118" s="66"/>
      <c r="H118" s="70"/>
      <c r="I118" s="71"/>
      <c r="J118" s="71"/>
      <c r="K118" s="35" t="s">
        <v>65</v>
      </c>
      <c r="L118" s="79">
        <v>258</v>
      </c>
      <c r="M118" s="79"/>
      <c r="N118" s="73"/>
      <c r="O118" s="81" t="s">
        <v>196</v>
      </c>
      <c r="P118" s="83">
        <v>45227.622129629628</v>
      </c>
      <c r="Q118" s="81" t="s">
        <v>458</v>
      </c>
      <c r="R118" s="81">
        <v>57571</v>
      </c>
      <c r="S118" s="81">
        <v>134613</v>
      </c>
      <c r="T118" s="81">
        <v>4</v>
      </c>
      <c r="U118" s="81">
        <v>2433</v>
      </c>
      <c r="V118" s="81">
        <v>20869064</v>
      </c>
      <c r="W118" s="81"/>
      <c r="X118" s="81"/>
      <c r="Y118" s="81"/>
      <c r="Z118" s="81"/>
      <c r="AA118" s="81" t="s">
        <v>572</v>
      </c>
      <c r="AB118" s="81" t="s">
        <v>578</v>
      </c>
      <c r="AC118" s="84" t="s">
        <v>580</v>
      </c>
      <c r="AD118" s="81" t="s">
        <v>588</v>
      </c>
      <c r="AE118" s="86" t="str">
        <f>HYPERLINK("https://twitter.com/deviiette/status/1718280425640951818")</f>
        <v>https://twitter.com/deviiette/status/1718280425640951818</v>
      </c>
      <c r="AF118" s="83">
        <v>45227.622129629628</v>
      </c>
      <c r="AG118" s="89">
        <v>45227</v>
      </c>
      <c r="AH118" s="84" t="s">
        <v>705</v>
      </c>
      <c r="AI118" s="81" t="b">
        <v>0</v>
      </c>
      <c r="AJ118" s="81"/>
      <c r="AK118" s="81"/>
      <c r="AL118" s="81"/>
      <c r="AM118" s="81"/>
      <c r="AN118" s="81"/>
      <c r="AO118" s="81"/>
      <c r="AP118" s="81"/>
      <c r="AQ118" s="81" t="s">
        <v>741</v>
      </c>
      <c r="AR118" s="81">
        <v>22173</v>
      </c>
      <c r="AS118" s="81"/>
      <c r="AT118" s="81"/>
      <c r="AU118" s="81"/>
      <c r="AV118" s="86" t="str">
        <f>HYPERLINK("https://pbs.twimg.com/amplify_video_thumb/1717288412196085760/img/DoDTnfixG4fizR8t.jpg")</f>
        <v>https://pbs.twimg.com/amplify_video_thumb/1717288412196085760/img/DoDTnfixG4fizR8t.jpg</v>
      </c>
      <c r="AW118" s="84" t="s">
        <v>859</v>
      </c>
      <c r="AX118" s="84" t="s">
        <v>859</v>
      </c>
      <c r="AY118" s="81"/>
      <c r="AZ118" s="84" t="s">
        <v>879</v>
      </c>
      <c r="BA118" s="84" t="s">
        <v>879</v>
      </c>
      <c r="BB118" s="84" t="s">
        <v>879</v>
      </c>
      <c r="BC118" s="84" t="s">
        <v>859</v>
      </c>
      <c r="BD118" s="81">
        <v>147931182</v>
      </c>
      <c r="BE118" s="81"/>
      <c r="BF118" s="81"/>
      <c r="BG118" s="81"/>
      <c r="BH118" s="81"/>
      <c r="BI118" s="81"/>
      <c r="BJ118">
        <v>1</v>
      </c>
      <c r="BK118" s="80" t="str">
        <f>REPLACE(INDEX(GroupVertices[Group], MATCH("~"&amp;Edges27[[#This Row],[Vertex 1]],GroupVertices[Vertex],0)),1,1,"")</f>
        <v>5</v>
      </c>
      <c r="BL118" s="80" t="str">
        <f>REPLACE(INDEX(GroupVertices[Group], MATCH("~"&amp;Edges27[[#This Row],[Vertex 2]],GroupVertices[Vertex],0)),1,1,"")</f>
        <v>5</v>
      </c>
      <c r="BM118" s="49">
        <v>0</v>
      </c>
      <c r="BN118" s="50">
        <v>0</v>
      </c>
      <c r="BO118" s="49">
        <v>2</v>
      </c>
      <c r="BP118" s="50">
        <v>22.222222222222221</v>
      </c>
      <c r="BQ118" s="49">
        <v>0</v>
      </c>
      <c r="BR118" s="50">
        <v>0</v>
      </c>
      <c r="BS118" s="49">
        <v>5</v>
      </c>
      <c r="BT118" s="50">
        <v>55.555555555555557</v>
      </c>
      <c r="BU118" s="49">
        <v>9</v>
      </c>
    </row>
    <row r="119" spans="1:73" x14ac:dyDescent="0.25">
      <c r="A119" s="65" t="s">
        <v>301</v>
      </c>
      <c r="B119" s="65" t="s">
        <v>352</v>
      </c>
      <c r="C119" s="66"/>
      <c r="D119" s="67"/>
      <c r="E119" s="68"/>
      <c r="F119" s="69"/>
      <c r="G119" s="66"/>
      <c r="H119" s="70"/>
      <c r="I119" s="71"/>
      <c r="J119" s="71"/>
      <c r="K119" s="35" t="s">
        <v>65</v>
      </c>
      <c r="L119" s="79">
        <v>259</v>
      </c>
      <c r="M119" s="79"/>
      <c r="N119" s="73"/>
      <c r="O119" s="81" t="s">
        <v>367</v>
      </c>
      <c r="P119" s="83">
        <v>44993.371435185189</v>
      </c>
      <c r="Q119" s="81" t="s">
        <v>459</v>
      </c>
      <c r="R119" s="81">
        <v>6</v>
      </c>
      <c r="S119" s="81">
        <v>3</v>
      </c>
      <c r="T119" s="81">
        <v>1</v>
      </c>
      <c r="U119" s="81">
        <v>0</v>
      </c>
      <c r="V119" s="81">
        <v>124</v>
      </c>
      <c r="W119" s="84" t="s">
        <v>493</v>
      </c>
      <c r="X119" s="81"/>
      <c r="Y119" s="81"/>
      <c r="Z119" s="81" t="s">
        <v>551</v>
      </c>
      <c r="AA119" s="81"/>
      <c r="AB119" s="81"/>
      <c r="AC119" s="84" t="s">
        <v>579</v>
      </c>
      <c r="AD119" s="81" t="s">
        <v>588</v>
      </c>
      <c r="AE119" s="86" t="str">
        <f>HYPERLINK("https://twitter.com/michaelbathurst/status/1633390819326545921")</f>
        <v>https://twitter.com/michaelbathurst/status/1633390819326545921</v>
      </c>
      <c r="AF119" s="83">
        <v>44993.371435185189</v>
      </c>
      <c r="AG119" s="89">
        <v>44993</v>
      </c>
      <c r="AH119" s="84" t="s">
        <v>706</v>
      </c>
      <c r="AI119" s="81"/>
      <c r="AJ119" s="81" t="s">
        <v>719</v>
      </c>
      <c r="AK119" s="81" t="s">
        <v>720</v>
      </c>
      <c r="AL119" s="81" t="s">
        <v>721</v>
      </c>
      <c r="AM119" s="81" t="s">
        <v>722</v>
      </c>
      <c r="AN119" s="81" t="s">
        <v>723</v>
      </c>
      <c r="AO119" s="81" t="s">
        <v>724</v>
      </c>
      <c r="AP119" s="81" t="s">
        <v>725</v>
      </c>
      <c r="AQ119" s="81"/>
      <c r="AR119" s="81"/>
      <c r="AS119" s="81"/>
      <c r="AT119" s="81"/>
      <c r="AU119" s="81"/>
      <c r="AV119" s="86" t="str">
        <f>HYPERLINK("https://pbs.twimg.com/profile_images/1331610042748051458/8NtBN_eL_normal.jpg")</f>
        <v>https://pbs.twimg.com/profile_images/1331610042748051458/8NtBN_eL_normal.jpg</v>
      </c>
      <c r="AW119" s="84" t="s">
        <v>860</v>
      </c>
      <c r="AX119" s="84" t="s">
        <v>860</v>
      </c>
      <c r="AY119" s="81"/>
      <c r="AZ119" s="84" t="s">
        <v>879</v>
      </c>
      <c r="BA119" s="84" t="s">
        <v>879</v>
      </c>
      <c r="BB119" s="84" t="s">
        <v>879</v>
      </c>
      <c r="BC119" s="84" t="s">
        <v>860</v>
      </c>
      <c r="BD119" s="81">
        <v>37188645</v>
      </c>
      <c r="BE119" s="81"/>
      <c r="BF119" s="81"/>
      <c r="BG119" s="81"/>
      <c r="BH119" s="81"/>
      <c r="BI119" s="81"/>
      <c r="BJ119">
        <v>1</v>
      </c>
      <c r="BK119" s="80" t="str">
        <f>REPLACE(INDEX(GroupVertices[Group], MATCH("~"&amp;Edges27[[#This Row],[Vertex 1]],GroupVertices[Vertex],0)),1,1,"")</f>
        <v>5</v>
      </c>
      <c r="BL119" s="80" t="str">
        <f>REPLACE(INDEX(GroupVertices[Group], MATCH("~"&amp;Edges27[[#This Row],[Vertex 2]],GroupVertices[Vertex],0)),1,1,"")</f>
        <v>5</v>
      </c>
      <c r="BM119" s="49"/>
      <c r="BN119" s="50"/>
      <c r="BO119" s="49"/>
      <c r="BP119" s="50"/>
      <c r="BQ119" s="49"/>
      <c r="BR119" s="50"/>
      <c r="BS119" s="49"/>
      <c r="BT119" s="50"/>
      <c r="BU119" s="49"/>
    </row>
    <row r="120" spans="1:73" x14ac:dyDescent="0.25">
      <c r="A120" s="65" t="s">
        <v>268</v>
      </c>
      <c r="B120" s="65" t="s">
        <v>308</v>
      </c>
      <c r="C120" s="66"/>
      <c r="D120" s="67"/>
      <c r="E120" s="68"/>
      <c r="F120" s="69"/>
      <c r="G120" s="66"/>
      <c r="H120" s="70"/>
      <c r="I120" s="71"/>
      <c r="J120" s="71"/>
      <c r="K120" s="35" t="s">
        <v>65</v>
      </c>
      <c r="L120" s="79">
        <v>261</v>
      </c>
      <c r="M120" s="79"/>
      <c r="N120" s="73"/>
      <c r="O120" s="81" t="s">
        <v>366</v>
      </c>
      <c r="P120" s="83">
        <v>45229.644074074073</v>
      </c>
      <c r="Q120" s="81" t="s">
        <v>460</v>
      </c>
      <c r="R120" s="81">
        <v>4</v>
      </c>
      <c r="S120" s="81">
        <v>0</v>
      </c>
      <c r="T120" s="81">
        <v>0</v>
      </c>
      <c r="U120" s="81">
        <v>0</v>
      </c>
      <c r="V120" s="81"/>
      <c r="W120" s="84" t="s">
        <v>494</v>
      </c>
      <c r="X120" s="81"/>
      <c r="Y120" s="81"/>
      <c r="Z120" s="81" t="s">
        <v>552</v>
      </c>
      <c r="AA120" s="81"/>
      <c r="AB120" s="81"/>
      <c r="AC120" s="84" t="s">
        <v>582</v>
      </c>
      <c r="AD120" s="81" t="s">
        <v>588</v>
      </c>
      <c r="AE120" s="86" t="str">
        <f>HYPERLINK("https://twitter.com/aejmc/status/1719013154087190717")</f>
        <v>https://twitter.com/aejmc/status/1719013154087190717</v>
      </c>
      <c r="AF120" s="83">
        <v>45229.644074074073</v>
      </c>
      <c r="AG120" s="89">
        <v>45229</v>
      </c>
      <c r="AH120" s="84" t="s">
        <v>707</v>
      </c>
      <c r="AI120" s="81"/>
      <c r="AJ120" s="81"/>
      <c r="AK120" s="81"/>
      <c r="AL120" s="81"/>
      <c r="AM120" s="81"/>
      <c r="AN120" s="81"/>
      <c r="AO120" s="81"/>
      <c r="AP120" s="81"/>
      <c r="AQ120" s="81"/>
      <c r="AR120" s="81"/>
      <c r="AS120" s="81"/>
      <c r="AT120" s="81"/>
      <c r="AU120" s="81"/>
      <c r="AV120" s="86" t="str">
        <f>HYPERLINK("https://pbs.twimg.com/profile_images/1559584982439444482/vOVkFGh3_normal.png")</f>
        <v>https://pbs.twimg.com/profile_images/1559584982439444482/vOVkFGh3_normal.png</v>
      </c>
      <c r="AW120" s="84" t="s">
        <v>861</v>
      </c>
      <c r="AX120" s="84" t="s">
        <v>861</v>
      </c>
      <c r="AY120" s="81"/>
      <c r="AZ120" s="84" t="s">
        <v>879</v>
      </c>
      <c r="BA120" s="84" t="s">
        <v>879</v>
      </c>
      <c r="BB120" s="84" t="s">
        <v>872</v>
      </c>
      <c r="BC120" s="84" t="s">
        <v>872</v>
      </c>
      <c r="BD120" s="81">
        <v>8442592</v>
      </c>
      <c r="BE120" s="81"/>
      <c r="BF120" s="81"/>
      <c r="BG120" s="81"/>
      <c r="BH120" s="81"/>
      <c r="BI120" s="81"/>
      <c r="BJ120">
        <v>1</v>
      </c>
      <c r="BK120" s="80" t="str">
        <f>REPLACE(INDEX(GroupVertices[Group], MATCH("~"&amp;Edges27[[#This Row],[Vertex 1]],GroupVertices[Vertex],0)),1,1,"")</f>
        <v>1</v>
      </c>
      <c r="BL120" s="80" t="str">
        <f>REPLACE(INDEX(GroupVertices[Group], MATCH("~"&amp;Edges27[[#This Row],[Vertex 2]],GroupVertices[Vertex],0)),1,1,"")</f>
        <v>11</v>
      </c>
      <c r="BM120" s="49"/>
      <c r="BN120" s="50"/>
      <c r="BO120" s="49"/>
      <c r="BP120" s="50"/>
      <c r="BQ120" s="49"/>
      <c r="BR120" s="50"/>
      <c r="BS120" s="49"/>
      <c r="BT120" s="50"/>
      <c r="BU120" s="49"/>
    </row>
    <row r="121" spans="1:73" x14ac:dyDescent="0.25">
      <c r="A121" s="65" t="s">
        <v>268</v>
      </c>
      <c r="B121" s="65" t="s">
        <v>268</v>
      </c>
      <c r="C121" s="66"/>
      <c r="D121" s="67"/>
      <c r="E121" s="68"/>
      <c r="F121" s="69"/>
      <c r="G121" s="66"/>
      <c r="H121" s="70"/>
      <c r="I121" s="71"/>
      <c r="J121" s="71"/>
      <c r="K121" s="35" t="s">
        <v>65</v>
      </c>
      <c r="L121" s="79">
        <v>263</v>
      </c>
      <c r="M121" s="79"/>
      <c r="N121" s="73"/>
      <c r="O121" s="81" t="s">
        <v>196</v>
      </c>
      <c r="P121" s="83">
        <v>45233.700069444443</v>
      </c>
      <c r="Q121" s="81" t="s">
        <v>461</v>
      </c>
      <c r="R121" s="81">
        <v>3</v>
      </c>
      <c r="S121" s="81">
        <v>3</v>
      </c>
      <c r="T121" s="81">
        <v>0</v>
      </c>
      <c r="U121" s="81">
        <v>0</v>
      </c>
      <c r="V121" s="81">
        <v>889</v>
      </c>
      <c r="W121" s="81"/>
      <c r="X121" s="86" t="str">
        <f>HYPERLINK("https://www.aejmc.com/home/wp-content/uploads/2023/10/Eleanor-Blum-Distinguished-Service-to-Research-Award.pdf")</f>
        <v>https://www.aejmc.com/home/wp-content/uploads/2023/10/Eleanor-Blum-Distinguished-Service-to-Research-Award.pdf</v>
      </c>
      <c r="Y121" s="81" t="s">
        <v>514</v>
      </c>
      <c r="Z121" s="81"/>
      <c r="AA121" s="81"/>
      <c r="AB121" s="81"/>
      <c r="AC121" s="84" t="s">
        <v>582</v>
      </c>
      <c r="AD121" s="81" t="s">
        <v>588</v>
      </c>
      <c r="AE121" s="86" t="str">
        <f>HYPERLINK("https://twitter.com/aejmc/status/1720483000461181036")</f>
        <v>https://twitter.com/aejmc/status/1720483000461181036</v>
      </c>
      <c r="AF121" s="83">
        <v>45233.700069444443</v>
      </c>
      <c r="AG121" s="89">
        <v>45233</v>
      </c>
      <c r="AH121" s="84" t="s">
        <v>708</v>
      </c>
      <c r="AI121" s="81" t="b">
        <v>0</v>
      </c>
      <c r="AJ121" s="81"/>
      <c r="AK121" s="81"/>
      <c r="AL121" s="81"/>
      <c r="AM121" s="81"/>
      <c r="AN121" s="81"/>
      <c r="AO121" s="81"/>
      <c r="AP121" s="81"/>
      <c r="AQ121" s="81"/>
      <c r="AR121" s="81"/>
      <c r="AS121" s="81"/>
      <c r="AT121" s="81"/>
      <c r="AU121" s="81"/>
      <c r="AV121" s="86" t="str">
        <f>HYPERLINK("https://pbs.twimg.com/profile_images/1559584982439444482/vOVkFGh3_normal.png")</f>
        <v>https://pbs.twimg.com/profile_images/1559584982439444482/vOVkFGh3_normal.png</v>
      </c>
      <c r="AW121" s="84" t="s">
        <v>862</v>
      </c>
      <c r="AX121" s="84" t="s">
        <v>862</v>
      </c>
      <c r="AY121" s="81"/>
      <c r="AZ121" s="84" t="s">
        <v>879</v>
      </c>
      <c r="BA121" s="84" t="s">
        <v>879</v>
      </c>
      <c r="BB121" s="84" t="s">
        <v>879</v>
      </c>
      <c r="BC121" s="84" t="s">
        <v>862</v>
      </c>
      <c r="BD121" s="81">
        <v>8442592</v>
      </c>
      <c r="BE121" s="81"/>
      <c r="BF121" s="81"/>
      <c r="BG121" s="81"/>
      <c r="BH121" s="81"/>
      <c r="BI121" s="81"/>
      <c r="BJ121">
        <v>4</v>
      </c>
      <c r="BK121" s="80" t="str">
        <f>REPLACE(INDEX(GroupVertices[Group], MATCH("~"&amp;Edges27[[#This Row],[Vertex 1]],GroupVertices[Vertex],0)),1,1,"")</f>
        <v>1</v>
      </c>
      <c r="BL121" s="80" t="str">
        <f>REPLACE(INDEX(GroupVertices[Group], MATCH("~"&amp;Edges27[[#This Row],[Vertex 2]],GroupVertices[Vertex],0)),1,1,"")</f>
        <v>1</v>
      </c>
      <c r="BM121" s="49">
        <v>2</v>
      </c>
      <c r="BN121" s="50">
        <v>5.882352941176471</v>
      </c>
      <c r="BO121" s="49">
        <v>0</v>
      </c>
      <c r="BP121" s="50">
        <v>0</v>
      </c>
      <c r="BQ121" s="49">
        <v>0</v>
      </c>
      <c r="BR121" s="50">
        <v>0</v>
      </c>
      <c r="BS121" s="49">
        <v>20</v>
      </c>
      <c r="BT121" s="50">
        <v>58.823529411764703</v>
      </c>
      <c r="BU121" s="49">
        <v>34</v>
      </c>
    </row>
    <row r="122" spans="1:73" x14ac:dyDescent="0.25">
      <c r="A122" s="65" t="s">
        <v>268</v>
      </c>
      <c r="B122" s="65" t="s">
        <v>268</v>
      </c>
      <c r="C122" s="66"/>
      <c r="D122" s="67"/>
      <c r="E122" s="68"/>
      <c r="F122" s="69"/>
      <c r="G122" s="66"/>
      <c r="H122" s="70"/>
      <c r="I122" s="71"/>
      <c r="J122" s="71"/>
      <c r="K122" s="35" t="s">
        <v>65</v>
      </c>
      <c r="L122" s="79">
        <v>264</v>
      </c>
      <c r="M122" s="79"/>
      <c r="N122" s="73"/>
      <c r="O122" s="81" t="s">
        <v>196</v>
      </c>
      <c r="P122" s="83">
        <v>45230.809814814813</v>
      </c>
      <c r="Q122" s="81" t="s">
        <v>462</v>
      </c>
      <c r="R122" s="81">
        <v>1</v>
      </c>
      <c r="S122" s="81">
        <v>5</v>
      </c>
      <c r="T122" s="81">
        <v>1</v>
      </c>
      <c r="U122" s="81">
        <v>0</v>
      </c>
      <c r="V122" s="81">
        <v>841</v>
      </c>
      <c r="W122" s="81"/>
      <c r="X122" s="86" t="str">
        <f>HYPERLINK("https://www.aejmc.com/home/2023/09/resolution-four-2023/")</f>
        <v>https://www.aejmc.com/home/2023/09/resolution-four-2023/</v>
      </c>
      <c r="Y122" s="81" t="s">
        <v>514</v>
      </c>
      <c r="Z122" s="81"/>
      <c r="AA122" s="81"/>
      <c r="AB122" s="81"/>
      <c r="AC122" s="84" t="s">
        <v>582</v>
      </c>
      <c r="AD122" s="81" t="s">
        <v>588</v>
      </c>
      <c r="AE122" s="86" t="str">
        <f>HYPERLINK("https://twitter.com/aejmc/status/1719435606160265633")</f>
        <v>https://twitter.com/aejmc/status/1719435606160265633</v>
      </c>
      <c r="AF122" s="83">
        <v>45230.809814814813</v>
      </c>
      <c r="AG122" s="89">
        <v>45230</v>
      </c>
      <c r="AH122" s="84" t="s">
        <v>709</v>
      </c>
      <c r="AI122" s="81" t="b">
        <v>0</v>
      </c>
      <c r="AJ122" s="81"/>
      <c r="AK122" s="81"/>
      <c r="AL122" s="81"/>
      <c r="AM122" s="81"/>
      <c r="AN122" s="81"/>
      <c r="AO122" s="81"/>
      <c r="AP122" s="81"/>
      <c r="AQ122" s="81"/>
      <c r="AR122" s="81"/>
      <c r="AS122" s="81"/>
      <c r="AT122" s="81"/>
      <c r="AU122" s="81"/>
      <c r="AV122" s="86" t="str">
        <f>HYPERLINK("https://pbs.twimg.com/profile_images/1559584982439444482/vOVkFGh3_normal.png")</f>
        <v>https://pbs.twimg.com/profile_images/1559584982439444482/vOVkFGh3_normal.png</v>
      </c>
      <c r="AW122" s="84" t="s">
        <v>863</v>
      </c>
      <c r="AX122" s="84" t="s">
        <v>863</v>
      </c>
      <c r="AY122" s="81"/>
      <c r="AZ122" s="84" t="s">
        <v>879</v>
      </c>
      <c r="BA122" s="84" t="s">
        <v>879</v>
      </c>
      <c r="BB122" s="84" t="s">
        <v>879</v>
      </c>
      <c r="BC122" s="84" t="s">
        <v>863</v>
      </c>
      <c r="BD122" s="81">
        <v>8442592</v>
      </c>
      <c r="BE122" s="81"/>
      <c r="BF122" s="81"/>
      <c r="BG122" s="81"/>
      <c r="BH122" s="81"/>
      <c r="BI122" s="81"/>
      <c r="BJ122">
        <v>4</v>
      </c>
      <c r="BK122" s="80" t="str">
        <f>REPLACE(INDEX(GroupVertices[Group], MATCH("~"&amp;Edges27[[#This Row],[Vertex 1]],GroupVertices[Vertex],0)),1,1,"")</f>
        <v>1</v>
      </c>
      <c r="BL122" s="80" t="str">
        <f>REPLACE(INDEX(GroupVertices[Group], MATCH("~"&amp;Edges27[[#This Row],[Vertex 2]],GroupVertices[Vertex],0)),1,1,"")</f>
        <v>1</v>
      </c>
      <c r="BM122" s="49">
        <v>0</v>
      </c>
      <c r="BN122" s="50">
        <v>0</v>
      </c>
      <c r="BO122" s="49">
        <v>0</v>
      </c>
      <c r="BP122" s="50">
        <v>0</v>
      </c>
      <c r="BQ122" s="49">
        <v>0</v>
      </c>
      <c r="BR122" s="50">
        <v>0</v>
      </c>
      <c r="BS122" s="49">
        <v>14</v>
      </c>
      <c r="BT122" s="50">
        <v>82.352941176470594</v>
      </c>
      <c r="BU122" s="49">
        <v>17</v>
      </c>
    </row>
    <row r="123" spans="1:73" x14ac:dyDescent="0.25">
      <c r="A123" s="65" t="s">
        <v>268</v>
      </c>
      <c r="B123" s="65" t="s">
        <v>268</v>
      </c>
      <c r="C123" s="66"/>
      <c r="D123" s="67"/>
      <c r="E123" s="68"/>
      <c r="F123" s="69"/>
      <c r="G123" s="66"/>
      <c r="H123" s="70"/>
      <c r="I123" s="71"/>
      <c r="J123" s="71"/>
      <c r="K123" s="35" t="s">
        <v>65</v>
      </c>
      <c r="L123" s="79">
        <v>265</v>
      </c>
      <c r="M123" s="79"/>
      <c r="N123" s="73"/>
      <c r="O123" s="81" t="s">
        <v>196</v>
      </c>
      <c r="P123" s="83">
        <v>45230.770752314813</v>
      </c>
      <c r="Q123" s="81" t="s">
        <v>463</v>
      </c>
      <c r="R123" s="81">
        <v>0</v>
      </c>
      <c r="S123" s="81">
        <v>0</v>
      </c>
      <c r="T123" s="81">
        <v>0</v>
      </c>
      <c r="U123" s="81">
        <v>0</v>
      </c>
      <c r="V123" s="81">
        <v>273</v>
      </c>
      <c r="W123" s="81"/>
      <c r="X123" s="86" t="str">
        <f>HYPERLINK("https://www.aejmc.com/home/wp-content/uploads/2023/10/Burd-Award-for-Research-in-Urban-Journalism-Studies.pdf")</f>
        <v>https://www.aejmc.com/home/wp-content/uploads/2023/10/Burd-Award-for-Research-in-Urban-Journalism-Studies.pdf</v>
      </c>
      <c r="Y123" s="81" t="s">
        <v>514</v>
      </c>
      <c r="Z123" s="81"/>
      <c r="AA123" s="81"/>
      <c r="AB123" s="81"/>
      <c r="AC123" s="84" t="s">
        <v>582</v>
      </c>
      <c r="AD123" s="81" t="s">
        <v>588</v>
      </c>
      <c r="AE123" s="86" t="str">
        <f>HYPERLINK("https://twitter.com/aejmc/status/1719421450392613239")</f>
        <v>https://twitter.com/aejmc/status/1719421450392613239</v>
      </c>
      <c r="AF123" s="83">
        <v>45230.770752314813</v>
      </c>
      <c r="AG123" s="89">
        <v>45230</v>
      </c>
      <c r="AH123" s="84" t="s">
        <v>710</v>
      </c>
      <c r="AI123" s="81" t="b">
        <v>0</v>
      </c>
      <c r="AJ123" s="81"/>
      <c r="AK123" s="81"/>
      <c r="AL123" s="81"/>
      <c r="AM123" s="81"/>
      <c r="AN123" s="81"/>
      <c r="AO123" s="81"/>
      <c r="AP123" s="81"/>
      <c r="AQ123" s="81"/>
      <c r="AR123" s="81"/>
      <c r="AS123" s="81"/>
      <c r="AT123" s="81"/>
      <c r="AU123" s="81"/>
      <c r="AV123" s="86" t="str">
        <f>HYPERLINK("https://pbs.twimg.com/profile_images/1559584982439444482/vOVkFGh3_normal.png")</f>
        <v>https://pbs.twimg.com/profile_images/1559584982439444482/vOVkFGh3_normal.png</v>
      </c>
      <c r="AW123" s="84" t="s">
        <v>864</v>
      </c>
      <c r="AX123" s="84" t="s">
        <v>864</v>
      </c>
      <c r="AY123" s="81"/>
      <c r="AZ123" s="84" t="s">
        <v>879</v>
      </c>
      <c r="BA123" s="84" t="s">
        <v>879</v>
      </c>
      <c r="BB123" s="84" t="s">
        <v>879</v>
      </c>
      <c r="BC123" s="84" t="s">
        <v>864</v>
      </c>
      <c r="BD123" s="81">
        <v>8442592</v>
      </c>
      <c r="BE123" s="81"/>
      <c r="BF123" s="81"/>
      <c r="BG123" s="81"/>
      <c r="BH123" s="81"/>
      <c r="BI123" s="81"/>
      <c r="BJ123">
        <v>4</v>
      </c>
      <c r="BK123" s="80" t="str">
        <f>REPLACE(INDEX(GroupVertices[Group], MATCH("~"&amp;Edges27[[#This Row],[Vertex 1]],GroupVertices[Vertex],0)),1,1,"")</f>
        <v>1</v>
      </c>
      <c r="BL123" s="80" t="str">
        <f>REPLACE(INDEX(GroupVertices[Group], MATCH("~"&amp;Edges27[[#This Row],[Vertex 2]],GroupVertices[Vertex],0)),1,1,"")</f>
        <v>1</v>
      </c>
      <c r="BM123" s="49">
        <v>1</v>
      </c>
      <c r="BN123" s="50">
        <v>3.4482758620689653</v>
      </c>
      <c r="BO123" s="49">
        <v>0</v>
      </c>
      <c r="BP123" s="50">
        <v>0</v>
      </c>
      <c r="BQ123" s="49">
        <v>0</v>
      </c>
      <c r="BR123" s="50">
        <v>0</v>
      </c>
      <c r="BS123" s="49">
        <v>19</v>
      </c>
      <c r="BT123" s="50">
        <v>65.517241379310349</v>
      </c>
      <c r="BU123" s="49">
        <v>29</v>
      </c>
    </row>
    <row r="124" spans="1:73" x14ac:dyDescent="0.25">
      <c r="A124" s="65" t="s">
        <v>268</v>
      </c>
      <c r="B124" s="65" t="s">
        <v>268</v>
      </c>
      <c r="C124" s="66"/>
      <c r="D124" s="67"/>
      <c r="E124" s="68"/>
      <c r="F124" s="69"/>
      <c r="G124" s="66"/>
      <c r="H124" s="70"/>
      <c r="I124" s="71"/>
      <c r="J124" s="71"/>
      <c r="K124" s="35" t="s">
        <v>65</v>
      </c>
      <c r="L124" s="79">
        <v>266</v>
      </c>
      <c r="M124" s="79"/>
      <c r="N124" s="73"/>
      <c r="O124" s="81" t="s">
        <v>196</v>
      </c>
      <c r="P124" s="83">
        <v>45225.778078703705</v>
      </c>
      <c r="Q124" s="81" t="s">
        <v>464</v>
      </c>
      <c r="R124" s="81">
        <v>7</v>
      </c>
      <c r="S124" s="81">
        <v>7</v>
      </c>
      <c r="T124" s="81">
        <v>0</v>
      </c>
      <c r="U124" s="81">
        <v>0</v>
      </c>
      <c r="V124" s="81">
        <v>1151</v>
      </c>
      <c r="W124" s="81"/>
      <c r="X124" s="86" t="str">
        <f>HYPERLINK("https://www.aejmc.com/home/wp-content/uploads/2023/10/Deutschmann-Award.pdf")</f>
        <v>https://www.aejmc.com/home/wp-content/uploads/2023/10/Deutschmann-Award.pdf</v>
      </c>
      <c r="Y124" s="81" t="s">
        <v>514</v>
      </c>
      <c r="Z124" s="81"/>
      <c r="AA124" s="81"/>
      <c r="AB124" s="81"/>
      <c r="AC124" s="84" t="s">
        <v>582</v>
      </c>
      <c r="AD124" s="81" t="s">
        <v>588</v>
      </c>
      <c r="AE124" s="86" t="str">
        <f>HYPERLINK("https://twitter.com/aejmc/status/1717612166008766732")</f>
        <v>https://twitter.com/aejmc/status/1717612166008766732</v>
      </c>
      <c r="AF124" s="83">
        <v>45225.778078703705</v>
      </c>
      <c r="AG124" s="89">
        <v>45225</v>
      </c>
      <c r="AH124" s="84" t="s">
        <v>711</v>
      </c>
      <c r="AI124" s="81" t="b">
        <v>0</v>
      </c>
      <c r="AJ124" s="81"/>
      <c r="AK124" s="81"/>
      <c r="AL124" s="81"/>
      <c r="AM124" s="81"/>
      <c r="AN124" s="81"/>
      <c r="AO124" s="81"/>
      <c r="AP124" s="81"/>
      <c r="AQ124" s="81"/>
      <c r="AR124" s="81"/>
      <c r="AS124" s="81"/>
      <c r="AT124" s="81"/>
      <c r="AU124" s="81"/>
      <c r="AV124" s="86" t="str">
        <f>HYPERLINK("https://pbs.twimg.com/profile_images/1559584982439444482/vOVkFGh3_normal.png")</f>
        <v>https://pbs.twimg.com/profile_images/1559584982439444482/vOVkFGh3_normal.png</v>
      </c>
      <c r="AW124" s="84" t="s">
        <v>865</v>
      </c>
      <c r="AX124" s="84" t="s">
        <v>865</v>
      </c>
      <c r="AY124" s="81"/>
      <c r="AZ124" s="84" t="s">
        <v>879</v>
      </c>
      <c r="BA124" s="84" t="s">
        <v>879</v>
      </c>
      <c r="BB124" s="84" t="s">
        <v>879</v>
      </c>
      <c r="BC124" s="84" t="s">
        <v>865</v>
      </c>
      <c r="BD124" s="81">
        <v>8442592</v>
      </c>
      <c r="BE124" s="81"/>
      <c r="BF124" s="81"/>
      <c r="BG124" s="81"/>
      <c r="BH124" s="81"/>
      <c r="BI124" s="81"/>
      <c r="BJ124">
        <v>4</v>
      </c>
      <c r="BK124" s="80" t="str">
        <f>REPLACE(INDEX(GroupVertices[Group], MATCH("~"&amp;Edges27[[#This Row],[Vertex 1]],GroupVertices[Vertex],0)),1,1,"")</f>
        <v>1</v>
      </c>
      <c r="BL124" s="80" t="str">
        <f>REPLACE(INDEX(GroupVertices[Group], MATCH("~"&amp;Edges27[[#This Row],[Vertex 2]],GroupVertices[Vertex],0)),1,1,"")</f>
        <v>1</v>
      </c>
      <c r="BM124" s="49">
        <v>2</v>
      </c>
      <c r="BN124" s="50">
        <v>7.1428571428571432</v>
      </c>
      <c r="BO124" s="49">
        <v>0</v>
      </c>
      <c r="BP124" s="50">
        <v>0</v>
      </c>
      <c r="BQ124" s="49">
        <v>0</v>
      </c>
      <c r="BR124" s="50">
        <v>0</v>
      </c>
      <c r="BS124" s="49">
        <v>14</v>
      </c>
      <c r="BT124" s="50">
        <v>50</v>
      </c>
      <c r="BU124" s="49">
        <v>28</v>
      </c>
    </row>
    <row r="125" spans="1:73" x14ac:dyDescent="0.25">
      <c r="A125" s="65" t="s">
        <v>302</v>
      </c>
      <c r="B125" s="65" t="s">
        <v>268</v>
      </c>
      <c r="C125" s="66"/>
      <c r="D125" s="67"/>
      <c r="E125" s="68"/>
      <c r="F125" s="69"/>
      <c r="G125" s="66"/>
      <c r="H125" s="70"/>
      <c r="I125" s="71"/>
      <c r="J125" s="71"/>
      <c r="K125" s="35" t="s">
        <v>65</v>
      </c>
      <c r="L125" s="79">
        <v>268</v>
      </c>
      <c r="M125" s="79"/>
      <c r="N125" s="73"/>
      <c r="O125" s="81" t="s">
        <v>367</v>
      </c>
      <c r="P125" s="83">
        <v>45230.708333333336</v>
      </c>
      <c r="Q125" s="81" t="s">
        <v>465</v>
      </c>
      <c r="R125" s="81">
        <v>3</v>
      </c>
      <c r="S125" s="81">
        <v>5</v>
      </c>
      <c r="T125" s="81">
        <v>0</v>
      </c>
      <c r="U125" s="81">
        <v>0</v>
      </c>
      <c r="V125" s="81">
        <v>566</v>
      </c>
      <c r="W125" s="81"/>
      <c r="X125" s="86" t="str">
        <f>HYPERLINK("http://spr.ly/6013uYH8H")</f>
        <v>http://spr.ly/6013uYH8H</v>
      </c>
      <c r="Y125" s="81" t="s">
        <v>515</v>
      </c>
      <c r="Z125" s="81" t="s">
        <v>553</v>
      </c>
      <c r="AA125" s="81"/>
      <c r="AB125" s="81"/>
      <c r="AC125" s="84" t="s">
        <v>587</v>
      </c>
      <c r="AD125" s="81" t="s">
        <v>588</v>
      </c>
      <c r="AE125" s="86" t="str">
        <f>HYPERLINK("https://twitter.com/comatbu/status/1719398831287067049")</f>
        <v>https://twitter.com/comatbu/status/1719398831287067049</v>
      </c>
      <c r="AF125" s="83">
        <v>45230.708333333336</v>
      </c>
      <c r="AG125" s="89">
        <v>45230</v>
      </c>
      <c r="AH125" s="84" t="s">
        <v>712</v>
      </c>
      <c r="AI125" s="81" t="b">
        <v>0</v>
      </c>
      <c r="AJ125" s="81"/>
      <c r="AK125" s="81"/>
      <c r="AL125" s="81"/>
      <c r="AM125" s="81"/>
      <c r="AN125" s="81"/>
      <c r="AO125" s="81"/>
      <c r="AP125" s="81"/>
      <c r="AQ125" s="81"/>
      <c r="AR125" s="81"/>
      <c r="AS125" s="81"/>
      <c r="AT125" s="81"/>
      <c r="AU125" s="81"/>
      <c r="AV125" s="86" t="str">
        <f>HYPERLINK("https://pbs.twimg.com/profile_images/1087808935480999936/VEiq4JjJ_normal.jpg")</f>
        <v>https://pbs.twimg.com/profile_images/1087808935480999936/VEiq4JjJ_normal.jpg</v>
      </c>
      <c r="AW125" s="84" t="s">
        <v>866</v>
      </c>
      <c r="AX125" s="84" t="s">
        <v>866</v>
      </c>
      <c r="AY125" s="81"/>
      <c r="AZ125" s="84" t="s">
        <v>879</v>
      </c>
      <c r="BA125" s="84" t="s">
        <v>879</v>
      </c>
      <c r="BB125" s="84" t="s">
        <v>879</v>
      </c>
      <c r="BC125" s="84" t="s">
        <v>866</v>
      </c>
      <c r="BD125" s="81">
        <v>76056609</v>
      </c>
      <c r="BE125" s="81"/>
      <c r="BF125" s="81"/>
      <c r="BG125" s="81"/>
      <c r="BH125" s="81"/>
      <c r="BI125" s="81"/>
      <c r="BJ125">
        <v>1</v>
      </c>
      <c r="BK125" s="80" t="str">
        <f>REPLACE(INDEX(GroupVertices[Group], MATCH("~"&amp;Edges27[[#This Row],[Vertex 1]],GroupVertices[Vertex],0)),1,1,"")</f>
        <v>8</v>
      </c>
      <c r="BL125" s="80" t="str">
        <f>REPLACE(INDEX(GroupVertices[Group], MATCH("~"&amp;Edges27[[#This Row],[Vertex 2]],GroupVertices[Vertex],0)),1,1,"")</f>
        <v>1</v>
      </c>
      <c r="BM125" s="49"/>
      <c r="BN125" s="50"/>
      <c r="BO125" s="49"/>
      <c r="BP125" s="50"/>
      <c r="BQ125" s="49"/>
      <c r="BR125" s="50"/>
      <c r="BS125" s="49"/>
      <c r="BT125" s="50"/>
      <c r="BU125" s="49"/>
    </row>
    <row r="126" spans="1:73" x14ac:dyDescent="0.25">
      <c r="A126" s="65" t="s">
        <v>303</v>
      </c>
      <c r="B126" s="65" t="s">
        <v>354</v>
      </c>
      <c r="C126" s="66"/>
      <c r="D126" s="67"/>
      <c r="E126" s="68"/>
      <c r="F126" s="69"/>
      <c r="G126" s="66"/>
      <c r="H126" s="70"/>
      <c r="I126" s="71"/>
      <c r="J126" s="71"/>
      <c r="K126" s="35" t="s">
        <v>65</v>
      </c>
      <c r="L126" s="79">
        <v>270</v>
      </c>
      <c r="M126" s="79"/>
      <c r="N126" s="73"/>
      <c r="O126" s="81" t="s">
        <v>366</v>
      </c>
      <c r="P126" s="83">
        <v>45233.373460648145</v>
      </c>
      <c r="Q126" s="81" t="s">
        <v>466</v>
      </c>
      <c r="R126" s="81">
        <v>6</v>
      </c>
      <c r="S126" s="81">
        <v>0</v>
      </c>
      <c r="T126" s="81">
        <v>0</v>
      </c>
      <c r="U126" s="81">
        <v>0</v>
      </c>
      <c r="V126" s="81"/>
      <c r="W126" s="81"/>
      <c r="X126" s="81"/>
      <c r="Y126" s="81"/>
      <c r="Z126" s="81" t="s">
        <v>554</v>
      </c>
      <c r="AA126" s="81"/>
      <c r="AB126" s="81"/>
      <c r="AC126" s="84" t="s">
        <v>582</v>
      </c>
      <c r="AD126" s="81" t="s">
        <v>588</v>
      </c>
      <c r="AE126" s="86" t="str">
        <f>HYPERLINK("https://twitter.com/reutsmichael1/status/1720364640884940940")</f>
        <v>https://twitter.com/reutsmichael1/status/1720364640884940940</v>
      </c>
      <c r="AF126" s="83">
        <v>45233.373460648145</v>
      </c>
      <c r="AG126" s="89">
        <v>45233</v>
      </c>
      <c r="AH126" s="84" t="s">
        <v>713</v>
      </c>
      <c r="AI126" s="81"/>
      <c r="AJ126" s="81"/>
      <c r="AK126" s="81"/>
      <c r="AL126" s="81"/>
      <c r="AM126" s="81"/>
      <c r="AN126" s="81"/>
      <c r="AO126" s="81"/>
      <c r="AP126" s="81"/>
      <c r="AQ126" s="81"/>
      <c r="AR126" s="81"/>
      <c r="AS126" s="81"/>
      <c r="AT126" s="81"/>
      <c r="AU126" s="81"/>
      <c r="AV126" s="86" t="str">
        <f>HYPERLINK("https://pbs.twimg.com/profile_images/1689952558293356544/DcOJhVT1_normal.jpg")</f>
        <v>https://pbs.twimg.com/profile_images/1689952558293356544/DcOJhVT1_normal.jpg</v>
      </c>
      <c r="AW126" s="84" t="s">
        <v>867</v>
      </c>
      <c r="AX126" s="84" t="s">
        <v>867</v>
      </c>
      <c r="AY126" s="81"/>
      <c r="AZ126" s="84" t="s">
        <v>879</v>
      </c>
      <c r="BA126" s="84" t="s">
        <v>879</v>
      </c>
      <c r="BB126" s="84" t="s">
        <v>860</v>
      </c>
      <c r="BC126" s="84" t="s">
        <v>860</v>
      </c>
      <c r="BD126" s="84" t="s">
        <v>892</v>
      </c>
      <c r="BE126" s="81"/>
      <c r="BF126" s="81"/>
      <c r="BG126" s="81"/>
      <c r="BH126" s="81"/>
      <c r="BI126" s="81"/>
      <c r="BJ126">
        <v>1</v>
      </c>
      <c r="BK126" s="80" t="str">
        <f>REPLACE(INDEX(GroupVertices[Group], MATCH("~"&amp;Edges27[[#This Row],[Vertex 1]],GroupVertices[Vertex],0)),1,1,"")</f>
        <v>5</v>
      </c>
      <c r="BL126" s="80" t="str">
        <f>REPLACE(INDEX(GroupVertices[Group], MATCH("~"&amp;Edges27[[#This Row],[Vertex 2]],GroupVertices[Vertex],0)),1,1,"")</f>
        <v>5</v>
      </c>
      <c r="BM126" s="49"/>
      <c r="BN126" s="50"/>
      <c r="BO126" s="49"/>
      <c r="BP126" s="50"/>
      <c r="BQ126" s="49"/>
      <c r="BR126" s="50"/>
      <c r="BS126" s="49"/>
      <c r="BT126" s="50"/>
      <c r="BU126" s="49"/>
    </row>
    <row r="127" spans="1:73" x14ac:dyDescent="0.25">
      <c r="A127" s="65" t="s">
        <v>304</v>
      </c>
      <c r="B127" s="65" t="s">
        <v>304</v>
      </c>
      <c r="C127" s="66"/>
      <c r="D127" s="67"/>
      <c r="E127" s="68"/>
      <c r="F127" s="69"/>
      <c r="G127" s="66"/>
      <c r="H127" s="70"/>
      <c r="I127" s="71"/>
      <c r="J127" s="71"/>
      <c r="K127" s="35" t="s">
        <v>65</v>
      </c>
      <c r="L127" s="79">
        <v>285</v>
      </c>
      <c r="M127" s="79"/>
      <c r="N127" s="73"/>
      <c r="O127" s="81" t="s">
        <v>366</v>
      </c>
      <c r="P127" s="83">
        <v>45230.817673611113</v>
      </c>
      <c r="Q127" s="81" t="s">
        <v>378</v>
      </c>
      <c r="R127" s="81">
        <v>3</v>
      </c>
      <c r="S127" s="81">
        <v>0</v>
      </c>
      <c r="T127" s="81">
        <v>0</v>
      </c>
      <c r="U127" s="81">
        <v>0</v>
      </c>
      <c r="V127" s="81"/>
      <c r="W127" s="81"/>
      <c r="X127" s="81"/>
      <c r="Y127" s="81"/>
      <c r="Z127" s="81" t="s">
        <v>522</v>
      </c>
      <c r="AA127" s="81"/>
      <c r="AB127" s="81"/>
      <c r="AC127" s="84" t="s">
        <v>582</v>
      </c>
      <c r="AD127" s="81" t="s">
        <v>588</v>
      </c>
      <c r="AE127" s="86" t="str">
        <f>HYPERLINK("https://twitter.com/igs_bu/status/1719438454592032991")</f>
        <v>https://twitter.com/igs_bu/status/1719438454592032991</v>
      </c>
      <c r="AF127" s="83">
        <v>45230.817673611113</v>
      </c>
      <c r="AG127" s="89">
        <v>45230</v>
      </c>
      <c r="AH127" s="84" t="s">
        <v>714</v>
      </c>
      <c r="AI127" s="81" t="b">
        <v>0</v>
      </c>
      <c r="AJ127" s="81"/>
      <c r="AK127" s="81"/>
      <c r="AL127" s="81"/>
      <c r="AM127" s="81"/>
      <c r="AN127" s="81"/>
      <c r="AO127" s="81"/>
      <c r="AP127" s="81"/>
      <c r="AQ127" s="81"/>
      <c r="AR127" s="81"/>
      <c r="AS127" s="81"/>
      <c r="AT127" s="81"/>
      <c r="AU127" s="81"/>
      <c r="AV127" s="86" t="str">
        <f>HYPERLINK("https://pbs.twimg.com/profile_images/1545128935477940225/brWstWwf_normal.png")</f>
        <v>https://pbs.twimg.com/profile_images/1545128935477940225/brWstWwf_normal.png</v>
      </c>
      <c r="AW127" s="84" t="s">
        <v>868</v>
      </c>
      <c r="AX127" s="84" t="s">
        <v>868</v>
      </c>
      <c r="AY127" s="81"/>
      <c r="AZ127" s="84" t="s">
        <v>879</v>
      </c>
      <c r="BA127" s="84" t="s">
        <v>879</v>
      </c>
      <c r="BB127" s="84" t="s">
        <v>866</v>
      </c>
      <c r="BC127" s="84" t="s">
        <v>866</v>
      </c>
      <c r="BD127" s="84" t="s">
        <v>893</v>
      </c>
      <c r="BE127" s="81"/>
      <c r="BF127" s="81"/>
      <c r="BG127" s="81"/>
      <c r="BH127" s="81"/>
      <c r="BI127" s="81"/>
      <c r="BJ127">
        <v>1</v>
      </c>
      <c r="BK127" s="80" t="str">
        <f>REPLACE(INDEX(GroupVertices[Group], MATCH("~"&amp;Edges27[[#This Row],[Vertex 1]],GroupVertices[Vertex],0)),1,1,"")</f>
        <v>8</v>
      </c>
      <c r="BL127" s="80" t="str">
        <f>REPLACE(INDEX(GroupVertices[Group], MATCH("~"&amp;Edges27[[#This Row],[Vertex 2]],GroupVertices[Vertex],0)),1,1,"")</f>
        <v>8</v>
      </c>
      <c r="BM127" s="49"/>
      <c r="BN127" s="50"/>
      <c r="BO127" s="49"/>
      <c r="BP127" s="50"/>
      <c r="BQ127" s="49"/>
      <c r="BR127" s="50"/>
      <c r="BS127" s="49"/>
      <c r="BT127" s="50"/>
      <c r="BU127" s="49"/>
    </row>
    <row r="128" spans="1:73" x14ac:dyDescent="0.25">
      <c r="A128" s="65" t="s">
        <v>305</v>
      </c>
      <c r="B128" s="65" t="s">
        <v>304</v>
      </c>
      <c r="C128" s="66"/>
      <c r="D128" s="67"/>
      <c r="E128" s="68"/>
      <c r="F128" s="69"/>
      <c r="G128" s="66"/>
      <c r="H128" s="70"/>
      <c r="I128" s="71"/>
      <c r="J128" s="71"/>
      <c r="K128" s="35" t="s">
        <v>65</v>
      </c>
      <c r="L128" s="79">
        <v>288</v>
      </c>
      <c r="M128" s="79"/>
      <c r="N128" s="73"/>
      <c r="O128" s="81" t="s">
        <v>366</v>
      </c>
      <c r="P128" s="83">
        <v>45230.974398148152</v>
      </c>
      <c r="Q128" s="81" t="s">
        <v>378</v>
      </c>
      <c r="R128" s="81">
        <v>3</v>
      </c>
      <c r="S128" s="81">
        <v>0</v>
      </c>
      <c r="T128" s="81">
        <v>0</v>
      </c>
      <c r="U128" s="81">
        <v>0</v>
      </c>
      <c r="V128" s="81"/>
      <c r="W128" s="81"/>
      <c r="X128" s="81"/>
      <c r="Y128" s="81"/>
      <c r="Z128" s="81" t="s">
        <v>522</v>
      </c>
      <c r="AA128" s="81"/>
      <c r="AB128" s="81"/>
      <c r="AC128" s="84" t="s">
        <v>580</v>
      </c>
      <c r="AD128" s="81" t="s">
        <v>588</v>
      </c>
      <c r="AE128" s="86" t="str">
        <f>HYPERLINK("https://twitter.com/benjaminsovaco1/status/1719495250173886549")</f>
        <v>https://twitter.com/benjaminsovaco1/status/1719495250173886549</v>
      </c>
      <c r="AF128" s="83">
        <v>45230.974398148152</v>
      </c>
      <c r="AG128" s="89">
        <v>45230</v>
      </c>
      <c r="AH128" s="84" t="s">
        <v>715</v>
      </c>
      <c r="AI128" s="81" t="b">
        <v>0</v>
      </c>
      <c r="AJ128" s="81"/>
      <c r="AK128" s="81"/>
      <c r="AL128" s="81"/>
      <c r="AM128" s="81"/>
      <c r="AN128" s="81"/>
      <c r="AO128" s="81"/>
      <c r="AP128" s="81"/>
      <c r="AQ128" s="81"/>
      <c r="AR128" s="81"/>
      <c r="AS128" s="81"/>
      <c r="AT128" s="81"/>
      <c r="AU128" s="81"/>
      <c r="AV128" s="86" t="str">
        <f>HYPERLINK("https://pbs.twimg.com/profile_images/1354830590676262913/PXUIlxtt_normal.jpg")</f>
        <v>https://pbs.twimg.com/profile_images/1354830590676262913/PXUIlxtt_normal.jpg</v>
      </c>
      <c r="AW128" s="84" t="s">
        <v>869</v>
      </c>
      <c r="AX128" s="84" t="s">
        <v>869</v>
      </c>
      <c r="AY128" s="81"/>
      <c r="AZ128" s="84" t="s">
        <v>879</v>
      </c>
      <c r="BA128" s="84" t="s">
        <v>879</v>
      </c>
      <c r="BB128" s="84" t="s">
        <v>866</v>
      </c>
      <c r="BC128" s="84" t="s">
        <v>866</v>
      </c>
      <c r="BD128" s="84" t="s">
        <v>894</v>
      </c>
      <c r="BE128" s="81"/>
      <c r="BF128" s="81"/>
      <c r="BG128" s="81"/>
      <c r="BH128" s="81"/>
      <c r="BI128" s="81"/>
      <c r="BJ128">
        <v>1</v>
      </c>
      <c r="BK128" s="80" t="str">
        <f>REPLACE(INDEX(GroupVertices[Group], MATCH("~"&amp;Edges27[[#This Row],[Vertex 1]],GroupVertices[Vertex],0)),1,1,"")</f>
        <v>8</v>
      </c>
      <c r="BL128" s="80" t="str">
        <f>REPLACE(INDEX(GroupVertices[Group], MATCH("~"&amp;Edges27[[#This Row],[Vertex 2]],GroupVertices[Vertex],0)),1,1,"")</f>
        <v>8</v>
      </c>
      <c r="BM128" s="49"/>
      <c r="BN128" s="50"/>
      <c r="BO128" s="49"/>
      <c r="BP128" s="50"/>
      <c r="BQ128" s="49"/>
      <c r="BR128" s="50"/>
      <c r="BS128" s="49"/>
      <c r="BT128" s="50"/>
      <c r="BU128" s="49"/>
    </row>
    <row r="129" spans="1:73" x14ac:dyDescent="0.25">
      <c r="A129" s="65" t="s">
        <v>306</v>
      </c>
      <c r="B129" s="65" t="s">
        <v>359</v>
      </c>
      <c r="C129" s="66"/>
      <c r="D129" s="67"/>
      <c r="E129" s="68"/>
      <c r="F129" s="69"/>
      <c r="G129" s="66"/>
      <c r="H129" s="70"/>
      <c r="I129" s="71"/>
      <c r="J129" s="71"/>
      <c r="K129" s="35" t="s">
        <v>65</v>
      </c>
      <c r="L129" s="79">
        <v>290</v>
      </c>
      <c r="M129" s="79"/>
      <c r="N129" s="73"/>
      <c r="O129" s="81" t="s">
        <v>367</v>
      </c>
      <c r="P129" s="83">
        <v>45234.89875</v>
      </c>
      <c r="Q129" s="81" t="s">
        <v>467</v>
      </c>
      <c r="R129" s="81">
        <v>4</v>
      </c>
      <c r="S129" s="81">
        <v>7</v>
      </c>
      <c r="T129" s="81">
        <v>0</v>
      </c>
      <c r="U129" s="81">
        <v>0</v>
      </c>
      <c r="V129" s="81">
        <v>494</v>
      </c>
      <c r="W129" s="84" t="s">
        <v>495</v>
      </c>
      <c r="X129" s="86" t="str">
        <f>HYPERLINK("https://theieca.org/page/Join")</f>
        <v>https://theieca.org/page/Join</v>
      </c>
      <c r="Y129" s="81" t="s">
        <v>516</v>
      </c>
      <c r="Z129" s="81" t="s">
        <v>555</v>
      </c>
      <c r="AA129" s="81"/>
      <c r="AB129" s="81"/>
      <c r="AC129" s="84" t="s">
        <v>582</v>
      </c>
      <c r="AD129" s="81" t="s">
        <v>588</v>
      </c>
      <c r="AE129" s="86" t="str">
        <f>HYPERLINK("https://twitter.com/stevedepo/status/1720917387485020564")</f>
        <v>https://twitter.com/stevedepo/status/1720917387485020564</v>
      </c>
      <c r="AF129" s="83">
        <v>45234.89875</v>
      </c>
      <c r="AG129" s="89">
        <v>45234</v>
      </c>
      <c r="AH129" s="84" t="s">
        <v>716</v>
      </c>
      <c r="AI129" s="81" t="b">
        <v>0</v>
      </c>
      <c r="AJ129" s="81"/>
      <c r="AK129" s="81"/>
      <c r="AL129" s="81"/>
      <c r="AM129" s="81"/>
      <c r="AN129" s="81"/>
      <c r="AO129" s="81"/>
      <c r="AP129" s="81"/>
      <c r="AQ129" s="81"/>
      <c r="AR129" s="81"/>
      <c r="AS129" s="81"/>
      <c r="AT129" s="81"/>
      <c r="AU129" s="81"/>
      <c r="AV129" s="86" t="str">
        <f>HYPERLINK("https://pbs.twimg.com/profile_images/668944064755179520/mealRoFg_normal.jpg")</f>
        <v>https://pbs.twimg.com/profile_images/668944064755179520/mealRoFg_normal.jpg</v>
      </c>
      <c r="AW129" s="84" t="s">
        <v>870</v>
      </c>
      <c r="AX129" s="84" t="s">
        <v>870</v>
      </c>
      <c r="AY129" s="81"/>
      <c r="AZ129" s="84" t="s">
        <v>879</v>
      </c>
      <c r="BA129" s="84" t="s">
        <v>879</v>
      </c>
      <c r="BB129" s="84" t="s">
        <v>879</v>
      </c>
      <c r="BC129" s="84" t="s">
        <v>870</v>
      </c>
      <c r="BD129" s="81">
        <v>182686248</v>
      </c>
      <c r="BE129" s="81"/>
      <c r="BF129" s="81"/>
      <c r="BG129" s="81"/>
      <c r="BH129" s="81"/>
      <c r="BI129" s="81"/>
      <c r="BJ129">
        <v>1</v>
      </c>
      <c r="BK129" s="80" t="str">
        <f>REPLACE(INDEX(GroupVertices[Group], MATCH("~"&amp;Edges27[[#This Row],[Vertex 1]],GroupVertices[Vertex],0)),1,1,"")</f>
        <v>7</v>
      </c>
      <c r="BL129" s="80" t="str">
        <f>REPLACE(INDEX(GroupVertices[Group], MATCH("~"&amp;Edges27[[#This Row],[Vertex 2]],GroupVertices[Vertex],0)),1,1,"")</f>
        <v>7</v>
      </c>
      <c r="BM129" s="49"/>
      <c r="BN129" s="50"/>
      <c r="BO129" s="49"/>
      <c r="BP129" s="50"/>
      <c r="BQ129" s="49"/>
      <c r="BR129" s="50"/>
      <c r="BS129" s="49"/>
      <c r="BT129" s="50"/>
      <c r="BU129" s="49"/>
    </row>
    <row r="130" spans="1:73" x14ac:dyDescent="0.25">
      <c r="A130" s="65" t="s">
        <v>307</v>
      </c>
      <c r="B130" s="65" t="s">
        <v>307</v>
      </c>
      <c r="C130" s="66"/>
      <c r="D130" s="67"/>
      <c r="E130" s="68"/>
      <c r="F130" s="69"/>
      <c r="G130" s="66"/>
      <c r="H130" s="70"/>
      <c r="I130" s="71"/>
      <c r="J130" s="71"/>
      <c r="K130" s="35" t="s">
        <v>65</v>
      </c>
      <c r="L130" s="79">
        <v>293</v>
      </c>
      <c r="M130" s="79"/>
      <c r="N130" s="73"/>
      <c r="O130" s="81" t="s">
        <v>196</v>
      </c>
      <c r="P130" s="83">
        <v>45231.67046296296</v>
      </c>
      <c r="Q130" s="81" t="s">
        <v>468</v>
      </c>
      <c r="R130" s="81">
        <v>28453</v>
      </c>
      <c r="S130" s="81">
        <v>57035</v>
      </c>
      <c r="T130" s="81">
        <v>474</v>
      </c>
      <c r="U130" s="81">
        <v>584</v>
      </c>
      <c r="V130" s="81">
        <v>1903853</v>
      </c>
      <c r="W130" s="81"/>
      <c r="X130" s="81"/>
      <c r="Y130" s="81"/>
      <c r="Z130" s="81"/>
      <c r="AA130" s="81" t="s">
        <v>573</v>
      </c>
      <c r="AB130" s="81" t="s">
        <v>578</v>
      </c>
      <c r="AC130" s="84" t="s">
        <v>582</v>
      </c>
      <c r="AD130" s="81" t="s">
        <v>588</v>
      </c>
      <c r="AE130" s="86" t="str">
        <f>HYPERLINK("https://twitter.com/azaizamotaz9/status/1719747492466569538")</f>
        <v>https://twitter.com/azaizamotaz9/status/1719747492466569538</v>
      </c>
      <c r="AF130" s="83">
        <v>45231.67046296296</v>
      </c>
      <c r="AG130" s="89">
        <v>45231</v>
      </c>
      <c r="AH130" s="84" t="s">
        <v>717</v>
      </c>
      <c r="AI130" s="81" t="b">
        <v>0</v>
      </c>
      <c r="AJ130" s="81"/>
      <c r="AK130" s="81"/>
      <c r="AL130" s="81"/>
      <c r="AM130" s="81"/>
      <c r="AN130" s="81"/>
      <c r="AO130" s="81"/>
      <c r="AP130" s="81"/>
      <c r="AQ130" s="81" t="s">
        <v>742</v>
      </c>
      <c r="AR130" s="81">
        <v>83382</v>
      </c>
      <c r="AS130" s="81"/>
      <c r="AT130" s="81"/>
      <c r="AU130" s="81"/>
      <c r="AV130" s="86" t="str">
        <f>HYPERLINK("https://pbs.twimg.com/ext_tw_video_thumb/1719746771893571584/pu/img/alNHRUnfwoBxrA3j.jpg")</f>
        <v>https://pbs.twimg.com/ext_tw_video_thumb/1719746771893571584/pu/img/alNHRUnfwoBxrA3j.jpg</v>
      </c>
      <c r="AW130" s="84" t="s">
        <v>871</v>
      </c>
      <c r="AX130" s="84" t="s">
        <v>871</v>
      </c>
      <c r="AY130" s="81"/>
      <c r="AZ130" s="84" t="s">
        <v>879</v>
      </c>
      <c r="BA130" s="84" t="s">
        <v>879</v>
      </c>
      <c r="BB130" s="84" t="s">
        <v>879</v>
      </c>
      <c r="BC130" s="84" t="s">
        <v>871</v>
      </c>
      <c r="BD130" s="84" t="s">
        <v>895</v>
      </c>
      <c r="BE130" s="81"/>
      <c r="BF130" s="81"/>
      <c r="BG130" s="81"/>
      <c r="BH130" s="81"/>
      <c r="BI130" s="81"/>
      <c r="BJ130">
        <v>1</v>
      </c>
      <c r="BK130" s="80" t="str">
        <f>REPLACE(INDEX(GroupVertices[Group], MATCH("~"&amp;Edges27[[#This Row],[Vertex 1]],GroupVertices[Vertex],0)),1,1,"")</f>
        <v>3</v>
      </c>
      <c r="BL130" s="80" t="str">
        <f>REPLACE(INDEX(GroupVertices[Group], MATCH("~"&amp;Edges27[[#This Row],[Vertex 2]],GroupVertices[Vertex],0)),1,1,"")</f>
        <v>3</v>
      </c>
      <c r="BM130" s="49">
        <v>0</v>
      </c>
      <c r="BN130" s="50">
        <v>0</v>
      </c>
      <c r="BO130" s="49">
        <v>1</v>
      </c>
      <c r="BP130" s="50">
        <v>3.225806451612903</v>
      </c>
      <c r="BQ130" s="49">
        <v>0</v>
      </c>
      <c r="BR130" s="50">
        <v>0</v>
      </c>
      <c r="BS130" s="49">
        <v>16</v>
      </c>
      <c r="BT130" s="50">
        <v>51.612903225806448</v>
      </c>
      <c r="BU130" s="49">
        <v>31</v>
      </c>
    </row>
    <row r="131" spans="1:73" x14ac:dyDescent="0.25">
      <c r="A131" s="65" t="s">
        <v>308</v>
      </c>
      <c r="B131" s="65" t="s">
        <v>362</v>
      </c>
      <c r="C131" s="66"/>
      <c r="D131" s="67"/>
      <c r="E131" s="68"/>
      <c r="F131" s="69"/>
      <c r="G131" s="66"/>
      <c r="H131" s="70"/>
      <c r="I131" s="71"/>
      <c r="J131" s="71"/>
      <c r="K131" s="35" t="s">
        <v>65</v>
      </c>
      <c r="L131" s="79">
        <v>294</v>
      </c>
      <c r="M131" s="79"/>
      <c r="N131" s="73"/>
      <c r="O131" s="81" t="s">
        <v>367</v>
      </c>
      <c r="P131" s="83">
        <v>45205.747824074075</v>
      </c>
      <c r="Q131" s="81" t="s">
        <v>469</v>
      </c>
      <c r="R131" s="81">
        <v>4</v>
      </c>
      <c r="S131" s="81">
        <v>9</v>
      </c>
      <c r="T131" s="81">
        <v>1</v>
      </c>
      <c r="U131" s="81">
        <v>3</v>
      </c>
      <c r="V131" s="81">
        <v>2839</v>
      </c>
      <c r="W131" s="84" t="s">
        <v>496</v>
      </c>
      <c r="X131" s="86" t="str">
        <f>HYPERLINK("https://tucsonagenda.substack.com/p/monday-q-and-a-with-dr-jessica-retis?utm_campaign=email-half-post&amp;r=n7i1h&amp;utm_source=substack&amp;utm_medium=email&amp;utm_source=trellis&amp;utm_medium=email&amp;utm_campaign=Clips%20for%20Sep.%2023-25,%202023")</f>
        <v>https://tucsonagenda.substack.com/p/monday-q-and-a-with-dr-jessica-retis?utm_campaign=email-half-post&amp;r=n7i1h&amp;utm_source=substack&amp;utm_medium=email&amp;utm_source=trellis&amp;utm_medium=email&amp;utm_campaign=Clips%20for%20Sep.%2023-25,%202023</v>
      </c>
      <c r="Y131" s="81" t="s">
        <v>517</v>
      </c>
      <c r="Z131" s="81" t="s">
        <v>556</v>
      </c>
      <c r="AA131" s="81" t="s">
        <v>574</v>
      </c>
      <c r="AB131" s="81" t="s">
        <v>575</v>
      </c>
      <c r="AC131" s="84" t="s">
        <v>582</v>
      </c>
      <c r="AD131" s="81" t="s">
        <v>588</v>
      </c>
      <c r="AE131" s="86" t="str">
        <f>HYPERLINK("https://twitter.com/nahj/status/1710353444362395779")</f>
        <v>https://twitter.com/nahj/status/1710353444362395779</v>
      </c>
      <c r="AF131" s="83">
        <v>45205.747824074075</v>
      </c>
      <c r="AG131" s="89">
        <v>45205</v>
      </c>
      <c r="AH131" s="84" t="s">
        <v>718</v>
      </c>
      <c r="AI131" s="81" t="b">
        <v>0</v>
      </c>
      <c r="AJ131" s="81"/>
      <c r="AK131" s="81"/>
      <c r="AL131" s="81"/>
      <c r="AM131" s="81"/>
      <c r="AN131" s="81"/>
      <c r="AO131" s="81"/>
      <c r="AP131" s="81"/>
      <c r="AQ131" s="81" t="s">
        <v>743</v>
      </c>
      <c r="AR131" s="81"/>
      <c r="AS131" s="81"/>
      <c r="AT131" s="81"/>
      <c r="AU131" s="81"/>
      <c r="AV131" s="86" t="str">
        <f>HYPERLINK("https://pbs.twimg.com/media/F7xjwoJXoAAZcqr.jpg")</f>
        <v>https://pbs.twimg.com/media/F7xjwoJXoAAZcqr.jpg</v>
      </c>
      <c r="AW131" s="84" t="s">
        <v>872</v>
      </c>
      <c r="AX131" s="84" t="s">
        <v>872</v>
      </c>
      <c r="AY131" s="81"/>
      <c r="AZ131" s="84" t="s">
        <v>879</v>
      </c>
      <c r="BA131" s="84" t="s">
        <v>879</v>
      </c>
      <c r="BB131" s="84" t="s">
        <v>879</v>
      </c>
      <c r="BC131" s="84" t="s">
        <v>872</v>
      </c>
      <c r="BD131" s="81">
        <v>6819732</v>
      </c>
      <c r="BE131" s="81"/>
      <c r="BF131" s="81"/>
      <c r="BG131" s="81"/>
      <c r="BH131" s="81"/>
      <c r="BI131" s="81"/>
      <c r="BJ131">
        <v>1</v>
      </c>
      <c r="BK131" s="80" t="str">
        <f>REPLACE(INDEX(GroupVertices[Group], MATCH("~"&amp;Edges27[[#This Row],[Vertex 1]],GroupVertices[Vertex],0)),1,1,"")</f>
        <v>11</v>
      </c>
      <c r="BL131" s="80" t="str">
        <f>REPLACE(INDEX(GroupVertices[Group], MATCH("~"&amp;Edges27[[#This Row],[Vertex 2]],GroupVertices[Vertex],0)),1,1,"")</f>
        <v>11</v>
      </c>
      <c r="BM131" s="49"/>
      <c r="BN131" s="50"/>
      <c r="BO131" s="49"/>
      <c r="BP131" s="50"/>
      <c r="BQ131" s="49"/>
      <c r="BR131" s="50"/>
      <c r="BS131" s="49"/>
      <c r="BT131" s="50"/>
      <c r="BU131" s="49"/>
    </row>
    <row r="132" spans="1:73" x14ac:dyDescent="0.25">
      <c r="A132"/>
      <c r="B132"/>
      <c r="C132"/>
      <c r="D132"/>
      <c r="E132"/>
      <c r="F132"/>
      <c r="G132"/>
      <c r="H132"/>
      <c r="I132"/>
      <c r="J132"/>
      <c r="K132"/>
    </row>
    <row r="133" spans="1:73" x14ac:dyDescent="0.25">
      <c r="A133"/>
      <c r="B133"/>
      <c r="C133"/>
      <c r="D133"/>
      <c r="E133"/>
      <c r="F133"/>
      <c r="G133"/>
      <c r="H133"/>
      <c r="I133"/>
      <c r="J133"/>
      <c r="K133"/>
    </row>
    <row r="134" spans="1:73" x14ac:dyDescent="0.25">
      <c r="A134"/>
      <c r="B134"/>
      <c r="C134"/>
      <c r="D134"/>
      <c r="E134"/>
      <c r="F134"/>
      <c r="G134"/>
      <c r="H134"/>
      <c r="I134"/>
      <c r="J134"/>
      <c r="K134"/>
    </row>
    <row r="135" spans="1:73" x14ac:dyDescent="0.25">
      <c r="A135"/>
      <c r="B135"/>
      <c r="C135"/>
      <c r="D135"/>
      <c r="E135"/>
      <c r="F135"/>
      <c r="G135"/>
      <c r="H135"/>
      <c r="I135"/>
      <c r="J135"/>
      <c r="K135"/>
    </row>
    <row r="136" spans="1:73" x14ac:dyDescent="0.25">
      <c r="A136"/>
      <c r="B136"/>
      <c r="C136"/>
      <c r="D136"/>
      <c r="E136"/>
      <c r="F136"/>
      <c r="G136"/>
      <c r="H136"/>
      <c r="I136"/>
      <c r="J136"/>
      <c r="K136"/>
    </row>
    <row r="137" spans="1:73" x14ac:dyDescent="0.25">
      <c r="A137"/>
      <c r="B137"/>
      <c r="C137"/>
      <c r="D137"/>
      <c r="E137"/>
      <c r="F137"/>
      <c r="G137"/>
      <c r="H137"/>
      <c r="I137"/>
      <c r="J137"/>
      <c r="K137"/>
    </row>
    <row r="138" spans="1:73" x14ac:dyDescent="0.25">
      <c r="A138"/>
      <c r="B138"/>
      <c r="C138"/>
      <c r="D138"/>
      <c r="E138"/>
      <c r="F138"/>
      <c r="G138"/>
      <c r="H138"/>
      <c r="I138"/>
      <c r="J138"/>
      <c r="K138"/>
    </row>
    <row r="139" spans="1:73" x14ac:dyDescent="0.25">
      <c r="A139"/>
      <c r="B139"/>
      <c r="C139"/>
      <c r="D139"/>
      <c r="E139"/>
      <c r="F139"/>
      <c r="G139"/>
      <c r="H139"/>
      <c r="I139"/>
      <c r="J139"/>
      <c r="K139"/>
    </row>
    <row r="140" spans="1:73" x14ac:dyDescent="0.25">
      <c r="A140"/>
      <c r="B140"/>
      <c r="C140"/>
      <c r="D140"/>
      <c r="E140"/>
      <c r="F140"/>
      <c r="G140"/>
      <c r="H140"/>
      <c r="I140"/>
      <c r="J140"/>
      <c r="K140"/>
    </row>
    <row r="141" spans="1:73" x14ac:dyDescent="0.25">
      <c r="A141"/>
      <c r="B141"/>
      <c r="C141"/>
      <c r="D141"/>
      <c r="E141"/>
      <c r="F141"/>
      <c r="G141"/>
      <c r="H141"/>
      <c r="I141"/>
      <c r="J141"/>
      <c r="K141"/>
    </row>
    <row r="142" spans="1:73" x14ac:dyDescent="0.25">
      <c r="A142"/>
      <c r="B142"/>
      <c r="C142"/>
      <c r="D142"/>
      <c r="E142"/>
      <c r="F142"/>
      <c r="G142"/>
      <c r="H142"/>
      <c r="I142"/>
      <c r="J142"/>
      <c r="K142"/>
    </row>
    <row r="143" spans="1:73" x14ac:dyDescent="0.25">
      <c r="A143"/>
      <c r="B143"/>
      <c r="C143"/>
      <c r="D143"/>
      <c r="E143"/>
      <c r="F143"/>
      <c r="G143"/>
      <c r="H143"/>
      <c r="I143"/>
      <c r="J143"/>
      <c r="K143"/>
    </row>
    <row r="144" spans="1:73" x14ac:dyDescent="0.25">
      <c r="A144"/>
      <c r="B144"/>
      <c r="C144"/>
      <c r="D144"/>
      <c r="E144"/>
      <c r="F144"/>
      <c r="G144"/>
      <c r="H144"/>
      <c r="I144"/>
      <c r="J144"/>
      <c r="K144"/>
    </row>
    <row r="145" spans="1:11" x14ac:dyDescent="0.25">
      <c r="A145"/>
      <c r="B145"/>
      <c r="C145"/>
      <c r="D145"/>
      <c r="E145"/>
      <c r="F145"/>
      <c r="G145"/>
      <c r="H145"/>
      <c r="I145"/>
      <c r="J145"/>
      <c r="K145"/>
    </row>
    <row r="146" spans="1:11" x14ac:dyDescent="0.25">
      <c r="A146"/>
      <c r="B146"/>
      <c r="C146"/>
      <c r="D146"/>
      <c r="E146"/>
      <c r="F146"/>
      <c r="G146"/>
      <c r="H146"/>
      <c r="I146"/>
      <c r="J146"/>
      <c r="K146"/>
    </row>
    <row r="147" spans="1:11" x14ac:dyDescent="0.25">
      <c r="A147"/>
      <c r="B147"/>
      <c r="C147"/>
      <c r="D147"/>
      <c r="E147"/>
      <c r="F147"/>
      <c r="G147"/>
      <c r="H147"/>
      <c r="I147"/>
      <c r="J147"/>
      <c r="K147"/>
    </row>
    <row r="148" spans="1:11" x14ac:dyDescent="0.25">
      <c r="A148"/>
      <c r="B148"/>
      <c r="C148"/>
      <c r="D148"/>
      <c r="E148"/>
      <c r="F148"/>
      <c r="G148"/>
      <c r="H148"/>
      <c r="I148"/>
      <c r="J148"/>
      <c r="K148"/>
    </row>
    <row r="149" spans="1:11" x14ac:dyDescent="0.25">
      <c r="A149"/>
      <c r="B149"/>
      <c r="C149"/>
      <c r="D149"/>
      <c r="E149"/>
      <c r="F149"/>
      <c r="G149"/>
      <c r="H149"/>
      <c r="I149"/>
      <c r="J149"/>
      <c r="K149"/>
    </row>
    <row r="150" spans="1:11" x14ac:dyDescent="0.25">
      <c r="A150"/>
      <c r="B150"/>
      <c r="C150"/>
      <c r="D150"/>
      <c r="E150"/>
      <c r="F150"/>
      <c r="G150"/>
      <c r="H150"/>
      <c r="I150"/>
      <c r="J150"/>
      <c r="K150"/>
    </row>
    <row r="151" spans="1:11" x14ac:dyDescent="0.25">
      <c r="A151"/>
      <c r="B151"/>
      <c r="C151"/>
      <c r="D151"/>
      <c r="E151"/>
      <c r="F151"/>
      <c r="G151"/>
      <c r="H151"/>
      <c r="I151"/>
      <c r="J151"/>
      <c r="K151"/>
    </row>
    <row r="152" spans="1:11" x14ac:dyDescent="0.25">
      <c r="A152"/>
      <c r="B152"/>
      <c r="C152"/>
      <c r="D152"/>
      <c r="E152"/>
      <c r="F152"/>
      <c r="G152"/>
      <c r="H152"/>
      <c r="I152"/>
      <c r="J152"/>
      <c r="K152"/>
    </row>
    <row r="153" spans="1:11" x14ac:dyDescent="0.25">
      <c r="A153"/>
      <c r="B153"/>
      <c r="C153"/>
      <c r="D153"/>
      <c r="E153"/>
      <c r="F153"/>
      <c r="G153"/>
      <c r="H153"/>
      <c r="I153"/>
      <c r="J153"/>
      <c r="K153"/>
    </row>
    <row r="154" spans="1:11" x14ac:dyDescent="0.25">
      <c r="A154"/>
      <c r="B154"/>
      <c r="C154"/>
      <c r="D154"/>
      <c r="E154"/>
      <c r="F154"/>
      <c r="G154"/>
      <c r="H154"/>
      <c r="I154"/>
      <c r="J154"/>
      <c r="K154"/>
    </row>
    <row r="155" spans="1:11" x14ac:dyDescent="0.25">
      <c r="A155"/>
      <c r="B155"/>
      <c r="C155"/>
      <c r="D155"/>
      <c r="E155"/>
      <c r="F155"/>
      <c r="G155"/>
      <c r="H155"/>
      <c r="I155"/>
      <c r="J155"/>
      <c r="K155"/>
    </row>
    <row r="156" spans="1:11" x14ac:dyDescent="0.25">
      <c r="A156"/>
      <c r="B156"/>
      <c r="C156"/>
      <c r="D156"/>
      <c r="E156"/>
      <c r="F156"/>
      <c r="G156"/>
      <c r="H156"/>
      <c r="I156"/>
      <c r="J156"/>
      <c r="K156"/>
    </row>
    <row r="157" spans="1:11" x14ac:dyDescent="0.25">
      <c r="A157"/>
      <c r="B157"/>
      <c r="C157"/>
      <c r="D157"/>
      <c r="E157"/>
      <c r="F157"/>
      <c r="G157"/>
      <c r="H157"/>
      <c r="I157"/>
      <c r="J157"/>
      <c r="K157"/>
    </row>
    <row r="158" spans="1:11" x14ac:dyDescent="0.25">
      <c r="A158"/>
      <c r="B158"/>
      <c r="C158"/>
      <c r="D158"/>
      <c r="E158"/>
      <c r="F158"/>
      <c r="G158"/>
      <c r="H158"/>
      <c r="I158"/>
      <c r="J158"/>
      <c r="K158"/>
    </row>
    <row r="159" spans="1:11" x14ac:dyDescent="0.25">
      <c r="A159"/>
      <c r="B159"/>
      <c r="C159"/>
      <c r="D159"/>
      <c r="E159"/>
      <c r="F159"/>
      <c r="G159"/>
      <c r="H159"/>
      <c r="I159"/>
      <c r="J159"/>
      <c r="K159"/>
    </row>
    <row r="160" spans="1:11" x14ac:dyDescent="0.25">
      <c r="A160"/>
      <c r="B160"/>
      <c r="C160"/>
      <c r="D160"/>
      <c r="E160"/>
      <c r="F160"/>
      <c r="G160"/>
      <c r="H160"/>
      <c r="I160"/>
      <c r="J160"/>
      <c r="K160"/>
    </row>
    <row r="161" spans="1:11" x14ac:dyDescent="0.25">
      <c r="A161"/>
      <c r="B161"/>
      <c r="C161"/>
      <c r="D161"/>
      <c r="E161"/>
      <c r="F161"/>
      <c r="G161"/>
      <c r="H161"/>
      <c r="I161"/>
      <c r="J161"/>
      <c r="K161"/>
    </row>
    <row r="162" spans="1:11" x14ac:dyDescent="0.25">
      <c r="A162"/>
      <c r="B162"/>
      <c r="C162"/>
      <c r="D162"/>
      <c r="E162"/>
      <c r="F162"/>
      <c r="G162"/>
      <c r="H162"/>
      <c r="I162"/>
      <c r="J162"/>
      <c r="K162"/>
    </row>
    <row r="163" spans="1:11" x14ac:dyDescent="0.25">
      <c r="A163"/>
      <c r="B163"/>
      <c r="C163"/>
      <c r="D163"/>
      <c r="E163"/>
      <c r="F163"/>
      <c r="G163"/>
      <c r="H163"/>
      <c r="I163"/>
      <c r="J163"/>
      <c r="K163"/>
    </row>
    <row r="164" spans="1:11" x14ac:dyDescent="0.25">
      <c r="A164"/>
      <c r="B164"/>
      <c r="C164"/>
      <c r="D164"/>
      <c r="E164"/>
      <c r="F164"/>
      <c r="G164"/>
      <c r="H164"/>
      <c r="I164"/>
      <c r="J164"/>
      <c r="K164"/>
    </row>
    <row r="165" spans="1:11" x14ac:dyDescent="0.25">
      <c r="A165"/>
      <c r="B165"/>
      <c r="C165"/>
      <c r="D165"/>
      <c r="E165"/>
      <c r="F165"/>
      <c r="G165"/>
      <c r="H165"/>
      <c r="I165"/>
      <c r="J165"/>
      <c r="K165"/>
    </row>
    <row r="166" spans="1:11" x14ac:dyDescent="0.25">
      <c r="A166"/>
      <c r="B166"/>
      <c r="C166"/>
      <c r="D166"/>
      <c r="E166"/>
      <c r="F166"/>
      <c r="G166"/>
      <c r="H166"/>
      <c r="I166"/>
      <c r="J166"/>
      <c r="K166"/>
    </row>
    <row r="167" spans="1:11" x14ac:dyDescent="0.25">
      <c r="A167"/>
      <c r="B167"/>
      <c r="C167"/>
      <c r="D167"/>
      <c r="E167"/>
      <c r="F167"/>
      <c r="G167"/>
      <c r="H167"/>
      <c r="I167"/>
      <c r="J167"/>
      <c r="K167"/>
    </row>
    <row r="168" spans="1:11" x14ac:dyDescent="0.25">
      <c r="A168"/>
      <c r="B168"/>
      <c r="C168"/>
      <c r="D168"/>
      <c r="E168"/>
      <c r="F168"/>
      <c r="G168"/>
      <c r="H168"/>
      <c r="I168"/>
      <c r="J168"/>
      <c r="K168"/>
    </row>
    <row r="169" spans="1:11" x14ac:dyDescent="0.25">
      <c r="A169"/>
      <c r="B169"/>
      <c r="C169"/>
      <c r="D169"/>
      <c r="E169"/>
      <c r="F169"/>
      <c r="G169"/>
      <c r="H169"/>
      <c r="I169"/>
      <c r="J169"/>
      <c r="K169"/>
    </row>
    <row r="170" spans="1:11" x14ac:dyDescent="0.25">
      <c r="A170"/>
      <c r="B170"/>
      <c r="C170"/>
      <c r="D170"/>
      <c r="E170"/>
      <c r="F170"/>
      <c r="G170"/>
      <c r="H170"/>
      <c r="I170"/>
      <c r="J170"/>
      <c r="K170"/>
    </row>
    <row r="171" spans="1:11" x14ac:dyDescent="0.25">
      <c r="A171"/>
      <c r="B171"/>
      <c r="C171"/>
      <c r="D171"/>
      <c r="E171"/>
      <c r="F171"/>
      <c r="G171"/>
      <c r="H171"/>
      <c r="I171"/>
      <c r="J171"/>
      <c r="K171"/>
    </row>
    <row r="172" spans="1:11" x14ac:dyDescent="0.25">
      <c r="A172"/>
      <c r="B172"/>
      <c r="C172"/>
      <c r="D172"/>
      <c r="E172"/>
      <c r="F172"/>
      <c r="G172"/>
      <c r="H172"/>
      <c r="I172"/>
      <c r="J172"/>
      <c r="K172"/>
    </row>
    <row r="173" spans="1:11" x14ac:dyDescent="0.25">
      <c r="A173"/>
      <c r="B173"/>
      <c r="C173"/>
      <c r="D173"/>
      <c r="E173"/>
      <c r="F173"/>
      <c r="G173"/>
      <c r="H173"/>
      <c r="I173"/>
      <c r="J173"/>
      <c r="K173"/>
    </row>
    <row r="174" spans="1:11" x14ac:dyDescent="0.25">
      <c r="A174"/>
      <c r="B174"/>
      <c r="C174"/>
      <c r="D174"/>
      <c r="E174"/>
      <c r="F174"/>
      <c r="G174"/>
      <c r="H174"/>
      <c r="I174"/>
      <c r="J174"/>
      <c r="K174"/>
    </row>
    <row r="175" spans="1:11" x14ac:dyDescent="0.25">
      <c r="A175"/>
      <c r="B175"/>
      <c r="C175"/>
      <c r="D175"/>
      <c r="E175"/>
      <c r="F175"/>
      <c r="G175"/>
      <c r="H175"/>
      <c r="I175"/>
      <c r="J175"/>
      <c r="K175"/>
    </row>
    <row r="176" spans="1:11" x14ac:dyDescent="0.25">
      <c r="A176"/>
      <c r="B176"/>
      <c r="C176"/>
      <c r="D176"/>
      <c r="E176"/>
      <c r="F176"/>
      <c r="G176"/>
      <c r="H176"/>
      <c r="I176"/>
      <c r="J176"/>
      <c r="K176"/>
    </row>
    <row r="177" spans="1:11" x14ac:dyDescent="0.25">
      <c r="A177"/>
      <c r="B177"/>
      <c r="C177"/>
      <c r="D177"/>
      <c r="E177"/>
      <c r="F177"/>
      <c r="G177"/>
      <c r="H177"/>
      <c r="I177"/>
      <c r="J177"/>
      <c r="K177"/>
    </row>
    <row r="178" spans="1:11" x14ac:dyDescent="0.25">
      <c r="A178"/>
      <c r="B178"/>
      <c r="C178"/>
      <c r="D178"/>
      <c r="E178"/>
      <c r="F178"/>
      <c r="G178"/>
      <c r="H178"/>
      <c r="I178"/>
      <c r="J178"/>
      <c r="K178"/>
    </row>
    <row r="179" spans="1:11" x14ac:dyDescent="0.25">
      <c r="A179"/>
      <c r="B179"/>
      <c r="C179"/>
      <c r="D179"/>
      <c r="E179"/>
      <c r="F179"/>
      <c r="G179"/>
      <c r="H179"/>
      <c r="I179"/>
      <c r="J179"/>
      <c r="K179"/>
    </row>
    <row r="180" spans="1:11" x14ac:dyDescent="0.25">
      <c r="A180"/>
      <c r="B180"/>
      <c r="C180"/>
      <c r="D180"/>
      <c r="E180"/>
      <c r="F180"/>
      <c r="G180"/>
      <c r="H180"/>
      <c r="I180"/>
      <c r="J180"/>
      <c r="K180"/>
    </row>
    <row r="181" spans="1:11" x14ac:dyDescent="0.25">
      <c r="A181"/>
      <c r="B181"/>
      <c r="C181"/>
      <c r="D181"/>
      <c r="E181"/>
      <c r="F181"/>
      <c r="G181"/>
      <c r="H181"/>
      <c r="I181"/>
      <c r="J181"/>
      <c r="K181"/>
    </row>
    <row r="182" spans="1:11" x14ac:dyDescent="0.25">
      <c r="A182"/>
      <c r="B182"/>
      <c r="C182"/>
      <c r="D182"/>
      <c r="E182"/>
      <c r="F182"/>
      <c r="G182"/>
      <c r="H182"/>
      <c r="I182"/>
      <c r="J182"/>
      <c r="K182"/>
    </row>
    <row r="183" spans="1:11" x14ac:dyDescent="0.25">
      <c r="A183"/>
      <c r="B183"/>
      <c r="C183"/>
      <c r="D183"/>
      <c r="E183"/>
      <c r="F183"/>
      <c r="G183"/>
      <c r="H183"/>
      <c r="I183"/>
      <c r="J183"/>
      <c r="K183"/>
    </row>
    <row r="184" spans="1:11" x14ac:dyDescent="0.25">
      <c r="A184"/>
      <c r="B184"/>
      <c r="C184"/>
      <c r="D184"/>
      <c r="E184"/>
      <c r="F184"/>
      <c r="G184"/>
      <c r="H184"/>
      <c r="I184"/>
      <c r="J184"/>
      <c r="K184"/>
    </row>
    <row r="185" spans="1:11" x14ac:dyDescent="0.25">
      <c r="A185"/>
      <c r="B185"/>
      <c r="C185"/>
      <c r="D185"/>
      <c r="E185"/>
      <c r="F185"/>
      <c r="G185"/>
      <c r="H185"/>
      <c r="I185"/>
      <c r="J185"/>
      <c r="K185"/>
    </row>
    <row r="186" spans="1:11" x14ac:dyDescent="0.25">
      <c r="A186"/>
      <c r="B186"/>
      <c r="C186"/>
      <c r="D186"/>
      <c r="E186"/>
      <c r="F186"/>
      <c r="G186"/>
      <c r="H186"/>
      <c r="I186"/>
      <c r="J186"/>
      <c r="K186"/>
    </row>
    <row r="187" spans="1:11" x14ac:dyDescent="0.25">
      <c r="A187"/>
      <c r="B187"/>
      <c r="C187"/>
      <c r="D187"/>
      <c r="E187"/>
      <c r="F187"/>
      <c r="G187"/>
      <c r="H187"/>
      <c r="I187"/>
      <c r="J187"/>
      <c r="K187"/>
    </row>
    <row r="188" spans="1:11" x14ac:dyDescent="0.25">
      <c r="A188"/>
      <c r="B188"/>
      <c r="C188"/>
      <c r="D188"/>
      <c r="E188"/>
      <c r="F188"/>
      <c r="G188"/>
      <c r="H188"/>
      <c r="I188"/>
      <c r="J188"/>
      <c r="K188"/>
    </row>
    <row r="189" spans="1:11" x14ac:dyDescent="0.25">
      <c r="A189"/>
      <c r="B189"/>
      <c r="C189"/>
      <c r="D189"/>
      <c r="E189"/>
      <c r="F189"/>
      <c r="G189"/>
      <c r="H189"/>
      <c r="I189"/>
      <c r="J189"/>
      <c r="K189"/>
    </row>
    <row r="190" spans="1:11" x14ac:dyDescent="0.25">
      <c r="A190"/>
      <c r="B190"/>
      <c r="C190"/>
      <c r="D190"/>
      <c r="E190"/>
      <c r="F190"/>
      <c r="G190"/>
      <c r="H190"/>
      <c r="I190"/>
      <c r="J190"/>
      <c r="K190"/>
    </row>
    <row r="191" spans="1:11" x14ac:dyDescent="0.25">
      <c r="A191"/>
      <c r="B191"/>
      <c r="C191"/>
      <c r="D191"/>
      <c r="E191"/>
      <c r="F191"/>
      <c r="G191"/>
      <c r="H191"/>
      <c r="I191"/>
      <c r="J191"/>
      <c r="K191"/>
    </row>
    <row r="192" spans="1:11" x14ac:dyDescent="0.25">
      <c r="A192"/>
      <c r="B192"/>
      <c r="C192"/>
      <c r="D192"/>
      <c r="E192"/>
      <c r="F192"/>
      <c r="G192"/>
      <c r="H192"/>
      <c r="I192"/>
      <c r="J192"/>
      <c r="K192"/>
    </row>
    <row r="193" spans="1:11" x14ac:dyDescent="0.25">
      <c r="A193"/>
      <c r="B193"/>
      <c r="C193"/>
      <c r="D193"/>
      <c r="E193"/>
      <c r="F193"/>
      <c r="G193"/>
      <c r="H193"/>
      <c r="I193"/>
      <c r="J193"/>
      <c r="K193"/>
    </row>
    <row r="194" spans="1:11" x14ac:dyDescent="0.25">
      <c r="A194"/>
      <c r="B194"/>
      <c r="C194"/>
      <c r="D194"/>
      <c r="E194"/>
      <c r="F194"/>
      <c r="G194"/>
      <c r="H194"/>
      <c r="I194"/>
      <c r="J194"/>
      <c r="K194"/>
    </row>
    <row r="195" spans="1:11" x14ac:dyDescent="0.25">
      <c r="A195"/>
      <c r="B195"/>
      <c r="C195"/>
      <c r="D195"/>
      <c r="E195"/>
      <c r="F195"/>
      <c r="G195"/>
      <c r="H195"/>
      <c r="I195"/>
      <c r="J195"/>
      <c r="K195"/>
    </row>
    <row r="196" spans="1:11" x14ac:dyDescent="0.25">
      <c r="A196"/>
      <c r="B196"/>
      <c r="C196"/>
      <c r="D196"/>
      <c r="E196"/>
      <c r="F196"/>
      <c r="G196"/>
      <c r="H196"/>
      <c r="I196"/>
      <c r="J196"/>
      <c r="K196"/>
    </row>
    <row r="197" spans="1:11" x14ac:dyDescent="0.25">
      <c r="A197"/>
      <c r="B197"/>
      <c r="C197"/>
      <c r="D197"/>
      <c r="E197"/>
      <c r="F197"/>
      <c r="G197"/>
      <c r="H197"/>
      <c r="I197"/>
      <c r="J197"/>
      <c r="K197"/>
    </row>
    <row r="198" spans="1:11" x14ac:dyDescent="0.25">
      <c r="A198"/>
      <c r="B198"/>
      <c r="C198"/>
      <c r="D198"/>
      <c r="E198"/>
      <c r="F198"/>
      <c r="G198"/>
      <c r="H198"/>
      <c r="I198"/>
      <c r="J198"/>
      <c r="K198"/>
    </row>
    <row r="199" spans="1:11" x14ac:dyDescent="0.25">
      <c r="A199"/>
      <c r="B199"/>
      <c r="C199"/>
      <c r="D199"/>
      <c r="E199"/>
      <c r="F199"/>
      <c r="G199"/>
      <c r="H199"/>
      <c r="I199"/>
      <c r="J199"/>
      <c r="K199"/>
    </row>
    <row r="200" spans="1:11" x14ac:dyDescent="0.25">
      <c r="A200"/>
      <c r="B200"/>
      <c r="C200"/>
      <c r="D200"/>
      <c r="E200"/>
      <c r="F200"/>
      <c r="G200"/>
      <c r="H200"/>
      <c r="I200"/>
      <c r="J200"/>
      <c r="K200"/>
    </row>
    <row r="201" spans="1:11" x14ac:dyDescent="0.25">
      <c r="A201"/>
      <c r="B201"/>
      <c r="C201"/>
      <c r="D201"/>
      <c r="E201"/>
      <c r="F201"/>
      <c r="G201"/>
      <c r="H201"/>
      <c r="I201"/>
      <c r="J201"/>
      <c r="K201"/>
    </row>
    <row r="202" spans="1:11" x14ac:dyDescent="0.25">
      <c r="A202"/>
      <c r="B202"/>
      <c r="C202"/>
      <c r="D202"/>
      <c r="E202"/>
      <c r="F202"/>
      <c r="G202"/>
      <c r="H202"/>
      <c r="I202"/>
      <c r="J202"/>
      <c r="K202"/>
    </row>
    <row r="203" spans="1:11" x14ac:dyDescent="0.25">
      <c r="A203"/>
      <c r="B203"/>
      <c r="C203"/>
      <c r="D203"/>
      <c r="E203"/>
      <c r="F203"/>
      <c r="G203"/>
      <c r="H203"/>
      <c r="I203"/>
      <c r="J203"/>
      <c r="K203"/>
    </row>
    <row r="204" spans="1:11" x14ac:dyDescent="0.25">
      <c r="A204"/>
      <c r="B204"/>
      <c r="C204"/>
      <c r="D204"/>
      <c r="E204"/>
      <c r="F204"/>
      <c r="G204"/>
      <c r="H204"/>
      <c r="I204"/>
      <c r="J204"/>
      <c r="K204"/>
    </row>
    <row r="205" spans="1:11" x14ac:dyDescent="0.25">
      <c r="A205"/>
      <c r="B205"/>
      <c r="C205"/>
      <c r="D205"/>
      <c r="E205"/>
      <c r="F205"/>
      <c r="G205"/>
      <c r="H205"/>
      <c r="I205"/>
      <c r="J205"/>
      <c r="K205"/>
    </row>
    <row r="206" spans="1:11" x14ac:dyDescent="0.25">
      <c r="A206"/>
      <c r="B206"/>
      <c r="C206"/>
      <c r="D206"/>
      <c r="E206"/>
      <c r="F206"/>
      <c r="G206"/>
      <c r="H206"/>
      <c r="I206"/>
      <c r="J206"/>
      <c r="K206"/>
    </row>
    <row r="207" spans="1:11" x14ac:dyDescent="0.25">
      <c r="A207"/>
      <c r="B207"/>
      <c r="C207"/>
      <c r="D207"/>
      <c r="E207"/>
      <c r="F207"/>
      <c r="G207"/>
      <c r="H207"/>
      <c r="I207"/>
      <c r="J207"/>
      <c r="K207"/>
    </row>
    <row r="208" spans="1:11" x14ac:dyDescent="0.25">
      <c r="A208"/>
      <c r="B208"/>
      <c r="C208"/>
      <c r="D208"/>
      <c r="E208"/>
      <c r="F208"/>
      <c r="G208"/>
      <c r="H208"/>
      <c r="I208"/>
      <c r="J208"/>
      <c r="K208"/>
    </row>
    <row r="209" spans="1:11" x14ac:dyDescent="0.25">
      <c r="A209"/>
      <c r="B209"/>
      <c r="C209"/>
      <c r="D209"/>
      <c r="E209"/>
      <c r="F209"/>
      <c r="G209"/>
      <c r="H209"/>
      <c r="I209"/>
      <c r="J209"/>
      <c r="K209"/>
    </row>
    <row r="210" spans="1:11" x14ac:dyDescent="0.25">
      <c r="A210"/>
      <c r="B210"/>
      <c r="C210"/>
      <c r="D210"/>
      <c r="E210"/>
      <c r="F210"/>
      <c r="G210"/>
      <c r="H210"/>
      <c r="I210"/>
      <c r="J210"/>
      <c r="K210"/>
    </row>
    <row r="211" spans="1:11" x14ac:dyDescent="0.25">
      <c r="A211"/>
      <c r="B211"/>
      <c r="C211"/>
      <c r="D211"/>
      <c r="E211"/>
      <c r="F211"/>
      <c r="G211"/>
      <c r="H211"/>
      <c r="I211"/>
      <c r="J211"/>
      <c r="K211"/>
    </row>
    <row r="212" spans="1:11" x14ac:dyDescent="0.25">
      <c r="A212"/>
      <c r="B212"/>
      <c r="C212"/>
      <c r="D212"/>
      <c r="E212"/>
      <c r="F212"/>
      <c r="G212"/>
      <c r="H212"/>
      <c r="I212"/>
      <c r="J212"/>
      <c r="K212"/>
    </row>
    <row r="213" spans="1:11" x14ac:dyDescent="0.25">
      <c r="A213"/>
      <c r="B213"/>
      <c r="C213"/>
      <c r="D213"/>
      <c r="E213"/>
      <c r="F213"/>
      <c r="G213"/>
      <c r="H213"/>
      <c r="I213"/>
      <c r="J213"/>
      <c r="K213"/>
    </row>
    <row r="214" spans="1:11" x14ac:dyDescent="0.25">
      <c r="A214"/>
      <c r="B214"/>
      <c r="C214"/>
      <c r="D214"/>
      <c r="E214"/>
      <c r="F214"/>
      <c r="G214"/>
      <c r="H214"/>
      <c r="I214"/>
      <c r="J214"/>
      <c r="K214"/>
    </row>
    <row r="215" spans="1:11" x14ac:dyDescent="0.25">
      <c r="A215"/>
      <c r="B215"/>
      <c r="C215"/>
      <c r="D215"/>
      <c r="E215"/>
      <c r="F215"/>
      <c r="G215"/>
      <c r="H215"/>
      <c r="I215"/>
      <c r="J215"/>
      <c r="K215"/>
    </row>
    <row r="216" spans="1:11" x14ac:dyDescent="0.25">
      <c r="A216"/>
      <c r="B216"/>
      <c r="C216"/>
      <c r="D216"/>
      <c r="E216"/>
      <c r="F216"/>
      <c r="G216"/>
      <c r="H216"/>
      <c r="I216"/>
      <c r="J216"/>
      <c r="K216"/>
    </row>
    <row r="217" spans="1:11" x14ac:dyDescent="0.25">
      <c r="A217"/>
      <c r="B217"/>
      <c r="C217"/>
      <c r="D217"/>
      <c r="E217"/>
      <c r="F217"/>
      <c r="G217"/>
      <c r="H217"/>
      <c r="I217"/>
      <c r="J217"/>
      <c r="K217"/>
    </row>
    <row r="218" spans="1:11" x14ac:dyDescent="0.25">
      <c r="A218"/>
      <c r="B218"/>
      <c r="C218"/>
      <c r="D218"/>
      <c r="E218"/>
      <c r="F218"/>
      <c r="G218"/>
      <c r="H218"/>
      <c r="I218"/>
      <c r="J218"/>
      <c r="K218"/>
    </row>
    <row r="219" spans="1:11" x14ac:dyDescent="0.25">
      <c r="A219"/>
      <c r="B219"/>
      <c r="C219"/>
      <c r="D219"/>
      <c r="E219"/>
      <c r="F219"/>
      <c r="G219"/>
      <c r="H219"/>
      <c r="I219"/>
      <c r="J219"/>
      <c r="K219"/>
    </row>
    <row r="220" spans="1:11" x14ac:dyDescent="0.25">
      <c r="A220"/>
      <c r="B220"/>
      <c r="C220"/>
      <c r="D220"/>
      <c r="E220"/>
      <c r="F220"/>
      <c r="G220"/>
      <c r="H220"/>
      <c r="I220"/>
      <c r="J220"/>
      <c r="K220"/>
    </row>
    <row r="221" spans="1:11" x14ac:dyDescent="0.25">
      <c r="A221"/>
      <c r="B221"/>
      <c r="C221"/>
      <c r="D221"/>
      <c r="E221"/>
      <c r="F221"/>
      <c r="G221"/>
      <c r="H221"/>
      <c r="I221"/>
      <c r="J221"/>
      <c r="K221"/>
    </row>
    <row r="222" spans="1:11" x14ac:dyDescent="0.25">
      <c r="A222"/>
      <c r="B222"/>
      <c r="C222"/>
      <c r="D222"/>
      <c r="E222"/>
      <c r="F222"/>
      <c r="G222"/>
      <c r="H222"/>
      <c r="I222"/>
      <c r="J222"/>
      <c r="K222"/>
    </row>
    <row r="223" spans="1:11" x14ac:dyDescent="0.25">
      <c r="A223"/>
      <c r="B223"/>
      <c r="C223"/>
      <c r="D223"/>
      <c r="E223"/>
      <c r="F223"/>
      <c r="G223"/>
      <c r="H223"/>
      <c r="I223"/>
      <c r="J223"/>
      <c r="K223"/>
    </row>
    <row r="224" spans="1:11" x14ac:dyDescent="0.25">
      <c r="A224"/>
      <c r="B224"/>
      <c r="C224"/>
      <c r="D224"/>
      <c r="E224"/>
      <c r="F224"/>
      <c r="G224"/>
      <c r="H224"/>
      <c r="I224"/>
      <c r="J224"/>
      <c r="K224"/>
    </row>
    <row r="225" spans="1:11" x14ac:dyDescent="0.25">
      <c r="A225"/>
      <c r="B225"/>
      <c r="C225"/>
      <c r="D225"/>
      <c r="E225"/>
      <c r="F225"/>
      <c r="G225"/>
      <c r="H225"/>
      <c r="I225"/>
      <c r="J225"/>
      <c r="K225"/>
    </row>
    <row r="226" spans="1:11" x14ac:dyDescent="0.25">
      <c r="A226"/>
      <c r="B226"/>
      <c r="C226"/>
      <c r="D226"/>
      <c r="E226"/>
      <c r="F226"/>
      <c r="G226"/>
      <c r="H226"/>
      <c r="I226"/>
      <c r="J226"/>
      <c r="K226"/>
    </row>
    <row r="227" spans="1:11" x14ac:dyDescent="0.25">
      <c r="A227"/>
      <c r="B227"/>
      <c r="C227"/>
      <c r="D227"/>
      <c r="E227"/>
      <c r="F227"/>
      <c r="G227"/>
      <c r="H227"/>
      <c r="I227"/>
      <c r="J227"/>
      <c r="K227"/>
    </row>
    <row r="228" spans="1:11" x14ac:dyDescent="0.25">
      <c r="A228"/>
      <c r="B228"/>
      <c r="C228"/>
      <c r="D228"/>
      <c r="E228"/>
      <c r="F228"/>
      <c r="G228"/>
      <c r="H228"/>
      <c r="I228"/>
      <c r="J228"/>
      <c r="K228"/>
    </row>
    <row r="229" spans="1:11" x14ac:dyDescent="0.25">
      <c r="A229"/>
      <c r="B229"/>
      <c r="C229"/>
      <c r="D229"/>
      <c r="E229"/>
      <c r="F229"/>
      <c r="G229"/>
      <c r="H229"/>
      <c r="I229"/>
      <c r="J229"/>
      <c r="K229"/>
    </row>
    <row r="230" spans="1:11" x14ac:dyDescent="0.25">
      <c r="A230"/>
      <c r="B230"/>
      <c r="C230"/>
      <c r="D230"/>
      <c r="E230"/>
      <c r="F230"/>
      <c r="G230"/>
      <c r="H230"/>
      <c r="I230"/>
      <c r="J230"/>
      <c r="K230"/>
    </row>
    <row r="231" spans="1:11" x14ac:dyDescent="0.25">
      <c r="A231"/>
      <c r="B231"/>
      <c r="C231"/>
      <c r="D231"/>
      <c r="E231"/>
      <c r="F231"/>
      <c r="G231"/>
      <c r="H231"/>
      <c r="I231"/>
      <c r="J231"/>
      <c r="K231"/>
    </row>
    <row r="232" spans="1:11" x14ac:dyDescent="0.25">
      <c r="A232"/>
      <c r="B232"/>
      <c r="C232"/>
      <c r="D232"/>
      <c r="E232"/>
      <c r="F232"/>
      <c r="G232"/>
      <c r="H232"/>
      <c r="I232"/>
      <c r="J232"/>
      <c r="K232"/>
    </row>
    <row r="233" spans="1:11" x14ac:dyDescent="0.25">
      <c r="A233"/>
      <c r="B233"/>
      <c r="C233"/>
      <c r="D233"/>
      <c r="E233"/>
      <c r="F233"/>
      <c r="G233"/>
      <c r="H233"/>
      <c r="I233"/>
      <c r="J233"/>
      <c r="K233"/>
    </row>
    <row r="234" spans="1:11" x14ac:dyDescent="0.25">
      <c r="A234"/>
      <c r="B234"/>
      <c r="C234"/>
      <c r="D234"/>
      <c r="E234"/>
      <c r="F234"/>
      <c r="G234"/>
      <c r="H234"/>
      <c r="I234"/>
      <c r="J234"/>
      <c r="K234"/>
    </row>
    <row r="235" spans="1:11" x14ac:dyDescent="0.25">
      <c r="A235"/>
      <c r="B235"/>
      <c r="C235"/>
      <c r="D235"/>
      <c r="E235"/>
      <c r="F235"/>
      <c r="G235"/>
      <c r="H235"/>
      <c r="I235"/>
      <c r="J235"/>
      <c r="K235"/>
    </row>
    <row r="236" spans="1:11" x14ac:dyDescent="0.25">
      <c r="A236"/>
      <c r="B236"/>
      <c r="C236"/>
      <c r="D236"/>
      <c r="E236"/>
      <c r="F236"/>
      <c r="G236"/>
      <c r="H236"/>
      <c r="I236"/>
      <c r="J236"/>
      <c r="K236"/>
    </row>
    <row r="237" spans="1:11" x14ac:dyDescent="0.25">
      <c r="A237"/>
      <c r="B237"/>
      <c r="C237"/>
      <c r="D237"/>
      <c r="E237"/>
      <c r="F237"/>
      <c r="G237"/>
      <c r="H237"/>
      <c r="I237"/>
      <c r="J237"/>
      <c r="K237"/>
    </row>
    <row r="238" spans="1:11" x14ac:dyDescent="0.25">
      <c r="A238"/>
      <c r="B238"/>
      <c r="C238"/>
      <c r="D238"/>
      <c r="E238"/>
      <c r="F238"/>
      <c r="G238"/>
      <c r="H238"/>
      <c r="I238"/>
      <c r="J238"/>
      <c r="K238"/>
    </row>
    <row r="239" spans="1:11" x14ac:dyDescent="0.25">
      <c r="A239"/>
      <c r="B239"/>
      <c r="C239"/>
      <c r="D239"/>
      <c r="E239"/>
      <c r="F239"/>
      <c r="G239"/>
      <c r="H239"/>
      <c r="I239"/>
      <c r="J239"/>
      <c r="K239"/>
    </row>
    <row r="240" spans="1:11" x14ac:dyDescent="0.25">
      <c r="A240"/>
      <c r="B240"/>
      <c r="C240"/>
      <c r="D240"/>
      <c r="E240"/>
      <c r="F240"/>
      <c r="G240"/>
      <c r="H240"/>
      <c r="I240"/>
      <c r="J240"/>
      <c r="K240"/>
    </row>
    <row r="241" spans="1:11" x14ac:dyDescent="0.25">
      <c r="A241"/>
      <c r="B241"/>
      <c r="C241"/>
      <c r="D241"/>
      <c r="E241"/>
      <c r="F241"/>
      <c r="G241"/>
      <c r="H241"/>
      <c r="I241"/>
      <c r="J241"/>
      <c r="K241"/>
    </row>
    <row r="242" spans="1:11" x14ac:dyDescent="0.25">
      <c r="A242"/>
      <c r="B242"/>
      <c r="C242"/>
      <c r="D242"/>
      <c r="E242"/>
      <c r="F242"/>
      <c r="G242"/>
      <c r="H242"/>
      <c r="I242"/>
      <c r="J242"/>
      <c r="K242"/>
    </row>
    <row r="243" spans="1:11" x14ac:dyDescent="0.25">
      <c r="A243"/>
      <c r="B243"/>
      <c r="C243"/>
      <c r="D243"/>
      <c r="E243"/>
      <c r="F243"/>
      <c r="G243"/>
      <c r="H243"/>
      <c r="I243"/>
      <c r="J243"/>
      <c r="K243"/>
    </row>
    <row r="244" spans="1:11" x14ac:dyDescent="0.25">
      <c r="A244"/>
      <c r="B244"/>
      <c r="C244"/>
      <c r="D244"/>
      <c r="E244"/>
      <c r="F244"/>
      <c r="G244"/>
      <c r="H244"/>
      <c r="I244"/>
      <c r="J244"/>
      <c r="K244"/>
    </row>
    <row r="245" spans="1:11" x14ac:dyDescent="0.25">
      <c r="A245"/>
      <c r="B245"/>
      <c r="C245"/>
      <c r="D245"/>
      <c r="E245"/>
      <c r="F245"/>
      <c r="G245"/>
      <c r="H245"/>
      <c r="I245"/>
      <c r="J245"/>
      <c r="K245"/>
    </row>
    <row r="246" spans="1:11" x14ac:dyDescent="0.25">
      <c r="A246"/>
      <c r="B246"/>
      <c r="C246"/>
      <c r="D246"/>
      <c r="E246"/>
      <c r="F246"/>
      <c r="G246"/>
      <c r="H246"/>
      <c r="I246"/>
      <c r="J246"/>
      <c r="K246"/>
    </row>
    <row r="247" spans="1:11" x14ac:dyDescent="0.25">
      <c r="A247"/>
      <c r="B247"/>
      <c r="C247"/>
      <c r="D247"/>
      <c r="E247"/>
      <c r="F247"/>
      <c r="G247"/>
      <c r="H247"/>
      <c r="I247"/>
      <c r="J247"/>
      <c r="K247"/>
    </row>
    <row r="248" spans="1:11" x14ac:dyDescent="0.25">
      <c r="A248"/>
      <c r="B248"/>
      <c r="C248"/>
      <c r="D248"/>
      <c r="E248"/>
      <c r="F248"/>
      <c r="G248"/>
      <c r="H248"/>
      <c r="I248"/>
      <c r="J248"/>
      <c r="K248"/>
    </row>
    <row r="249" spans="1:11" x14ac:dyDescent="0.25">
      <c r="A249"/>
      <c r="B249"/>
      <c r="C249"/>
      <c r="D249"/>
      <c r="E249"/>
      <c r="F249"/>
      <c r="G249"/>
      <c r="H249"/>
      <c r="I249"/>
      <c r="J249"/>
      <c r="K249"/>
    </row>
    <row r="250" spans="1:11" x14ac:dyDescent="0.25">
      <c r="A250"/>
      <c r="B250"/>
      <c r="C250"/>
      <c r="D250"/>
      <c r="E250"/>
      <c r="F250"/>
      <c r="G250"/>
      <c r="H250"/>
      <c r="I250"/>
      <c r="J250"/>
      <c r="K250"/>
    </row>
    <row r="251" spans="1:11" x14ac:dyDescent="0.25">
      <c r="A251"/>
      <c r="B251"/>
      <c r="C251"/>
      <c r="D251"/>
      <c r="E251"/>
      <c r="F251"/>
      <c r="G251"/>
      <c r="H251"/>
      <c r="I251"/>
      <c r="J251"/>
      <c r="K251"/>
    </row>
    <row r="252" spans="1:11" x14ac:dyDescent="0.25">
      <c r="A252"/>
      <c r="B252"/>
      <c r="C252"/>
      <c r="D252"/>
      <c r="E252"/>
      <c r="F252"/>
      <c r="G252"/>
      <c r="H252"/>
      <c r="I252"/>
      <c r="J252"/>
      <c r="K252"/>
    </row>
    <row r="253" spans="1:11" x14ac:dyDescent="0.25">
      <c r="A253"/>
      <c r="B253"/>
      <c r="C253"/>
      <c r="D253"/>
      <c r="E253"/>
      <c r="F253"/>
      <c r="G253"/>
      <c r="H253"/>
      <c r="I253"/>
      <c r="J253"/>
      <c r="K253"/>
    </row>
    <row r="254" spans="1:11" x14ac:dyDescent="0.25">
      <c r="A254"/>
      <c r="B254"/>
      <c r="C254"/>
      <c r="D254"/>
      <c r="E254"/>
      <c r="F254"/>
      <c r="G254"/>
      <c r="H254"/>
      <c r="I254"/>
      <c r="J254"/>
      <c r="K254"/>
    </row>
    <row r="255" spans="1:11" x14ac:dyDescent="0.25">
      <c r="A255"/>
      <c r="B255"/>
      <c r="C255"/>
      <c r="D255"/>
      <c r="E255"/>
      <c r="F255"/>
      <c r="G255"/>
      <c r="H255"/>
      <c r="I255"/>
      <c r="J255"/>
      <c r="K255"/>
    </row>
    <row r="256" spans="1:11" x14ac:dyDescent="0.25">
      <c r="A256"/>
      <c r="B256"/>
      <c r="C256"/>
      <c r="D256"/>
      <c r="E256"/>
      <c r="F256"/>
      <c r="G256"/>
      <c r="H256"/>
      <c r="I256"/>
      <c r="J256"/>
      <c r="K256"/>
    </row>
    <row r="257" spans="1:11" x14ac:dyDescent="0.25">
      <c r="A257"/>
      <c r="B257"/>
      <c r="C257"/>
      <c r="D257"/>
      <c r="E257"/>
      <c r="F257"/>
      <c r="G257"/>
      <c r="H257"/>
      <c r="I257"/>
      <c r="J257"/>
      <c r="K257"/>
    </row>
    <row r="258" spans="1:11" x14ac:dyDescent="0.25">
      <c r="A258"/>
      <c r="B258"/>
      <c r="C258"/>
      <c r="D258"/>
      <c r="E258"/>
      <c r="F258"/>
      <c r="G258"/>
      <c r="H258"/>
      <c r="I258"/>
      <c r="J258"/>
      <c r="K258"/>
    </row>
    <row r="259" spans="1:11" x14ac:dyDescent="0.25">
      <c r="A259"/>
      <c r="B259"/>
      <c r="C259"/>
      <c r="D259"/>
      <c r="E259"/>
      <c r="F259"/>
      <c r="G259"/>
      <c r="H259"/>
      <c r="I259"/>
      <c r="J259"/>
      <c r="K259"/>
    </row>
    <row r="260" spans="1:11" x14ac:dyDescent="0.25">
      <c r="A260"/>
      <c r="B260"/>
      <c r="C260"/>
      <c r="D260"/>
      <c r="E260"/>
      <c r="F260"/>
      <c r="G260"/>
      <c r="H260"/>
      <c r="I260"/>
      <c r="J260"/>
      <c r="K260"/>
    </row>
    <row r="261" spans="1:11" x14ac:dyDescent="0.25">
      <c r="A261"/>
      <c r="B261"/>
      <c r="C261"/>
      <c r="D261"/>
      <c r="E261"/>
      <c r="F261"/>
      <c r="G261"/>
      <c r="H261"/>
      <c r="I261"/>
      <c r="J261"/>
      <c r="K261"/>
    </row>
    <row r="262" spans="1:11" x14ac:dyDescent="0.25">
      <c r="A262"/>
      <c r="B262"/>
      <c r="C262"/>
      <c r="D262"/>
      <c r="E262"/>
      <c r="F262"/>
      <c r="G262"/>
      <c r="H262"/>
      <c r="I262"/>
      <c r="J262"/>
      <c r="K262"/>
    </row>
    <row r="263" spans="1:11" x14ac:dyDescent="0.25">
      <c r="A263"/>
      <c r="B263"/>
      <c r="C263"/>
      <c r="D263"/>
      <c r="E263"/>
      <c r="F263"/>
      <c r="G263"/>
      <c r="H263"/>
      <c r="I263"/>
      <c r="J263"/>
      <c r="K263"/>
    </row>
    <row r="264" spans="1:11" x14ac:dyDescent="0.25">
      <c r="A264"/>
      <c r="B264"/>
      <c r="C264"/>
      <c r="D264"/>
      <c r="E264"/>
      <c r="F264"/>
      <c r="G264"/>
      <c r="H264"/>
      <c r="I264"/>
      <c r="J264"/>
      <c r="K264"/>
    </row>
    <row r="265" spans="1:11" x14ac:dyDescent="0.25">
      <c r="A265"/>
      <c r="B265"/>
      <c r="C265"/>
      <c r="D265"/>
      <c r="E265"/>
      <c r="F265"/>
      <c r="G265"/>
      <c r="H265"/>
      <c r="I265"/>
      <c r="J265"/>
      <c r="K265"/>
    </row>
    <row r="266" spans="1:11" x14ac:dyDescent="0.25">
      <c r="A266"/>
      <c r="B266"/>
      <c r="C266"/>
      <c r="D266"/>
      <c r="E266"/>
      <c r="F266"/>
      <c r="G266"/>
      <c r="H266"/>
      <c r="I266"/>
      <c r="J266"/>
      <c r="K266"/>
    </row>
    <row r="267" spans="1:11" x14ac:dyDescent="0.25">
      <c r="A267"/>
      <c r="B267"/>
      <c r="C267"/>
      <c r="D267"/>
      <c r="E267"/>
      <c r="F267"/>
      <c r="G267"/>
      <c r="H267"/>
      <c r="I267"/>
      <c r="J267"/>
      <c r="K267"/>
    </row>
    <row r="268" spans="1:11" x14ac:dyDescent="0.25">
      <c r="A268"/>
      <c r="B268"/>
      <c r="C268"/>
      <c r="D268"/>
      <c r="E268"/>
      <c r="F268"/>
      <c r="G268"/>
      <c r="H268"/>
      <c r="I268"/>
      <c r="J268"/>
      <c r="K268"/>
    </row>
    <row r="269" spans="1:11" x14ac:dyDescent="0.25">
      <c r="A269"/>
      <c r="B269"/>
      <c r="C269"/>
      <c r="D269"/>
      <c r="E269"/>
      <c r="F269"/>
      <c r="G269"/>
      <c r="H269"/>
      <c r="I269"/>
      <c r="J269"/>
      <c r="K269"/>
    </row>
    <row r="270" spans="1:11" x14ac:dyDescent="0.25">
      <c r="A270"/>
      <c r="B270"/>
      <c r="C270"/>
      <c r="D270"/>
      <c r="E270"/>
      <c r="F270"/>
      <c r="G270"/>
      <c r="H270"/>
      <c r="I270"/>
      <c r="J270"/>
      <c r="K270"/>
    </row>
    <row r="271" spans="1:11" x14ac:dyDescent="0.25">
      <c r="A271"/>
      <c r="B271"/>
      <c r="C271"/>
      <c r="D271"/>
      <c r="E271"/>
      <c r="F271"/>
      <c r="G271"/>
      <c r="H271"/>
      <c r="I271"/>
      <c r="J271"/>
      <c r="K271"/>
    </row>
    <row r="272" spans="1:11" x14ac:dyDescent="0.25">
      <c r="A272"/>
      <c r="B272"/>
      <c r="C272"/>
      <c r="D272"/>
      <c r="E272"/>
      <c r="F272"/>
      <c r="G272"/>
      <c r="H272"/>
      <c r="I272"/>
      <c r="J272"/>
      <c r="K272"/>
    </row>
    <row r="273" spans="1:11" x14ac:dyDescent="0.25">
      <c r="A273"/>
      <c r="B273"/>
      <c r="C273"/>
      <c r="D273"/>
      <c r="E273"/>
      <c r="F273"/>
      <c r="G273"/>
      <c r="H273"/>
      <c r="I273"/>
      <c r="J273"/>
      <c r="K273"/>
    </row>
    <row r="274" spans="1:11" x14ac:dyDescent="0.25">
      <c r="A274"/>
      <c r="B274"/>
      <c r="C274"/>
      <c r="D274"/>
      <c r="E274"/>
      <c r="F274"/>
      <c r="G274"/>
      <c r="H274"/>
      <c r="I274"/>
      <c r="J274"/>
      <c r="K274"/>
    </row>
    <row r="275" spans="1:11" x14ac:dyDescent="0.25">
      <c r="A275"/>
      <c r="B275"/>
      <c r="C275"/>
      <c r="D275"/>
      <c r="E275"/>
      <c r="F275"/>
      <c r="G275"/>
      <c r="H275"/>
      <c r="I275"/>
      <c r="J275"/>
      <c r="K275"/>
    </row>
    <row r="276" spans="1:11" x14ac:dyDescent="0.25">
      <c r="A276"/>
      <c r="B276"/>
      <c r="C276"/>
      <c r="D276"/>
      <c r="E276"/>
      <c r="F276"/>
      <c r="G276"/>
      <c r="H276"/>
      <c r="I276"/>
      <c r="J276"/>
      <c r="K276"/>
    </row>
    <row r="277" spans="1:11" x14ac:dyDescent="0.25">
      <c r="A277"/>
      <c r="B277"/>
      <c r="C277"/>
      <c r="D277"/>
      <c r="E277"/>
      <c r="F277"/>
      <c r="G277"/>
      <c r="H277"/>
      <c r="I277"/>
      <c r="J277"/>
      <c r="K277"/>
    </row>
    <row r="278" spans="1:11" x14ac:dyDescent="0.25">
      <c r="A278"/>
      <c r="B278"/>
      <c r="C278"/>
      <c r="D278"/>
      <c r="E278"/>
      <c r="F278"/>
      <c r="G278"/>
      <c r="H278"/>
      <c r="I278"/>
      <c r="J278"/>
      <c r="K278"/>
    </row>
    <row r="279" spans="1:11" x14ac:dyDescent="0.25">
      <c r="A279"/>
      <c r="B279"/>
      <c r="C279"/>
      <c r="D279"/>
      <c r="E279"/>
      <c r="F279"/>
      <c r="G279"/>
      <c r="H279"/>
      <c r="I279"/>
      <c r="J279"/>
      <c r="K279"/>
    </row>
    <row r="280" spans="1:11" x14ac:dyDescent="0.25">
      <c r="A280"/>
      <c r="B280"/>
      <c r="C280"/>
      <c r="D280"/>
      <c r="E280"/>
      <c r="F280"/>
      <c r="G280"/>
      <c r="H280"/>
      <c r="I280"/>
      <c r="J280"/>
      <c r="K280"/>
    </row>
    <row r="281" spans="1:11" x14ac:dyDescent="0.25">
      <c r="A281"/>
      <c r="B281"/>
      <c r="C281"/>
      <c r="D281"/>
      <c r="E281"/>
      <c r="F281"/>
      <c r="G281"/>
      <c r="H281"/>
      <c r="I281"/>
      <c r="J281"/>
      <c r="K281"/>
    </row>
    <row r="282" spans="1:11" x14ac:dyDescent="0.25">
      <c r="A282"/>
      <c r="B282"/>
      <c r="C282"/>
      <c r="D282"/>
      <c r="E282"/>
      <c r="F282"/>
      <c r="G282"/>
      <c r="H282"/>
      <c r="I282"/>
      <c r="J282"/>
      <c r="K282"/>
    </row>
    <row r="283" spans="1:11" x14ac:dyDescent="0.25">
      <c r="A283"/>
      <c r="B283"/>
      <c r="C283"/>
      <c r="D283"/>
      <c r="E283"/>
      <c r="F283"/>
      <c r="G283"/>
      <c r="H283"/>
      <c r="I283"/>
      <c r="J283"/>
      <c r="K283"/>
    </row>
    <row r="284" spans="1:11" x14ac:dyDescent="0.25">
      <c r="A284"/>
      <c r="B284"/>
      <c r="C284"/>
      <c r="D284"/>
      <c r="E284"/>
      <c r="F284"/>
      <c r="G284"/>
      <c r="H284"/>
      <c r="I284"/>
      <c r="J284"/>
      <c r="K284"/>
    </row>
    <row r="285" spans="1:11" x14ac:dyDescent="0.25">
      <c r="A285"/>
      <c r="B285"/>
      <c r="C285"/>
      <c r="D285"/>
      <c r="E285"/>
      <c r="F285"/>
      <c r="G285"/>
      <c r="H285"/>
      <c r="I285"/>
      <c r="J285"/>
      <c r="K285"/>
    </row>
    <row r="286" spans="1:11" x14ac:dyDescent="0.25">
      <c r="A286"/>
      <c r="B286"/>
      <c r="C286"/>
      <c r="D286"/>
      <c r="E286"/>
      <c r="F286"/>
      <c r="G286"/>
      <c r="H286"/>
      <c r="I286"/>
      <c r="J286"/>
      <c r="K286"/>
    </row>
    <row r="287" spans="1:11" x14ac:dyDescent="0.25">
      <c r="A287"/>
      <c r="B287"/>
      <c r="C287"/>
      <c r="D287"/>
      <c r="E287"/>
      <c r="F287"/>
      <c r="G287"/>
      <c r="H287"/>
      <c r="I287"/>
      <c r="J287"/>
      <c r="K287"/>
    </row>
    <row r="288" spans="1:11" x14ac:dyDescent="0.25">
      <c r="A288"/>
      <c r="B288"/>
      <c r="C288"/>
      <c r="D288"/>
      <c r="E288"/>
      <c r="F288"/>
      <c r="G288"/>
      <c r="H288"/>
      <c r="I288"/>
      <c r="J288"/>
      <c r="K288"/>
    </row>
    <row r="289" spans="1:11" x14ac:dyDescent="0.25">
      <c r="A289"/>
      <c r="B289"/>
      <c r="C289"/>
      <c r="D289"/>
      <c r="E289"/>
      <c r="F289"/>
      <c r="G289"/>
      <c r="H289"/>
      <c r="I289"/>
      <c r="J289"/>
      <c r="K289"/>
    </row>
    <row r="290" spans="1:11" x14ac:dyDescent="0.25">
      <c r="A290"/>
      <c r="B290"/>
      <c r="C290"/>
      <c r="D290"/>
      <c r="E290"/>
      <c r="F290"/>
      <c r="G290"/>
      <c r="H290"/>
      <c r="I290"/>
      <c r="J290"/>
      <c r="K290"/>
    </row>
    <row r="291" spans="1:11" x14ac:dyDescent="0.25">
      <c r="A291"/>
      <c r="B291"/>
      <c r="C291"/>
      <c r="D291"/>
      <c r="E291"/>
      <c r="F291"/>
      <c r="G291"/>
      <c r="H291"/>
      <c r="I291"/>
      <c r="J291"/>
      <c r="K291"/>
    </row>
    <row r="292" spans="1:11" x14ac:dyDescent="0.25">
      <c r="A292"/>
      <c r="B292"/>
      <c r="C292"/>
      <c r="D292"/>
      <c r="E292"/>
      <c r="F292"/>
      <c r="G292"/>
      <c r="H292"/>
      <c r="I292"/>
      <c r="J292"/>
      <c r="K292"/>
    </row>
    <row r="293" spans="1:11" x14ac:dyDescent="0.25">
      <c r="A293"/>
      <c r="B293"/>
      <c r="C293"/>
      <c r="D293"/>
      <c r="E293"/>
      <c r="F293"/>
      <c r="G293"/>
      <c r="H293"/>
      <c r="I293"/>
      <c r="J293"/>
      <c r="K293"/>
    </row>
    <row r="294" spans="1:11" x14ac:dyDescent="0.25">
      <c r="A294"/>
      <c r="B294"/>
      <c r="C294"/>
      <c r="D294"/>
      <c r="E294"/>
      <c r="F294"/>
      <c r="G294"/>
      <c r="H294"/>
      <c r="I294"/>
      <c r="J294"/>
      <c r="K294"/>
    </row>
    <row r="295" spans="1:11" x14ac:dyDescent="0.25">
      <c r="A295"/>
      <c r="B295"/>
      <c r="C295"/>
      <c r="D295"/>
      <c r="E295"/>
      <c r="F295"/>
      <c r="G295"/>
      <c r="H295"/>
      <c r="I295"/>
      <c r="J295"/>
      <c r="K295"/>
    </row>
    <row r="296" spans="1:11" x14ac:dyDescent="0.25">
      <c r="A296"/>
      <c r="B296"/>
      <c r="C296"/>
      <c r="D296"/>
      <c r="E296"/>
      <c r="F296"/>
      <c r="G296"/>
      <c r="H296"/>
      <c r="I296"/>
      <c r="J296"/>
      <c r="K296"/>
    </row>
  </sheetData>
  <dataConsolidate/>
  <dataValidations count="14">
    <dataValidation allowBlank="1" errorTitle="Invalid Edge Visibility" error="The optional edge visibility must be Yes, Y, True, T, Always, 1, or empty to make the edge visible; or No, N, False, F, Never, or 0 to hide the edge.  Try selecting from the drop-down list instead." sqref="K3:K131" xr:uid="{D863B216-A533-4BCF-AE32-952D348EF531}"/>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131" xr:uid="{9CA37D1D-7FDD-4AA7-8428-A20F2481EC97}">
      <formula1>ValidEdgeStyles</formula1>
    </dataValidation>
    <dataValidation allowBlank="1" showInputMessage="1" showErrorMessage="1" errorTitle="Invalid Edge Visibility" error="You have entered an unrecognized edge visibility.  Try selecting from the drop-down list instead." promptTitle="Edge Label" prompt="Enter an optional edge label." sqref="H3:H131" xr:uid="{3135ED9B-F626-47A9-9DAC-B5D5127BF355}"/>
    <dataValidation allowBlank="1" showInputMessage="1" showErrorMessage="1" promptTitle="Vertex 2 Name" prompt="Enter the name of the edge's second vertex." sqref="B3:B131" xr:uid="{8D492F4B-444A-4562-A39B-D94AC0AADB43}"/>
    <dataValidation allowBlank="1" showInputMessage="1" showErrorMessage="1" promptTitle="Vertex 1 Name" prompt="Enter the name of the edge's first vertex." sqref="A3:A131" xr:uid="{0BE3C8CD-A8D4-4977-BFFF-E7821B131A16}"/>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131" xr:uid="{D2910C6C-27CA-4AB6-9CDD-FF3D2C757827}">
      <formula1>ValidEdgeVisibilities</formula1>
    </dataValidation>
    <dataValidation allowBlank="1" showInputMessage="1" errorTitle="Invalid Edge Opacity" error="The optional edge opacity must be a whole number between 0 and 10." promptTitle="Edge Opacity" prompt="Enter an optional edge opacity between 0 (transparent) and 100 (opaque)." sqref="F3:F131" xr:uid="{A57A898B-F4E3-4F44-AC22-520CA3DEA9E8}"/>
    <dataValidation allowBlank="1" showInputMessage="1" errorTitle="Invalid Edge Width" error="The optional edge width must be a whole number between 1 and 10." promptTitle="Edge Width" prompt="Enter an optional edge width between 1 and 10." sqref="D3:D131" xr:uid="{21199BA5-C51E-4019-BDC9-6CF640889E33}"/>
    <dataValidation allowBlank="1" showInputMessage="1" promptTitle="Edge Color" prompt="To select an optional edge color, right-click and select Select Color on the right-click menu." sqref="C3:C131" xr:uid="{5844760C-F90A-4C7C-A645-4BE9EE0D258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131" xr:uid="{1484D8C6-E6A9-4498-9655-F9D9EDAF996D}"/>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131" xr:uid="{503DB2BB-1158-4FF3-A626-82B2515773AD}"/>
    <dataValidation allowBlank="1" showErrorMessage="1" sqref="N2:N131" xr:uid="{C98D6503-6AAF-4B31-87F7-5BF6AB6F32ED}"/>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131" xr:uid="{6898939E-57DE-4551-BDF8-B9399E8D4236}"/>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131" xr:uid="{850813B3-8254-467D-9A95-45B0FDD1DD48}"/>
  </dataValidations>
  <pageMargins left="0.7" right="0.7" top="0.75" bottom="0.75" header="0.3" footer="0.3"/>
  <pageSetup orientation="portrait" verticalDpi="0" r:id="rId1"/>
  <legacy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78EA5-386F-41CF-9118-C03CE082D8B7}">
  <dimension ref="A1:V96"/>
  <sheetViews>
    <sheetView workbookViewId="0"/>
  </sheetViews>
  <sheetFormatPr defaultRowHeight="15" x14ac:dyDescent="0.25"/>
  <cols>
    <col min="1" max="1" width="39.7109375" customWidth="1"/>
    <col min="2" max="2" width="20.28515625" bestFit="1" customWidth="1"/>
    <col min="3" max="3" width="29.7109375" customWidth="1"/>
    <col min="4" max="4" width="11.28515625" bestFit="1" customWidth="1"/>
    <col min="5" max="5" width="29.7109375" customWidth="1"/>
    <col min="6" max="6" width="11.28515625" bestFit="1" customWidth="1"/>
    <col min="7" max="7" width="29.7109375" customWidth="1"/>
    <col min="8" max="8" width="11.28515625" bestFit="1" customWidth="1"/>
    <col min="9" max="9" width="29.7109375" customWidth="1"/>
    <col min="10" max="10" width="11.28515625" bestFit="1" customWidth="1"/>
    <col min="11" max="11" width="29.7109375" customWidth="1"/>
    <col min="12" max="12" width="11.28515625" bestFit="1" customWidth="1"/>
    <col min="13" max="13" width="29.7109375" customWidth="1"/>
    <col min="14" max="14" width="11.28515625" bestFit="1" customWidth="1"/>
    <col min="15" max="15" width="29.7109375" customWidth="1"/>
    <col min="16" max="16" width="11.28515625" bestFit="1" customWidth="1"/>
    <col min="17" max="17" width="29.7109375" customWidth="1"/>
    <col min="18" max="18" width="11.28515625" bestFit="1" customWidth="1"/>
    <col min="19" max="19" width="29.7109375" customWidth="1"/>
    <col min="20" max="20" width="11.28515625" bestFit="1" customWidth="1"/>
    <col min="21" max="21" width="30.7109375" customWidth="1"/>
    <col min="22" max="22" width="12.28515625" bestFit="1" customWidth="1"/>
  </cols>
  <sheetData>
    <row r="1" spans="1:22" ht="15" customHeight="1" x14ac:dyDescent="0.25">
      <c r="A1" s="13" t="s">
        <v>9554</v>
      </c>
      <c r="B1" s="13" t="s">
        <v>9565</v>
      </c>
      <c r="C1" s="13" t="s">
        <v>9566</v>
      </c>
      <c r="D1" s="13" t="s">
        <v>9574</v>
      </c>
      <c r="E1" s="13" t="s">
        <v>9573</v>
      </c>
      <c r="F1" s="13" t="s">
        <v>9583</v>
      </c>
      <c r="G1" s="13" t="s">
        <v>9582</v>
      </c>
      <c r="H1" s="13" t="s">
        <v>9589</v>
      </c>
      <c r="I1" s="13" t="s">
        <v>9588</v>
      </c>
      <c r="J1" s="13" t="s">
        <v>9592</v>
      </c>
      <c r="K1" s="80" t="s">
        <v>9591</v>
      </c>
      <c r="L1" s="80" t="s">
        <v>9594</v>
      </c>
      <c r="M1" s="13" t="s">
        <v>9593</v>
      </c>
      <c r="N1" s="13" t="s">
        <v>9597</v>
      </c>
      <c r="O1" s="13" t="s">
        <v>9596</v>
      </c>
      <c r="P1" s="13" t="s">
        <v>9599</v>
      </c>
      <c r="Q1" s="13" t="s">
        <v>9598</v>
      </c>
      <c r="R1" s="13" t="s">
        <v>9602</v>
      </c>
      <c r="S1" s="13" t="s">
        <v>9601</v>
      </c>
      <c r="T1" s="13" t="s">
        <v>9605</v>
      </c>
      <c r="U1" s="13" t="s">
        <v>9604</v>
      </c>
      <c r="V1" s="13" t="s">
        <v>9607</v>
      </c>
    </row>
    <row r="2" spans="1:22" x14ac:dyDescent="0.25">
      <c r="A2" s="85" t="s">
        <v>9555</v>
      </c>
      <c r="B2" s="80">
        <v>5</v>
      </c>
      <c r="C2" s="85" t="s">
        <v>9561</v>
      </c>
      <c r="D2" s="80">
        <v>2</v>
      </c>
      <c r="E2" s="85" t="s">
        <v>9557</v>
      </c>
      <c r="F2" s="80">
        <v>3</v>
      </c>
      <c r="G2" s="85" t="s">
        <v>9555</v>
      </c>
      <c r="H2" s="80">
        <v>4</v>
      </c>
      <c r="I2" s="85" t="s">
        <v>9560</v>
      </c>
      <c r="J2" s="80">
        <v>2</v>
      </c>
      <c r="K2" s="80"/>
      <c r="L2" s="80"/>
      <c r="M2" s="85" t="s">
        <v>9595</v>
      </c>
      <c r="N2" s="80">
        <v>1</v>
      </c>
      <c r="O2" s="85" t="s">
        <v>9564</v>
      </c>
      <c r="P2" s="80">
        <v>1</v>
      </c>
      <c r="Q2" s="85" t="s">
        <v>9600</v>
      </c>
      <c r="R2" s="80">
        <v>1</v>
      </c>
      <c r="S2" s="85" t="s">
        <v>9603</v>
      </c>
      <c r="T2" s="80">
        <v>1</v>
      </c>
      <c r="U2" s="85" t="s">
        <v>9606</v>
      </c>
      <c r="V2" s="80">
        <v>1</v>
      </c>
    </row>
    <row r="3" spans="1:22" x14ac:dyDescent="0.25">
      <c r="A3" s="86" t="s">
        <v>9556</v>
      </c>
      <c r="B3" s="80">
        <v>3</v>
      </c>
      <c r="C3" s="85" t="s">
        <v>9556</v>
      </c>
      <c r="D3" s="80">
        <v>1</v>
      </c>
      <c r="E3" s="85" t="s">
        <v>9558</v>
      </c>
      <c r="F3" s="80">
        <v>2</v>
      </c>
      <c r="G3" s="85" t="s">
        <v>9556</v>
      </c>
      <c r="H3" s="80">
        <v>2</v>
      </c>
      <c r="I3" s="85" t="s">
        <v>9590</v>
      </c>
      <c r="J3" s="80">
        <v>1</v>
      </c>
      <c r="K3" s="80"/>
      <c r="L3" s="80"/>
      <c r="M3" s="85" t="s">
        <v>9559</v>
      </c>
      <c r="N3" s="80">
        <v>1</v>
      </c>
      <c r="O3" s="80"/>
      <c r="P3" s="80"/>
      <c r="Q3" s="80"/>
      <c r="R3" s="80"/>
      <c r="S3" s="80"/>
      <c r="T3" s="80"/>
      <c r="U3" s="80"/>
      <c r="V3" s="80"/>
    </row>
    <row r="4" spans="1:22" x14ac:dyDescent="0.25">
      <c r="A4" s="86" t="s">
        <v>9557</v>
      </c>
      <c r="B4" s="80">
        <v>3</v>
      </c>
      <c r="C4" s="85" t="s">
        <v>9555</v>
      </c>
      <c r="D4" s="80">
        <v>1</v>
      </c>
      <c r="E4" s="85" t="s">
        <v>9562</v>
      </c>
      <c r="F4" s="80">
        <v>2</v>
      </c>
      <c r="G4" s="85" t="s">
        <v>9584</v>
      </c>
      <c r="H4" s="80">
        <v>1</v>
      </c>
      <c r="I4" s="80"/>
      <c r="J4" s="80"/>
      <c r="K4" s="80"/>
      <c r="L4" s="80"/>
      <c r="M4" s="80"/>
      <c r="N4" s="80"/>
      <c r="O4" s="80"/>
      <c r="P4" s="80"/>
      <c r="Q4" s="80"/>
      <c r="R4" s="80"/>
      <c r="S4" s="80"/>
      <c r="T4" s="80"/>
      <c r="U4" s="80"/>
      <c r="V4" s="80"/>
    </row>
    <row r="5" spans="1:22" x14ac:dyDescent="0.25">
      <c r="A5" s="86" t="s">
        <v>9558</v>
      </c>
      <c r="B5" s="80">
        <v>3</v>
      </c>
      <c r="C5" s="85" t="s">
        <v>9567</v>
      </c>
      <c r="D5" s="80">
        <v>1</v>
      </c>
      <c r="E5" s="85" t="s">
        <v>9575</v>
      </c>
      <c r="F5" s="80">
        <v>1</v>
      </c>
      <c r="G5" s="85" t="s">
        <v>9585</v>
      </c>
      <c r="H5" s="80">
        <v>1</v>
      </c>
      <c r="I5" s="80"/>
      <c r="J5" s="80"/>
      <c r="K5" s="80"/>
      <c r="L5" s="80"/>
      <c r="M5" s="80"/>
      <c r="N5" s="80"/>
      <c r="O5" s="80"/>
      <c r="P5" s="80"/>
      <c r="Q5" s="80"/>
      <c r="R5" s="80"/>
      <c r="S5" s="80"/>
      <c r="T5" s="80"/>
      <c r="U5" s="80"/>
      <c r="V5" s="80"/>
    </row>
    <row r="6" spans="1:22" x14ac:dyDescent="0.25">
      <c r="A6" s="86" t="s">
        <v>9559</v>
      </c>
      <c r="B6" s="80">
        <v>2</v>
      </c>
      <c r="C6" s="85" t="s">
        <v>9568</v>
      </c>
      <c r="D6" s="80">
        <v>1</v>
      </c>
      <c r="E6" s="85" t="s">
        <v>9576</v>
      </c>
      <c r="F6" s="80">
        <v>1</v>
      </c>
      <c r="G6" s="85" t="s">
        <v>9586</v>
      </c>
      <c r="H6" s="80">
        <v>1</v>
      </c>
      <c r="I6" s="80"/>
      <c r="J6" s="80"/>
      <c r="K6" s="80"/>
      <c r="L6" s="80"/>
      <c r="M6" s="80"/>
      <c r="N6" s="80"/>
      <c r="O6" s="80"/>
      <c r="P6" s="80"/>
      <c r="Q6" s="80"/>
      <c r="R6" s="80"/>
      <c r="S6" s="80"/>
      <c r="T6" s="80"/>
      <c r="U6" s="80"/>
      <c r="V6" s="80"/>
    </row>
    <row r="7" spans="1:22" x14ac:dyDescent="0.25">
      <c r="A7" s="86" t="s">
        <v>9560</v>
      </c>
      <c r="B7" s="80">
        <v>2</v>
      </c>
      <c r="C7" s="85" t="s">
        <v>9569</v>
      </c>
      <c r="D7" s="80">
        <v>1</v>
      </c>
      <c r="E7" s="85" t="s">
        <v>9577</v>
      </c>
      <c r="F7" s="80">
        <v>1</v>
      </c>
      <c r="G7" s="85" t="s">
        <v>9587</v>
      </c>
      <c r="H7" s="80">
        <v>1</v>
      </c>
      <c r="I7" s="80"/>
      <c r="J7" s="80"/>
      <c r="K7" s="80"/>
      <c r="L7" s="80"/>
      <c r="M7" s="80"/>
      <c r="N7" s="80"/>
      <c r="O7" s="80"/>
      <c r="P7" s="80"/>
      <c r="Q7" s="80"/>
      <c r="R7" s="80"/>
      <c r="S7" s="80"/>
      <c r="T7" s="80"/>
      <c r="U7" s="80"/>
      <c r="V7" s="80"/>
    </row>
    <row r="8" spans="1:22" x14ac:dyDescent="0.25">
      <c r="A8" s="86" t="s">
        <v>9561</v>
      </c>
      <c r="B8" s="80">
        <v>2</v>
      </c>
      <c r="C8" s="85" t="s">
        <v>9570</v>
      </c>
      <c r="D8" s="80">
        <v>1</v>
      </c>
      <c r="E8" s="85" t="s">
        <v>9578</v>
      </c>
      <c r="F8" s="80">
        <v>1</v>
      </c>
      <c r="G8" s="80"/>
      <c r="H8" s="80"/>
      <c r="I8" s="80"/>
      <c r="J8" s="80"/>
      <c r="K8" s="80"/>
      <c r="L8" s="80"/>
      <c r="M8" s="80"/>
      <c r="N8" s="80"/>
      <c r="O8" s="80"/>
      <c r="P8" s="80"/>
      <c r="Q8" s="80"/>
      <c r="R8" s="80"/>
      <c r="S8" s="80"/>
      <c r="T8" s="80"/>
      <c r="U8" s="80"/>
      <c r="V8" s="80"/>
    </row>
    <row r="9" spans="1:22" x14ac:dyDescent="0.25">
      <c r="A9" s="86" t="s">
        <v>9562</v>
      </c>
      <c r="B9" s="80">
        <v>2</v>
      </c>
      <c r="C9" s="85" t="s">
        <v>9571</v>
      </c>
      <c r="D9" s="80">
        <v>1</v>
      </c>
      <c r="E9" s="85" t="s">
        <v>9579</v>
      </c>
      <c r="F9" s="80">
        <v>1</v>
      </c>
      <c r="G9" s="80"/>
      <c r="H9" s="80"/>
      <c r="I9" s="80"/>
      <c r="J9" s="80"/>
      <c r="K9" s="80"/>
      <c r="L9" s="80"/>
      <c r="M9" s="80"/>
      <c r="N9" s="80"/>
      <c r="O9" s="80"/>
      <c r="P9" s="80"/>
      <c r="Q9" s="80"/>
      <c r="R9" s="80"/>
      <c r="S9" s="80"/>
      <c r="T9" s="80"/>
      <c r="U9" s="80"/>
      <c r="V9" s="80"/>
    </row>
    <row r="10" spans="1:22" x14ac:dyDescent="0.25">
      <c r="A10" s="86" t="s">
        <v>9563</v>
      </c>
      <c r="B10" s="80">
        <v>1</v>
      </c>
      <c r="C10" s="85" t="s">
        <v>9572</v>
      </c>
      <c r="D10" s="80">
        <v>1</v>
      </c>
      <c r="E10" s="85" t="s">
        <v>9580</v>
      </c>
      <c r="F10" s="80">
        <v>1</v>
      </c>
      <c r="G10" s="80"/>
      <c r="H10" s="80"/>
      <c r="I10" s="80"/>
      <c r="J10" s="80"/>
      <c r="K10" s="80"/>
      <c r="L10" s="80"/>
      <c r="M10" s="80"/>
      <c r="N10" s="80"/>
      <c r="O10" s="80"/>
      <c r="P10" s="80"/>
      <c r="Q10" s="80"/>
      <c r="R10" s="80"/>
      <c r="S10" s="80"/>
      <c r="T10" s="80"/>
      <c r="U10" s="80"/>
      <c r="V10" s="80"/>
    </row>
    <row r="11" spans="1:22" x14ac:dyDescent="0.25">
      <c r="A11" s="86" t="s">
        <v>9564</v>
      </c>
      <c r="B11" s="80">
        <v>1</v>
      </c>
      <c r="C11" s="85" t="s">
        <v>9559</v>
      </c>
      <c r="D11" s="80">
        <v>1</v>
      </c>
      <c r="E11" s="85" t="s">
        <v>9581</v>
      </c>
      <c r="F11" s="80">
        <v>1</v>
      </c>
      <c r="G11" s="80"/>
      <c r="H11" s="80"/>
      <c r="I11" s="80"/>
      <c r="J11" s="80"/>
      <c r="K11" s="80"/>
      <c r="L11" s="80"/>
      <c r="M11" s="80"/>
      <c r="N11" s="80"/>
      <c r="O11" s="80"/>
      <c r="P11" s="80"/>
      <c r="Q11" s="80"/>
      <c r="R11" s="80"/>
      <c r="S11" s="80"/>
      <c r="T11" s="80"/>
      <c r="U11" s="80"/>
      <c r="V11" s="80"/>
    </row>
    <row r="14" spans="1:22" ht="15" customHeight="1" x14ac:dyDescent="0.25">
      <c r="A14" s="13" t="s">
        <v>9616</v>
      </c>
      <c r="B14" s="13" t="s">
        <v>9565</v>
      </c>
      <c r="C14" s="13" t="s">
        <v>9617</v>
      </c>
      <c r="D14" s="13" t="s">
        <v>9574</v>
      </c>
      <c r="E14" s="13" t="s">
        <v>9618</v>
      </c>
      <c r="F14" s="13" t="s">
        <v>9583</v>
      </c>
      <c r="G14" s="13" t="s">
        <v>9619</v>
      </c>
      <c r="H14" s="13" t="s">
        <v>9589</v>
      </c>
      <c r="I14" s="13" t="s">
        <v>9620</v>
      </c>
      <c r="J14" s="13" t="s">
        <v>9592</v>
      </c>
      <c r="K14" s="80" t="s">
        <v>9621</v>
      </c>
      <c r="L14" s="80" t="s">
        <v>9594</v>
      </c>
      <c r="M14" s="13" t="s">
        <v>9622</v>
      </c>
      <c r="N14" s="13" t="s">
        <v>9597</v>
      </c>
      <c r="O14" s="13" t="s">
        <v>9623</v>
      </c>
      <c r="P14" s="13" t="s">
        <v>9599</v>
      </c>
      <c r="Q14" s="13" t="s">
        <v>9624</v>
      </c>
      <c r="R14" s="13" t="s">
        <v>9602</v>
      </c>
      <c r="S14" s="13" t="s">
        <v>9625</v>
      </c>
      <c r="T14" s="13" t="s">
        <v>9605</v>
      </c>
      <c r="U14" s="13" t="s">
        <v>9626</v>
      </c>
      <c r="V14" s="13" t="s">
        <v>9607</v>
      </c>
    </row>
    <row r="15" spans="1:22" x14ac:dyDescent="0.25">
      <c r="A15" s="80" t="s">
        <v>506</v>
      </c>
      <c r="B15" s="80">
        <v>14</v>
      </c>
      <c r="C15" s="80" t="s">
        <v>514</v>
      </c>
      <c r="D15" s="80">
        <v>5</v>
      </c>
      <c r="E15" s="80" t="s">
        <v>498</v>
      </c>
      <c r="F15" s="80">
        <v>6</v>
      </c>
      <c r="G15" s="80" t="s">
        <v>506</v>
      </c>
      <c r="H15" s="80">
        <v>9</v>
      </c>
      <c r="I15" s="80" t="s">
        <v>502</v>
      </c>
      <c r="J15" s="80">
        <v>2</v>
      </c>
      <c r="K15" s="80"/>
      <c r="L15" s="80"/>
      <c r="M15" s="80" t="s">
        <v>506</v>
      </c>
      <c r="N15" s="80">
        <v>1</v>
      </c>
      <c r="O15" s="80" t="s">
        <v>516</v>
      </c>
      <c r="P15" s="80">
        <v>1</v>
      </c>
      <c r="Q15" s="80" t="s">
        <v>515</v>
      </c>
      <c r="R15" s="80">
        <v>1</v>
      </c>
      <c r="S15" s="80" t="s">
        <v>511</v>
      </c>
      <c r="T15" s="80">
        <v>1</v>
      </c>
      <c r="U15" s="80" t="s">
        <v>513</v>
      </c>
      <c r="V15" s="80">
        <v>1</v>
      </c>
    </row>
    <row r="16" spans="1:22" x14ac:dyDescent="0.25">
      <c r="A16" s="81" t="s">
        <v>498</v>
      </c>
      <c r="B16" s="80">
        <v>6</v>
      </c>
      <c r="C16" s="80" t="s">
        <v>506</v>
      </c>
      <c r="D16" s="80">
        <v>4</v>
      </c>
      <c r="E16" s="80" t="s">
        <v>499</v>
      </c>
      <c r="F16" s="80">
        <v>3</v>
      </c>
      <c r="G16" s="80" t="s">
        <v>508</v>
      </c>
      <c r="H16" s="80">
        <v>1</v>
      </c>
      <c r="I16" s="80" t="s">
        <v>512</v>
      </c>
      <c r="J16" s="80">
        <v>1</v>
      </c>
      <c r="K16" s="80"/>
      <c r="L16" s="80"/>
      <c r="M16" s="80" t="s">
        <v>510</v>
      </c>
      <c r="N16" s="80">
        <v>1</v>
      </c>
      <c r="O16" s="80"/>
      <c r="P16" s="80"/>
      <c r="Q16" s="80"/>
      <c r="R16" s="80"/>
      <c r="S16" s="80"/>
      <c r="T16" s="80"/>
      <c r="U16" s="80"/>
      <c r="V16" s="80"/>
    </row>
    <row r="17" spans="1:22" x14ac:dyDescent="0.25">
      <c r="A17" s="81" t="s">
        <v>514</v>
      </c>
      <c r="B17" s="80">
        <v>5</v>
      </c>
      <c r="C17" s="80" t="s">
        <v>503</v>
      </c>
      <c r="D17" s="80">
        <v>2</v>
      </c>
      <c r="E17" s="80" t="s">
        <v>500</v>
      </c>
      <c r="F17" s="80">
        <v>2</v>
      </c>
      <c r="G17" s="80"/>
      <c r="H17" s="80"/>
      <c r="I17" s="80"/>
      <c r="J17" s="80"/>
      <c r="K17" s="80"/>
      <c r="L17" s="80"/>
      <c r="M17" s="80"/>
      <c r="N17" s="80"/>
      <c r="O17" s="80"/>
      <c r="P17" s="80"/>
      <c r="Q17" s="80"/>
      <c r="R17" s="80"/>
      <c r="S17" s="80"/>
      <c r="T17" s="80"/>
      <c r="U17" s="80"/>
      <c r="V17" s="80"/>
    </row>
    <row r="18" spans="1:22" x14ac:dyDescent="0.25">
      <c r="A18" s="81" t="s">
        <v>502</v>
      </c>
      <c r="B18" s="80">
        <v>4</v>
      </c>
      <c r="C18" s="80" t="s">
        <v>510</v>
      </c>
      <c r="D18" s="80">
        <v>1</v>
      </c>
      <c r="E18" s="80" t="s">
        <v>502</v>
      </c>
      <c r="F18" s="80">
        <v>2</v>
      </c>
      <c r="G18" s="80"/>
      <c r="H18" s="80"/>
      <c r="I18" s="80"/>
      <c r="J18" s="80"/>
      <c r="K18" s="80"/>
      <c r="L18" s="80"/>
      <c r="M18" s="80"/>
      <c r="N18" s="80"/>
      <c r="O18" s="80"/>
      <c r="P18" s="80"/>
      <c r="Q18" s="80"/>
      <c r="R18" s="80"/>
      <c r="S18" s="80"/>
      <c r="T18" s="80"/>
      <c r="U18" s="80"/>
      <c r="V18" s="80"/>
    </row>
    <row r="19" spans="1:22" x14ac:dyDescent="0.25">
      <c r="A19" s="81" t="s">
        <v>503</v>
      </c>
      <c r="B19" s="80">
        <v>3</v>
      </c>
      <c r="C19" s="80" t="s">
        <v>497</v>
      </c>
      <c r="D19" s="80">
        <v>1</v>
      </c>
      <c r="E19" s="80" t="s">
        <v>504</v>
      </c>
      <c r="F19" s="80">
        <v>1</v>
      </c>
      <c r="G19" s="80"/>
      <c r="H19" s="80"/>
      <c r="I19" s="80"/>
      <c r="J19" s="80"/>
      <c r="K19" s="80"/>
      <c r="L19" s="80"/>
      <c r="M19" s="80"/>
      <c r="N19" s="80"/>
      <c r="O19" s="80"/>
      <c r="P19" s="80"/>
      <c r="Q19" s="80"/>
      <c r="R19" s="80"/>
      <c r="S19" s="80"/>
      <c r="T19" s="80"/>
      <c r="U19" s="80"/>
      <c r="V19" s="80"/>
    </row>
    <row r="20" spans="1:22" x14ac:dyDescent="0.25">
      <c r="A20" s="81" t="s">
        <v>499</v>
      </c>
      <c r="B20" s="80">
        <v>3</v>
      </c>
      <c r="C20" s="80" t="s">
        <v>507</v>
      </c>
      <c r="D20" s="80">
        <v>1</v>
      </c>
      <c r="E20" s="80" t="s">
        <v>505</v>
      </c>
      <c r="F20" s="80">
        <v>1</v>
      </c>
      <c r="G20" s="80"/>
      <c r="H20" s="80"/>
      <c r="I20" s="80"/>
      <c r="J20" s="80"/>
      <c r="K20" s="80"/>
      <c r="L20" s="80"/>
      <c r="M20" s="80"/>
      <c r="N20" s="80"/>
      <c r="O20" s="80"/>
      <c r="P20" s="80"/>
      <c r="Q20" s="80"/>
      <c r="R20" s="80"/>
      <c r="S20" s="80"/>
      <c r="T20" s="80"/>
      <c r="U20" s="80"/>
      <c r="V20" s="80"/>
    </row>
    <row r="21" spans="1:22" x14ac:dyDescent="0.25">
      <c r="A21" s="81" t="s">
        <v>500</v>
      </c>
      <c r="B21" s="80">
        <v>3</v>
      </c>
      <c r="C21" s="80" t="s">
        <v>505</v>
      </c>
      <c r="D21" s="80">
        <v>1</v>
      </c>
      <c r="E21" s="80" t="s">
        <v>503</v>
      </c>
      <c r="F21" s="80">
        <v>1</v>
      </c>
      <c r="G21" s="80"/>
      <c r="H21" s="80"/>
      <c r="I21" s="80"/>
      <c r="J21" s="80"/>
      <c r="K21" s="80"/>
      <c r="L21" s="80"/>
      <c r="M21" s="80"/>
      <c r="N21" s="80"/>
      <c r="O21" s="80"/>
      <c r="P21" s="80"/>
      <c r="Q21" s="80"/>
      <c r="R21" s="80"/>
      <c r="S21" s="80"/>
      <c r="T21" s="80"/>
      <c r="U21" s="80"/>
      <c r="V21" s="80"/>
    </row>
    <row r="22" spans="1:22" x14ac:dyDescent="0.25">
      <c r="A22" s="81" t="s">
        <v>510</v>
      </c>
      <c r="B22" s="80">
        <v>2</v>
      </c>
      <c r="C22" s="80" t="s">
        <v>500</v>
      </c>
      <c r="D22" s="80">
        <v>1</v>
      </c>
      <c r="E22" s="80" t="s">
        <v>501</v>
      </c>
      <c r="F22" s="80">
        <v>1</v>
      </c>
      <c r="G22" s="80"/>
      <c r="H22" s="80"/>
      <c r="I22" s="80"/>
      <c r="J22" s="80"/>
      <c r="K22" s="80"/>
      <c r="L22" s="80"/>
      <c r="M22" s="80"/>
      <c r="N22" s="80"/>
      <c r="O22" s="80"/>
      <c r="P22" s="80"/>
      <c r="Q22" s="80"/>
      <c r="R22" s="80"/>
      <c r="S22" s="80"/>
      <c r="T22" s="80"/>
      <c r="U22" s="80"/>
      <c r="V22" s="80"/>
    </row>
    <row r="23" spans="1:22" x14ac:dyDescent="0.25">
      <c r="A23" s="81" t="s">
        <v>507</v>
      </c>
      <c r="B23" s="80">
        <v>2</v>
      </c>
      <c r="C23" s="80"/>
      <c r="D23" s="80"/>
      <c r="E23" s="80"/>
      <c r="F23" s="80"/>
      <c r="G23" s="80"/>
      <c r="H23" s="80"/>
      <c r="I23" s="80"/>
      <c r="J23" s="80"/>
      <c r="K23" s="80"/>
      <c r="L23" s="80"/>
      <c r="M23" s="80"/>
      <c r="N23" s="80"/>
      <c r="O23" s="80"/>
      <c r="P23" s="80"/>
      <c r="Q23" s="80"/>
      <c r="R23" s="80"/>
      <c r="S23" s="80"/>
      <c r="T23" s="80"/>
      <c r="U23" s="80"/>
      <c r="V23" s="80"/>
    </row>
    <row r="24" spans="1:22" x14ac:dyDescent="0.25">
      <c r="A24" s="81" t="s">
        <v>505</v>
      </c>
      <c r="B24" s="80">
        <v>2</v>
      </c>
      <c r="C24" s="80"/>
      <c r="D24" s="80"/>
      <c r="E24" s="80"/>
      <c r="F24" s="80"/>
      <c r="G24" s="80"/>
      <c r="H24" s="80"/>
      <c r="I24" s="80"/>
      <c r="J24" s="80"/>
      <c r="K24" s="80"/>
      <c r="L24" s="80"/>
      <c r="M24" s="80"/>
      <c r="N24" s="80"/>
      <c r="O24" s="80"/>
      <c r="P24" s="80"/>
      <c r="Q24" s="80"/>
      <c r="R24" s="80"/>
      <c r="S24" s="80"/>
      <c r="T24" s="80"/>
      <c r="U24" s="80"/>
      <c r="V24" s="80"/>
    </row>
    <row r="27" spans="1:22" ht="15" customHeight="1" x14ac:dyDescent="0.25">
      <c r="A27" s="13" t="s">
        <v>9633</v>
      </c>
      <c r="B27" s="13" t="s">
        <v>9565</v>
      </c>
      <c r="C27" s="13" t="s">
        <v>9634</v>
      </c>
      <c r="D27" s="13" t="s">
        <v>9574</v>
      </c>
      <c r="E27" s="13" t="s">
        <v>9635</v>
      </c>
      <c r="F27" s="13" t="s">
        <v>9583</v>
      </c>
      <c r="G27" s="13" t="s">
        <v>9636</v>
      </c>
      <c r="H27" s="13" t="s">
        <v>9589</v>
      </c>
      <c r="I27" s="13" t="s">
        <v>9637</v>
      </c>
      <c r="J27" s="13" t="s">
        <v>9592</v>
      </c>
      <c r="K27" s="13" t="s">
        <v>9638</v>
      </c>
      <c r="L27" s="13" t="s">
        <v>9594</v>
      </c>
      <c r="M27" s="13" t="s">
        <v>9639</v>
      </c>
      <c r="N27" s="13" t="s">
        <v>9597</v>
      </c>
      <c r="O27" s="13" t="s">
        <v>9640</v>
      </c>
      <c r="P27" s="13" t="s">
        <v>9599</v>
      </c>
      <c r="Q27" s="80" t="s">
        <v>9641</v>
      </c>
      <c r="R27" s="80" t="s">
        <v>9602</v>
      </c>
      <c r="S27" s="80" t="s">
        <v>9642</v>
      </c>
      <c r="T27" s="80" t="s">
        <v>9605</v>
      </c>
      <c r="U27" s="13" t="s">
        <v>9643</v>
      </c>
      <c r="V27" s="13" t="s">
        <v>9607</v>
      </c>
    </row>
    <row r="28" spans="1:22" x14ac:dyDescent="0.25">
      <c r="A28" s="80" t="s">
        <v>485</v>
      </c>
      <c r="B28" s="80">
        <v>8</v>
      </c>
      <c r="C28" s="80" t="s">
        <v>485</v>
      </c>
      <c r="D28" s="80">
        <v>2</v>
      </c>
      <c r="E28" s="80" t="s">
        <v>474</v>
      </c>
      <c r="F28" s="80">
        <v>7</v>
      </c>
      <c r="G28" s="80" t="s">
        <v>485</v>
      </c>
      <c r="H28" s="80">
        <v>6</v>
      </c>
      <c r="I28" s="80" t="s">
        <v>490</v>
      </c>
      <c r="J28" s="80">
        <v>4</v>
      </c>
      <c r="K28" s="80" t="s">
        <v>2087</v>
      </c>
      <c r="L28" s="80">
        <v>2</v>
      </c>
      <c r="M28" s="80" t="s">
        <v>470</v>
      </c>
      <c r="N28" s="80">
        <v>2</v>
      </c>
      <c r="O28" s="80" t="s">
        <v>495</v>
      </c>
      <c r="P28" s="80">
        <v>1</v>
      </c>
      <c r="Q28" s="80"/>
      <c r="R28" s="80"/>
      <c r="S28" s="80"/>
      <c r="T28" s="80"/>
      <c r="U28" s="80" t="s">
        <v>475</v>
      </c>
      <c r="V28" s="80">
        <v>1</v>
      </c>
    </row>
    <row r="29" spans="1:22" x14ac:dyDescent="0.25">
      <c r="A29" s="81" t="s">
        <v>474</v>
      </c>
      <c r="B29" s="80">
        <v>7</v>
      </c>
      <c r="C29" s="80" t="s">
        <v>1993</v>
      </c>
      <c r="D29" s="80">
        <v>2</v>
      </c>
      <c r="E29" s="80" t="s">
        <v>476</v>
      </c>
      <c r="F29" s="80">
        <v>5</v>
      </c>
      <c r="G29" s="80" t="s">
        <v>1989</v>
      </c>
      <c r="H29" s="80">
        <v>4</v>
      </c>
      <c r="I29" s="80"/>
      <c r="J29" s="80"/>
      <c r="K29" s="80" t="s">
        <v>2086</v>
      </c>
      <c r="L29" s="80">
        <v>2</v>
      </c>
      <c r="M29" s="80" t="s">
        <v>491</v>
      </c>
      <c r="N29" s="80">
        <v>1</v>
      </c>
      <c r="O29" s="80"/>
      <c r="P29" s="80"/>
      <c r="Q29" s="80"/>
      <c r="R29" s="80"/>
      <c r="S29" s="80"/>
      <c r="T29" s="80"/>
      <c r="U29" s="80"/>
      <c r="V29" s="80"/>
    </row>
    <row r="30" spans="1:22" x14ac:dyDescent="0.25">
      <c r="A30" s="81" t="s">
        <v>476</v>
      </c>
      <c r="B30" s="80">
        <v>6</v>
      </c>
      <c r="C30" s="80" t="s">
        <v>1992</v>
      </c>
      <c r="D30" s="80">
        <v>2</v>
      </c>
      <c r="E30" s="80" t="s">
        <v>478</v>
      </c>
      <c r="F30" s="80">
        <v>4</v>
      </c>
      <c r="G30" s="80" t="s">
        <v>1988</v>
      </c>
      <c r="H30" s="80">
        <v>4</v>
      </c>
      <c r="I30" s="80"/>
      <c r="J30" s="80"/>
      <c r="K30" s="80" t="s">
        <v>2260</v>
      </c>
      <c r="L30" s="80">
        <v>1</v>
      </c>
      <c r="M30" s="80" t="s">
        <v>472</v>
      </c>
      <c r="N30" s="80">
        <v>1</v>
      </c>
      <c r="O30" s="80"/>
      <c r="P30" s="80"/>
      <c r="Q30" s="80"/>
      <c r="R30" s="80"/>
      <c r="S30" s="80"/>
      <c r="T30" s="80"/>
      <c r="U30" s="80"/>
      <c r="V30" s="80"/>
    </row>
    <row r="31" spans="1:22" x14ac:dyDescent="0.25">
      <c r="A31" s="81" t="s">
        <v>470</v>
      </c>
      <c r="B31" s="80">
        <v>5</v>
      </c>
      <c r="C31" s="80" t="s">
        <v>1991</v>
      </c>
      <c r="D31" s="80">
        <v>2</v>
      </c>
      <c r="E31" s="80" t="s">
        <v>1812</v>
      </c>
      <c r="F31" s="80">
        <v>2</v>
      </c>
      <c r="G31" s="80" t="s">
        <v>470</v>
      </c>
      <c r="H31" s="80">
        <v>2</v>
      </c>
      <c r="I31" s="80"/>
      <c r="J31" s="80"/>
      <c r="K31" s="80" t="s">
        <v>2259</v>
      </c>
      <c r="L31" s="80">
        <v>1</v>
      </c>
      <c r="M31" s="80"/>
      <c r="N31" s="80"/>
      <c r="O31" s="80"/>
      <c r="P31" s="80"/>
      <c r="Q31" s="80"/>
      <c r="R31" s="80"/>
      <c r="S31" s="80"/>
      <c r="T31" s="80"/>
      <c r="U31" s="80"/>
      <c r="V31" s="80"/>
    </row>
    <row r="32" spans="1:22" x14ac:dyDescent="0.25">
      <c r="A32" s="81" t="s">
        <v>490</v>
      </c>
      <c r="B32" s="80">
        <v>5</v>
      </c>
      <c r="C32" s="80" t="s">
        <v>494</v>
      </c>
      <c r="D32" s="80">
        <v>1</v>
      </c>
      <c r="E32" s="80" t="s">
        <v>2029</v>
      </c>
      <c r="F32" s="80">
        <v>1</v>
      </c>
      <c r="G32" s="80" t="s">
        <v>488</v>
      </c>
      <c r="H32" s="80">
        <v>2</v>
      </c>
      <c r="I32" s="80"/>
      <c r="J32" s="80"/>
      <c r="K32" s="80" t="s">
        <v>2258</v>
      </c>
      <c r="L32" s="80">
        <v>1</v>
      </c>
      <c r="M32" s="80"/>
      <c r="N32" s="80"/>
      <c r="O32" s="80"/>
      <c r="P32" s="80"/>
      <c r="Q32" s="80"/>
      <c r="R32" s="80"/>
      <c r="S32" s="80"/>
      <c r="T32" s="80"/>
      <c r="U32" s="80"/>
      <c r="V32" s="80"/>
    </row>
    <row r="33" spans="1:22" x14ac:dyDescent="0.25">
      <c r="A33" s="81" t="s">
        <v>1989</v>
      </c>
      <c r="B33" s="80">
        <v>5</v>
      </c>
      <c r="C33" s="80" t="s">
        <v>1989</v>
      </c>
      <c r="D33" s="80">
        <v>1</v>
      </c>
      <c r="E33" s="80" t="s">
        <v>2028</v>
      </c>
      <c r="F33" s="80">
        <v>1</v>
      </c>
      <c r="G33" s="80" t="s">
        <v>489</v>
      </c>
      <c r="H33" s="80">
        <v>2</v>
      </c>
      <c r="I33" s="80"/>
      <c r="J33" s="80"/>
      <c r="K33" s="80" t="s">
        <v>2257</v>
      </c>
      <c r="L33" s="80">
        <v>1</v>
      </c>
      <c r="M33" s="80"/>
      <c r="N33" s="80"/>
      <c r="O33" s="80"/>
      <c r="P33" s="80"/>
      <c r="Q33" s="80"/>
      <c r="R33" s="80"/>
      <c r="S33" s="80"/>
      <c r="T33" s="80"/>
      <c r="U33" s="80"/>
      <c r="V33" s="80"/>
    </row>
    <row r="34" spans="1:22" x14ac:dyDescent="0.25">
      <c r="A34" s="81" t="s">
        <v>1988</v>
      </c>
      <c r="B34" s="80">
        <v>5</v>
      </c>
      <c r="C34" s="80" t="s">
        <v>1988</v>
      </c>
      <c r="D34" s="80">
        <v>1</v>
      </c>
      <c r="E34" s="80" t="s">
        <v>2027</v>
      </c>
      <c r="F34" s="80">
        <v>1</v>
      </c>
      <c r="G34" s="80" t="s">
        <v>1977</v>
      </c>
      <c r="H34" s="80">
        <v>1</v>
      </c>
      <c r="I34" s="80"/>
      <c r="J34" s="80"/>
      <c r="K34" s="80" t="s">
        <v>2256</v>
      </c>
      <c r="L34" s="80">
        <v>1</v>
      </c>
      <c r="M34" s="80"/>
      <c r="N34" s="80"/>
      <c r="O34" s="80"/>
      <c r="P34" s="80"/>
      <c r="Q34" s="80"/>
      <c r="R34" s="80"/>
      <c r="S34" s="80"/>
      <c r="T34" s="80"/>
      <c r="U34" s="80"/>
      <c r="V34" s="80"/>
    </row>
    <row r="35" spans="1:22" x14ac:dyDescent="0.25">
      <c r="A35" s="81" t="s">
        <v>478</v>
      </c>
      <c r="B35" s="80">
        <v>4</v>
      </c>
      <c r="C35" s="80" t="s">
        <v>470</v>
      </c>
      <c r="D35" s="80">
        <v>1</v>
      </c>
      <c r="E35" s="80" t="s">
        <v>475</v>
      </c>
      <c r="F35" s="80">
        <v>1</v>
      </c>
      <c r="G35" s="80" t="s">
        <v>2245</v>
      </c>
      <c r="H35" s="80">
        <v>1</v>
      </c>
      <c r="I35" s="80"/>
      <c r="J35" s="80"/>
      <c r="K35" s="80" t="s">
        <v>2255</v>
      </c>
      <c r="L35" s="80">
        <v>1</v>
      </c>
      <c r="M35" s="80"/>
      <c r="N35" s="80"/>
      <c r="O35" s="80"/>
      <c r="P35" s="80"/>
      <c r="Q35" s="80"/>
      <c r="R35" s="80"/>
      <c r="S35" s="80"/>
      <c r="T35" s="80"/>
      <c r="U35" s="80"/>
      <c r="V35" s="80"/>
    </row>
    <row r="36" spans="1:22" x14ac:dyDescent="0.25">
      <c r="A36" s="81" t="s">
        <v>2086</v>
      </c>
      <c r="B36" s="80">
        <v>3</v>
      </c>
      <c r="C36" s="80" t="s">
        <v>488</v>
      </c>
      <c r="D36" s="80">
        <v>1</v>
      </c>
      <c r="E36" s="80" t="s">
        <v>2150</v>
      </c>
      <c r="F36" s="80">
        <v>1</v>
      </c>
      <c r="G36" s="80" t="s">
        <v>2244</v>
      </c>
      <c r="H36" s="80">
        <v>1</v>
      </c>
      <c r="I36" s="80"/>
      <c r="J36" s="80"/>
      <c r="K36" s="80" t="s">
        <v>358</v>
      </c>
      <c r="L36" s="80">
        <v>1</v>
      </c>
      <c r="M36" s="80"/>
      <c r="N36" s="80"/>
      <c r="O36" s="80"/>
      <c r="P36" s="80"/>
      <c r="Q36" s="80"/>
      <c r="R36" s="80"/>
      <c r="S36" s="80"/>
      <c r="T36" s="80"/>
      <c r="U36" s="80"/>
      <c r="V36" s="80"/>
    </row>
    <row r="37" spans="1:22" x14ac:dyDescent="0.25">
      <c r="A37" s="81" t="s">
        <v>488</v>
      </c>
      <c r="B37" s="80">
        <v>3</v>
      </c>
      <c r="C37" s="80" t="s">
        <v>490</v>
      </c>
      <c r="D37" s="80">
        <v>1</v>
      </c>
      <c r="E37" s="80" t="s">
        <v>2149</v>
      </c>
      <c r="F37" s="80">
        <v>1</v>
      </c>
      <c r="G37" s="80" t="s">
        <v>2109</v>
      </c>
      <c r="H37" s="80">
        <v>1</v>
      </c>
      <c r="I37" s="80"/>
      <c r="J37" s="80"/>
      <c r="K37" s="80" t="s">
        <v>2088</v>
      </c>
      <c r="L37" s="80">
        <v>1</v>
      </c>
      <c r="M37" s="80"/>
      <c r="N37" s="80"/>
      <c r="O37" s="80"/>
      <c r="P37" s="80"/>
      <c r="Q37" s="80"/>
      <c r="R37" s="80"/>
      <c r="S37" s="80"/>
      <c r="T37" s="80"/>
      <c r="U37" s="80"/>
      <c r="V37" s="80"/>
    </row>
    <row r="40" spans="1:22" ht="15" customHeight="1" x14ac:dyDescent="0.25">
      <c r="A40" s="13" t="s">
        <v>9650</v>
      </c>
      <c r="B40" s="13" t="s">
        <v>9565</v>
      </c>
      <c r="C40" s="13" t="s">
        <v>9651</v>
      </c>
      <c r="D40" s="13" t="s">
        <v>9574</v>
      </c>
      <c r="E40" s="13" t="s">
        <v>9652</v>
      </c>
      <c r="F40" s="13" t="s">
        <v>9583</v>
      </c>
      <c r="G40" s="13" t="s">
        <v>9653</v>
      </c>
      <c r="H40" s="13" t="s">
        <v>9589</v>
      </c>
      <c r="I40" s="13" t="s">
        <v>9654</v>
      </c>
      <c r="J40" s="13" t="s">
        <v>9592</v>
      </c>
      <c r="K40" s="13" t="s">
        <v>9655</v>
      </c>
      <c r="L40" s="13" t="s">
        <v>9594</v>
      </c>
      <c r="M40" s="13" t="s">
        <v>9656</v>
      </c>
      <c r="N40" s="13" t="s">
        <v>9597</v>
      </c>
      <c r="O40" s="13" t="s">
        <v>9657</v>
      </c>
      <c r="P40" s="13" t="s">
        <v>9599</v>
      </c>
      <c r="Q40" s="13" t="s">
        <v>9658</v>
      </c>
      <c r="R40" s="13" t="s">
        <v>9602</v>
      </c>
      <c r="S40" s="13" t="s">
        <v>9659</v>
      </c>
      <c r="T40" s="13" t="s">
        <v>9605</v>
      </c>
      <c r="U40" s="13" t="s">
        <v>9660</v>
      </c>
      <c r="V40" s="13" t="s">
        <v>9607</v>
      </c>
    </row>
    <row r="41" spans="1:22" x14ac:dyDescent="0.25">
      <c r="A41" s="87" t="s">
        <v>268</v>
      </c>
      <c r="B41" s="87">
        <v>65</v>
      </c>
      <c r="C41" s="87" t="s">
        <v>268</v>
      </c>
      <c r="D41" s="87">
        <v>15</v>
      </c>
      <c r="E41" s="87" t="s">
        <v>268</v>
      </c>
      <c r="F41" s="87">
        <v>17</v>
      </c>
      <c r="G41" s="87" t="s">
        <v>249</v>
      </c>
      <c r="H41" s="87">
        <v>21</v>
      </c>
      <c r="I41" s="87" t="s">
        <v>280</v>
      </c>
      <c r="J41" s="87">
        <v>5</v>
      </c>
      <c r="K41" s="87" t="s">
        <v>301</v>
      </c>
      <c r="L41" s="87">
        <v>3</v>
      </c>
      <c r="M41" s="87" t="s">
        <v>268</v>
      </c>
      <c r="N41" s="87">
        <v>12</v>
      </c>
      <c r="O41" s="87" t="s">
        <v>1655</v>
      </c>
      <c r="P41" s="87">
        <v>10</v>
      </c>
      <c r="Q41" s="87" t="s">
        <v>1725</v>
      </c>
      <c r="R41" s="87">
        <v>4</v>
      </c>
      <c r="S41" s="87" t="s">
        <v>338</v>
      </c>
      <c r="T41" s="87">
        <v>3</v>
      </c>
      <c r="U41" s="87" t="s">
        <v>1648</v>
      </c>
      <c r="V41" s="87">
        <v>4</v>
      </c>
    </row>
    <row r="42" spans="1:22" x14ac:dyDescent="0.25">
      <c r="A42" s="84" t="s">
        <v>249</v>
      </c>
      <c r="B42" s="87">
        <v>38</v>
      </c>
      <c r="C42" s="87" t="s">
        <v>249</v>
      </c>
      <c r="D42" s="87">
        <v>13</v>
      </c>
      <c r="E42" s="87" t="s">
        <v>1643</v>
      </c>
      <c r="F42" s="87">
        <v>16</v>
      </c>
      <c r="G42" s="87" t="s">
        <v>275</v>
      </c>
      <c r="H42" s="87">
        <v>12</v>
      </c>
      <c r="I42" s="87" t="s">
        <v>1709</v>
      </c>
      <c r="J42" s="87">
        <v>4</v>
      </c>
      <c r="K42" s="87" t="s">
        <v>1858</v>
      </c>
      <c r="L42" s="87">
        <v>2</v>
      </c>
      <c r="M42" s="87" t="s">
        <v>1646</v>
      </c>
      <c r="N42" s="87">
        <v>6</v>
      </c>
      <c r="O42" s="87" t="s">
        <v>1647</v>
      </c>
      <c r="P42" s="87">
        <v>5</v>
      </c>
      <c r="Q42" s="87" t="s">
        <v>1730</v>
      </c>
      <c r="R42" s="87">
        <v>4</v>
      </c>
      <c r="S42" s="87" t="s">
        <v>1824</v>
      </c>
      <c r="T42" s="87">
        <v>2</v>
      </c>
      <c r="U42" s="87" t="s">
        <v>1645</v>
      </c>
      <c r="V42" s="87">
        <v>4</v>
      </c>
    </row>
    <row r="43" spans="1:22" x14ac:dyDescent="0.25">
      <c r="A43" s="84" t="s">
        <v>1640</v>
      </c>
      <c r="B43" s="87">
        <v>26</v>
      </c>
      <c r="C43" s="87" t="s">
        <v>1646</v>
      </c>
      <c r="D43" s="87">
        <v>8</v>
      </c>
      <c r="E43" s="87" t="s">
        <v>1642</v>
      </c>
      <c r="F43" s="87">
        <v>16</v>
      </c>
      <c r="G43" s="87" t="s">
        <v>1650</v>
      </c>
      <c r="H43" s="87">
        <v>10</v>
      </c>
      <c r="I43" s="87" t="s">
        <v>1722</v>
      </c>
      <c r="J43" s="87">
        <v>4</v>
      </c>
      <c r="K43" s="87" t="s">
        <v>298</v>
      </c>
      <c r="L43" s="87">
        <v>2</v>
      </c>
      <c r="M43" s="87" t="s">
        <v>1641</v>
      </c>
      <c r="N43" s="87">
        <v>6</v>
      </c>
      <c r="O43" s="87" t="s">
        <v>1698</v>
      </c>
      <c r="P43" s="87">
        <v>5</v>
      </c>
      <c r="Q43" s="87" t="s">
        <v>1731</v>
      </c>
      <c r="R43" s="87">
        <v>4</v>
      </c>
      <c r="S43" s="87" t="s">
        <v>1784</v>
      </c>
      <c r="T43" s="87">
        <v>2</v>
      </c>
      <c r="U43" s="87" t="s">
        <v>1658</v>
      </c>
      <c r="V43" s="87">
        <v>4</v>
      </c>
    </row>
    <row r="44" spans="1:22" x14ac:dyDescent="0.25">
      <c r="A44" s="84" t="s">
        <v>1641</v>
      </c>
      <c r="B44" s="87">
        <v>20</v>
      </c>
      <c r="C44" s="87" t="s">
        <v>1641</v>
      </c>
      <c r="D44" s="87">
        <v>8</v>
      </c>
      <c r="E44" s="87" t="s">
        <v>1652</v>
      </c>
      <c r="F44" s="87">
        <v>11</v>
      </c>
      <c r="G44" s="87" t="s">
        <v>1645</v>
      </c>
      <c r="H44" s="87">
        <v>9</v>
      </c>
      <c r="I44" s="87" t="s">
        <v>1758</v>
      </c>
      <c r="J44" s="87">
        <v>3</v>
      </c>
      <c r="K44" s="87" t="s">
        <v>351</v>
      </c>
      <c r="L44" s="87">
        <v>2</v>
      </c>
      <c r="M44" s="87" t="s">
        <v>1649</v>
      </c>
      <c r="N44" s="87">
        <v>4</v>
      </c>
      <c r="O44" s="87" t="s">
        <v>1721</v>
      </c>
      <c r="P44" s="87">
        <v>5</v>
      </c>
      <c r="Q44" s="87" t="s">
        <v>1641</v>
      </c>
      <c r="R44" s="87">
        <v>4</v>
      </c>
      <c r="S44" s="87" t="s">
        <v>1906</v>
      </c>
      <c r="T44" s="87">
        <v>2</v>
      </c>
      <c r="U44" s="87" t="s">
        <v>1660</v>
      </c>
      <c r="V44" s="87">
        <v>4</v>
      </c>
    </row>
    <row r="45" spans="1:22" x14ac:dyDescent="0.25">
      <c r="A45" s="84" t="s">
        <v>1642</v>
      </c>
      <c r="B45" s="87">
        <v>20</v>
      </c>
      <c r="C45" s="87" t="s">
        <v>1640</v>
      </c>
      <c r="D45" s="87">
        <v>6</v>
      </c>
      <c r="E45" s="87" t="s">
        <v>1640</v>
      </c>
      <c r="F45" s="87">
        <v>10</v>
      </c>
      <c r="G45" s="87" t="s">
        <v>1644</v>
      </c>
      <c r="H45" s="87">
        <v>9</v>
      </c>
      <c r="I45" s="87" t="s">
        <v>1696</v>
      </c>
      <c r="J45" s="87">
        <v>3</v>
      </c>
      <c r="K45" s="87" t="s">
        <v>1867</v>
      </c>
      <c r="L45" s="87">
        <v>2</v>
      </c>
      <c r="M45" s="87" t="s">
        <v>1671</v>
      </c>
      <c r="N45" s="87">
        <v>4</v>
      </c>
      <c r="O45" s="87" t="s">
        <v>1711</v>
      </c>
      <c r="P45" s="87">
        <v>5</v>
      </c>
      <c r="Q45" s="87" t="s">
        <v>1736</v>
      </c>
      <c r="R45" s="87">
        <v>4</v>
      </c>
      <c r="S45" s="87" t="s">
        <v>1761</v>
      </c>
      <c r="T45" s="87">
        <v>2</v>
      </c>
      <c r="U45" s="87" t="s">
        <v>1678</v>
      </c>
      <c r="V45" s="87">
        <v>4</v>
      </c>
    </row>
    <row r="46" spans="1:22" x14ac:dyDescent="0.25">
      <c r="A46" s="84" t="s">
        <v>1643</v>
      </c>
      <c r="B46" s="87">
        <v>19</v>
      </c>
      <c r="C46" s="87" t="s">
        <v>1686</v>
      </c>
      <c r="D46" s="87">
        <v>5</v>
      </c>
      <c r="E46" s="87" t="s">
        <v>252</v>
      </c>
      <c r="F46" s="87">
        <v>9</v>
      </c>
      <c r="G46" s="87" t="s">
        <v>1656</v>
      </c>
      <c r="H46" s="87">
        <v>8</v>
      </c>
      <c r="I46" s="87" t="s">
        <v>1651</v>
      </c>
      <c r="J46" s="87">
        <v>3</v>
      </c>
      <c r="K46" s="87" t="s">
        <v>355</v>
      </c>
      <c r="L46" s="87">
        <v>2</v>
      </c>
      <c r="M46" s="87" t="s">
        <v>1663</v>
      </c>
      <c r="N46" s="87">
        <v>4</v>
      </c>
      <c r="O46" s="87" t="s">
        <v>1701</v>
      </c>
      <c r="P46" s="87">
        <v>5</v>
      </c>
      <c r="Q46" s="87" t="s">
        <v>1727</v>
      </c>
      <c r="R46" s="87">
        <v>4</v>
      </c>
      <c r="S46" s="87" t="s">
        <v>1892</v>
      </c>
      <c r="T46" s="87">
        <v>2</v>
      </c>
      <c r="U46" s="87" t="s">
        <v>1653</v>
      </c>
      <c r="V46" s="87">
        <v>4</v>
      </c>
    </row>
    <row r="47" spans="1:22" x14ac:dyDescent="0.25">
      <c r="A47" s="84" t="s">
        <v>1644</v>
      </c>
      <c r="B47" s="87">
        <v>19</v>
      </c>
      <c r="C47" s="87" t="s">
        <v>243</v>
      </c>
      <c r="D47" s="87">
        <v>5</v>
      </c>
      <c r="E47" s="87" t="s">
        <v>1649</v>
      </c>
      <c r="F47" s="87">
        <v>7</v>
      </c>
      <c r="G47" s="87" t="s">
        <v>268</v>
      </c>
      <c r="H47" s="87">
        <v>7</v>
      </c>
      <c r="I47" s="87" t="s">
        <v>1647</v>
      </c>
      <c r="J47" s="87">
        <v>3</v>
      </c>
      <c r="K47" s="87" t="s">
        <v>357</v>
      </c>
      <c r="L47" s="87">
        <v>2</v>
      </c>
      <c r="M47" s="87" t="s">
        <v>249</v>
      </c>
      <c r="N47" s="87">
        <v>4</v>
      </c>
      <c r="O47" s="87" t="s">
        <v>1648</v>
      </c>
      <c r="P47" s="87">
        <v>5</v>
      </c>
      <c r="Q47" s="87" t="s">
        <v>1754</v>
      </c>
      <c r="R47" s="87">
        <v>4</v>
      </c>
      <c r="S47" s="87" t="s">
        <v>1868</v>
      </c>
      <c r="T47" s="87">
        <v>2</v>
      </c>
      <c r="U47" s="87" t="s">
        <v>1691</v>
      </c>
      <c r="V47" s="87">
        <v>4</v>
      </c>
    </row>
    <row r="48" spans="1:22" x14ac:dyDescent="0.25">
      <c r="A48" s="84" t="s">
        <v>1645</v>
      </c>
      <c r="B48" s="87">
        <v>18</v>
      </c>
      <c r="C48" s="87" t="s">
        <v>275</v>
      </c>
      <c r="D48" s="87">
        <v>5</v>
      </c>
      <c r="E48" s="87" t="s">
        <v>1677</v>
      </c>
      <c r="F48" s="87">
        <v>7</v>
      </c>
      <c r="G48" s="87" t="s">
        <v>1664</v>
      </c>
      <c r="H48" s="87">
        <v>6</v>
      </c>
      <c r="I48" s="87" t="s">
        <v>330</v>
      </c>
      <c r="J48" s="87">
        <v>2</v>
      </c>
      <c r="K48" s="87" t="s">
        <v>1879</v>
      </c>
      <c r="L48" s="87">
        <v>2</v>
      </c>
      <c r="M48" s="87" t="s">
        <v>1786</v>
      </c>
      <c r="N48" s="87">
        <v>2</v>
      </c>
      <c r="O48" s="87" t="s">
        <v>1714</v>
      </c>
      <c r="P48" s="87">
        <v>5</v>
      </c>
      <c r="Q48" s="87" t="s">
        <v>1726</v>
      </c>
      <c r="R48" s="87">
        <v>4</v>
      </c>
      <c r="S48" s="87" t="s">
        <v>1689</v>
      </c>
      <c r="T48" s="87">
        <v>2</v>
      </c>
      <c r="U48" s="87" t="s">
        <v>268</v>
      </c>
      <c r="V48" s="87">
        <v>4</v>
      </c>
    </row>
    <row r="49" spans="1:22" x14ac:dyDescent="0.25">
      <c r="A49" s="84" t="s">
        <v>275</v>
      </c>
      <c r="B49" s="87">
        <v>18</v>
      </c>
      <c r="C49" s="87" t="s">
        <v>1695</v>
      </c>
      <c r="D49" s="87">
        <v>5</v>
      </c>
      <c r="E49" s="87" t="s">
        <v>1675</v>
      </c>
      <c r="F49" s="87">
        <v>6</v>
      </c>
      <c r="G49" s="87" t="s">
        <v>1693</v>
      </c>
      <c r="H49" s="87">
        <v>4</v>
      </c>
      <c r="I49" s="87" t="s">
        <v>328</v>
      </c>
      <c r="J49" s="87">
        <v>2</v>
      </c>
      <c r="K49" s="87" t="s">
        <v>354</v>
      </c>
      <c r="L49" s="87">
        <v>2</v>
      </c>
      <c r="M49" s="87" t="s">
        <v>1779</v>
      </c>
      <c r="N49" s="87">
        <v>2</v>
      </c>
      <c r="O49" s="87" t="s">
        <v>1710</v>
      </c>
      <c r="P49" s="87">
        <v>5</v>
      </c>
      <c r="Q49" s="87" t="s">
        <v>304</v>
      </c>
      <c r="R49" s="87">
        <v>4</v>
      </c>
      <c r="S49" s="87"/>
      <c r="T49" s="87"/>
      <c r="U49" s="87" t="s">
        <v>1683</v>
      </c>
      <c r="V49" s="87">
        <v>4</v>
      </c>
    </row>
    <row r="50" spans="1:22" x14ac:dyDescent="0.25">
      <c r="A50" s="84" t="s">
        <v>1646</v>
      </c>
      <c r="B50" s="87">
        <v>18</v>
      </c>
      <c r="C50" s="87" t="s">
        <v>1648</v>
      </c>
      <c r="D50" s="87">
        <v>4</v>
      </c>
      <c r="E50" s="87" t="s">
        <v>1661</v>
      </c>
      <c r="F50" s="87">
        <v>6</v>
      </c>
      <c r="G50" s="87" t="s">
        <v>1666</v>
      </c>
      <c r="H50" s="87">
        <v>4</v>
      </c>
      <c r="I50" s="87" t="s">
        <v>1837</v>
      </c>
      <c r="J50" s="87">
        <v>2</v>
      </c>
      <c r="K50" s="87" t="s">
        <v>268</v>
      </c>
      <c r="L50" s="87">
        <v>2</v>
      </c>
      <c r="M50" s="87" t="s">
        <v>1667</v>
      </c>
      <c r="N50" s="87">
        <v>2</v>
      </c>
      <c r="O50" s="87" t="s">
        <v>1715</v>
      </c>
      <c r="P50" s="87">
        <v>5</v>
      </c>
      <c r="Q50" s="87" t="s">
        <v>1746</v>
      </c>
      <c r="R50" s="87">
        <v>4</v>
      </c>
      <c r="S50" s="87"/>
      <c r="T50" s="87"/>
      <c r="U50" s="87" t="s">
        <v>1679</v>
      </c>
      <c r="V50" s="87">
        <v>4</v>
      </c>
    </row>
    <row r="53" spans="1:22" ht="15" customHeight="1" x14ac:dyDescent="0.25">
      <c r="A53" s="13" t="s">
        <v>9674</v>
      </c>
      <c r="B53" s="13" t="s">
        <v>9565</v>
      </c>
      <c r="C53" s="13" t="s">
        <v>9685</v>
      </c>
      <c r="D53" s="13" t="s">
        <v>9574</v>
      </c>
      <c r="E53" s="13" t="s">
        <v>9691</v>
      </c>
      <c r="F53" s="13" t="s">
        <v>9583</v>
      </c>
      <c r="G53" s="13" t="s">
        <v>9700</v>
      </c>
      <c r="H53" s="13" t="s">
        <v>9589</v>
      </c>
      <c r="I53" s="13" t="s">
        <v>9708</v>
      </c>
      <c r="J53" s="13" t="s">
        <v>9592</v>
      </c>
      <c r="K53" s="13" t="s">
        <v>9719</v>
      </c>
      <c r="L53" s="13" t="s">
        <v>9594</v>
      </c>
      <c r="M53" s="13" t="s">
        <v>9728</v>
      </c>
      <c r="N53" s="13" t="s">
        <v>9597</v>
      </c>
      <c r="O53" s="13" t="s">
        <v>9734</v>
      </c>
      <c r="P53" s="13" t="s">
        <v>9599</v>
      </c>
      <c r="Q53" s="13" t="s">
        <v>9745</v>
      </c>
      <c r="R53" s="13" t="s">
        <v>9602</v>
      </c>
      <c r="S53" s="13" t="s">
        <v>9756</v>
      </c>
      <c r="T53" s="13" t="s">
        <v>9605</v>
      </c>
      <c r="U53" s="13" t="s">
        <v>9764</v>
      </c>
      <c r="V53" s="13" t="s">
        <v>9607</v>
      </c>
    </row>
    <row r="54" spans="1:22" x14ac:dyDescent="0.25">
      <c r="A54" s="87" t="s">
        <v>9675</v>
      </c>
      <c r="B54" s="87">
        <v>16</v>
      </c>
      <c r="C54" s="87" t="s">
        <v>9681</v>
      </c>
      <c r="D54" s="87">
        <v>4</v>
      </c>
      <c r="E54" s="87" t="s">
        <v>9675</v>
      </c>
      <c r="F54" s="87">
        <v>14</v>
      </c>
      <c r="G54" s="87" t="s">
        <v>9676</v>
      </c>
      <c r="H54" s="87">
        <v>10</v>
      </c>
      <c r="I54" s="87" t="s">
        <v>9709</v>
      </c>
      <c r="J54" s="87">
        <v>3</v>
      </c>
      <c r="K54" s="87" t="s">
        <v>9720</v>
      </c>
      <c r="L54" s="87">
        <v>2</v>
      </c>
      <c r="M54" s="87" t="s">
        <v>9683</v>
      </c>
      <c r="N54" s="87">
        <v>4</v>
      </c>
      <c r="O54" s="87" t="s">
        <v>9735</v>
      </c>
      <c r="P54" s="87">
        <v>5</v>
      </c>
      <c r="Q54" s="87" t="s">
        <v>9746</v>
      </c>
      <c r="R54" s="87">
        <v>4</v>
      </c>
      <c r="S54" s="87" t="s">
        <v>9757</v>
      </c>
      <c r="T54" s="87">
        <v>2</v>
      </c>
      <c r="U54" s="87" t="s">
        <v>9765</v>
      </c>
      <c r="V54" s="87">
        <v>4</v>
      </c>
    </row>
    <row r="55" spans="1:22" x14ac:dyDescent="0.25">
      <c r="A55" s="84" t="s">
        <v>9676</v>
      </c>
      <c r="B55" s="87">
        <v>14</v>
      </c>
      <c r="C55" s="87" t="s">
        <v>9686</v>
      </c>
      <c r="D55" s="87">
        <v>3</v>
      </c>
      <c r="E55" s="87" t="s">
        <v>9682</v>
      </c>
      <c r="F55" s="87">
        <v>8</v>
      </c>
      <c r="G55" s="87" t="s">
        <v>9677</v>
      </c>
      <c r="H55" s="87">
        <v>10</v>
      </c>
      <c r="I55" s="87" t="s">
        <v>9710</v>
      </c>
      <c r="J55" s="87">
        <v>3</v>
      </c>
      <c r="K55" s="87" t="s">
        <v>9721</v>
      </c>
      <c r="L55" s="87">
        <v>2</v>
      </c>
      <c r="M55" s="87" t="s">
        <v>9681</v>
      </c>
      <c r="N55" s="87">
        <v>4</v>
      </c>
      <c r="O55" s="87" t="s">
        <v>9736</v>
      </c>
      <c r="P55" s="87">
        <v>5</v>
      </c>
      <c r="Q55" s="87" t="s">
        <v>9747</v>
      </c>
      <c r="R55" s="87">
        <v>4</v>
      </c>
      <c r="S55" s="87" t="s">
        <v>9758</v>
      </c>
      <c r="T55" s="87">
        <v>2</v>
      </c>
      <c r="U55" s="87" t="s">
        <v>9766</v>
      </c>
      <c r="V55" s="87">
        <v>4</v>
      </c>
    </row>
    <row r="56" spans="1:22" x14ac:dyDescent="0.25">
      <c r="A56" s="84" t="s">
        <v>9677</v>
      </c>
      <c r="B56" s="87">
        <v>14</v>
      </c>
      <c r="C56" s="87" t="s">
        <v>9679</v>
      </c>
      <c r="D56" s="87">
        <v>3</v>
      </c>
      <c r="E56" s="87" t="s">
        <v>9692</v>
      </c>
      <c r="F56" s="87">
        <v>6</v>
      </c>
      <c r="G56" s="87" t="s">
        <v>9680</v>
      </c>
      <c r="H56" s="87">
        <v>6</v>
      </c>
      <c r="I56" s="87" t="s">
        <v>9711</v>
      </c>
      <c r="J56" s="87">
        <v>3</v>
      </c>
      <c r="K56" s="87" t="s">
        <v>9722</v>
      </c>
      <c r="L56" s="87">
        <v>2</v>
      </c>
      <c r="M56" s="87" t="s">
        <v>9678</v>
      </c>
      <c r="N56" s="87">
        <v>4</v>
      </c>
      <c r="O56" s="87" t="s">
        <v>9737</v>
      </c>
      <c r="P56" s="87">
        <v>5</v>
      </c>
      <c r="Q56" s="87" t="s">
        <v>9748</v>
      </c>
      <c r="R56" s="87">
        <v>4</v>
      </c>
      <c r="S56" s="87" t="s">
        <v>9759</v>
      </c>
      <c r="T56" s="87">
        <v>2</v>
      </c>
      <c r="U56" s="87" t="s">
        <v>9767</v>
      </c>
      <c r="V56" s="87">
        <v>4</v>
      </c>
    </row>
    <row r="57" spans="1:22" x14ac:dyDescent="0.25">
      <c r="A57" s="84" t="s">
        <v>9678</v>
      </c>
      <c r="B57" s="87">
        <v>9</v>
      </c>
      <c r="C57" s="87" t="s">
        <v>9678</v>
      </c>
      <c r="D57" s="87">
        <v>3</v>
      </c>
      <c r="E57" s="87" t="s">
        <v>9693</v>
      </c>
      <c r="F57" s="87">
        <v>6</v>
      </c>
      <c r="G57" s="87" t="s">
        <v>9701</v>
      </c>
      <c r="H57" s="87">
        <v>4</v>
      </c>
      <c r="I57" s="87" t="s">
        <v>9712</v>
      </c>
      <c r="J57" s="87">
        <v>3</v>
      </c>
      <c r="K57" s="87" t="s">
        <v>9723</v>
      </c>
      <c r="L57" s="87">
        <v>2</v>
      </c>
      <c r="M57" s="87" t="s">
        <v>9684</v>
      </c>
      <c r="N57" s="87">
        <v>4</v>
      </c>
      <c r="O57" s="87" t="s">
        <v>9738</v>
      </c>
      <c r="P57" s="87">
        <v>5</v>
      </c>
      <c r="Q57" s="87" t="s">
        <v>9749</v>
      </c>
      <c r="R57" s="87">
        <v>4</v>
      </c>
      <c r="S57" s="87" t="s">
        <v>9760</v>
      </c>
      <c r="T57" s="87">
        <v>2</v>
      </c>
      <c r="U57" s="87" t="s">
        <v>9768</v>
      </c>
      <c r="V57" s="87">
        <v>4</v>
      </c>
    </row>
    <row r="58" spans="1:22" x14ac:dyDescent="0.25">
      <c r="A58" s="84" t="s">
        <v>9679</v>
      </c>
      <c r="B58" s="87">
        <v>9</v>
      </c>
      <c r="C58" s="87" t="s">
        <v>9677</v>
      </c>
      <c r="D58" s="87">
        <v>3</v>
      </c>
      <c r="E58" s="87" t="s">
        <v>9694</v>
      </c>
      <c r="F58" s="87">
        <v>6</v>
      </c>
      <c r="G58" s="87" t="s">
        <v>9702</v>
      </c>
      <c r="H58" s="87">
        <v>4</v>
      </c>
      <c r="I58" s="87" t="s">
        <v>9713</v>
      </c>
      <c r="J58" s="87">
        <v>2</v>
      </c>
      <c r="K58" s="87" t="s">
        <v>9724</v>
      </c>
      <c r="L58" s="87">
        <v>2</v>
      </c>
      <c r="M58" s="87" t="s">
        <v>9679</v>
      </c>
      <c r="N58" s="87">
        <v>4</v>
      </c>
      <c r="O58" s="87" t="s">
        <v>9739</v>
      </c>
      <c r="P58" s="87">
        <v>5</v>
      </c>
      <c r="Q58" s="87" t="s">
        <v>9750</v>
      </c>
      <c r="R58" s="87">
        <v>4</v>
      </c>
      <c r="S58" s="87" t="s">
        <v>9761</v>
      </c>
      <c r="T58" s="87">
        <v>2</v>
      </c>
      <c r="U58" s="87" t="s">
        <v>9769</v>
      </c>
      <c r="V58" s="87">
        <v>4</v>
      </c>
    </row>
    <row r="59" spans="1:22" x14ac:dyDescent="0.25">
      <c r="A59" s="84" t="s">
        <v>9680</v>
      </c>
      <c r="B59" s="87">
        <v>8</v>
      </c>
      <c r="C59" s="87" t="s">
        <v>9687</v>
      </c>
      <c r="D59" s="87">
        <v>3</v>
      </c>
      <c r="E59" s="87" t="s">
        <v>9695</v>
      </c>
      <c r="F59" s="87">
        <v>6</v>
      </c>
      <c r="G59" s="87" t="s">
        <v>9703</v>
      </c>
      <c r="H59" s="87">
        <v>4</v>
      </c>
      <c r="I59" s="87" t="s">
        <v>9714</v>
      </c>
      <c r="J59" s="87">
        <v>2</v>
      </c>
      <c r="K59" s="87" t="s">
        <v>9725</v>
      </c>
      <c r="L59" s="87">
        <v>2</v>
      </c>
      <c r="M59" s="87" t="s">
        <v>9729</v>
      </c>
      <c r="N59" s="87">
        <v>2</v>
      </c>
      <c r="O59" s="87" t="s">
        <v>9740</v>
      </c>
      <c r="P59" s="87">
        <v>5</v>
      </c>
      <c r="Q59" s="87" t="s">
        <v>9751</v>
      </c>
      <c r="R59" s="87">
        <v>4</v>
      </c>
      <c r="S59" s="87" t="s">
        <v>9762</v>
      </c>
      <c r="T59" s="87">
        <v>2</v>
      </c>
      <c r="U59" s="87" t="s">
        <v>9770</v>
      </c>
      <c r="V59" s="87">
        <v>4</v>
      </c>
    </row>
    <row r="60" spans="1:22" x14ac:dyDescent="0.25">
      <c r="A60" s="84" t="s">
        <v>9681</v>
      </c>
      <c r="B60" s="87">
        <v>8</v>
      </c>
      <c r="C60" s="87" t="s">
        <v>9688</v>
      </c>
      <c r="D60" s="87">
        <v>3</v>
      </c>
      <c r="E60" s="87" t="s">
        <v>9696</v>
      </c>
      <c r="F60" s="87">
        <v>6</v>
      </c>
      <c r="G60" s="87" t="s">
        <v>9704</v>
      </c>
      <c r="H60" s="87">
        <v>4</v>
      </c>
      <c r="I60" s="87" t="s">
        <v>9715</v>
      </c>
      <c r="J60" s="87">
        <v>2</v>
      </c>
      <c r="K60" s="87" t="s">
        <v>9726</v>
      </c>
      <c r="L60" s="87">
        <v>2</v>
      </c>
      <c r="M60" s="87" t="s">
        <v>9730</v>
      </c>
      <c r="N60" s="87">
        <v>2</v>
      </c>
      <c r="O60" s="87" t="s">
        <v>9741</v>
      </c>
      <c r="P60" s="87">
        <v>5</v>
      </c>
      <c r="Q60" s="87" t="s">
        <v>9752</v>
      </c>
      <c r="R60" s="87">
        <v>4</v>
      </c>
      <c r="S60" s="87" t="s">
        <v>9763</v>
      </c>
      <c r="T60" s="87">
        <v>2</v>
      </c>
      <c r="U60" s="87" t="s">
        <v>9771</v>
      </c>
      <c r="V60" s="87">
        <v>4</v>
      </c>
    </row>
    <row r="61" spans="1:22" x14ac:dyDescent="0.25">
      <c r="A61" s="84" t="s">
        <v>9682</v>
      </c>
      <c r="B61" s="87">
        <v>8</v>
      </c>
      <c r="C61" s="87" t="s">
        <v>9689</v>
      </c>
      <c r="D61" s="87">
        <v>3</v>
      </c>
      <c r="E61" s="87" t="s">
        <v>9697</v>
      </c>
      <c r="F61" s="87">
        <v>6</v>
      </c>
      <c r="G61" s="87" t="s">
        <v>9705</v>
      </c>
      <c r="H61" s="87">
        <v>4</v>
      </c>
      <c r="I61" s="87" t="s">
        <v>9716</v>
      </c>
      <c r="J61" s="87">
        <v>2</v>
      </c>
      <c r="K61" s="87" t="s">
        <v>9727</v>
      </c>
      <c r="L61" s="87">
        <v>2</v>
      </c>
      <c r="M61" s="87" t="s">
        <v>9731</v>
      </c>
      <c r="N61" s="87">
        <v>2</v>
      </c>
      <c r="O61" s="87" t="s">
        <v>9742</v>
      </c>
      <c r="P61" s="87">
        <v>5</v>
      </c>
      <c r="Q61" s="87" t="s">
        <v>9753</v>
      </c>
      <c r="R61" s="87">
        <v>4</v>
      </c>
      <c r="S61" s="87"/>
      <c r="T61" s="87"/>
      <c r="U61" s="87" t="s">
        <v>9772</v>
      </c>
      <c r="V61" s="87">
        <v>4</v>
      </c>
    </row>
    <row r="62" spans="1:22" x14ac:dyDescent="0.25">
      <c r="A62" s="84" t="s">
        <v>9683</v>
      </c>
      <c r="B62" s="87">
        <v>7</v>
      </c>
      <c r="C62" s="87" t="s">
        <v>9690</v>
      </c>
      <c r="D62" s="87">
        <v>3</v>
      </c>
      <c r="E62" s="87" t="s">
        <v>9698</v>
      </c>
      <c r="F62" s="87">
        <v>5</v>
      </c>
      <c r="G62" s="87" t="s">
        <v>9706</v>
      </c>
      <c r="H62" s="87">
        <v>4</v>
      </c>
      <c r="I62" s="87" t="s">
        <v>9717</v>
      </c>
      <c r="J62" s="87">
        <v>2</v>
      </c>
      <c r="K62" s="87"/>
      <c r="L62" s="87"/>
      <c r="M62" s="87" t="s">
        <v>9732</v>
      </c>
      <c r="N62" s="87">
        <v>2</v>
      </c>
      <c r="O62" s="87" t="s">
        <v>9743</v>
      </c>
      <c r="P62" s="87">
        <v>5</v>
      </c>
      <c r="Q62" s="87" t="s">
        <v>9754</v>
      </c>
      <c r="R62" s="87">
        <v>4</v>
      </c>
      <c r="S62" s="87"/>
      <c r="T62" s="87"/>
      <c r="U62" s="87" t="s">
        <v>9773</v>
      </c>
      <c r="V62" s="87">
        <v>4</v>
      </c>
    </row>
    <row r="63" spans="1:22" x14ac:dyDescent="0.25">
      <c r="A63" s="84" t="s">
        <v>9684</v>
      </c>
      <c r="B63" s="87">
        <v>6</v>
      </c>
      <c r="C63" s="87" t="s">
        <v>9683</v>
      </c>
      <c r="D63" s="87">
        <v>3</v>
      </c>
      <c r="E63" s="87" t="s">
        <v>9699</v>
      </c>
      <c r="F63" s="87">
        <v>5</v>
      </c>
      <c r="G63" s="87" t="s">
        <v>9707</v>
      </c>
      <c r="H63" s="87">
        <v>4</v>
      </c>
      <c r="I63" s="87" t="s">
        <v>9718</v>
      </c>
      <c r="J63" s="87">
        <v>2</v>
      </c>
      <c r="K63" s="87"/>
      <c r="L63" s="87"/>
      <c r="M63" s="87" t="s">
        <v>9733</v>
      </c>
      <c r="N63" s="87">
        <v>2</v>
      </c>
      <c r="O63" s="87" t="s">
        <v>9744</v>
      </c>
      <c r="P63" s="87">
        <v>5</v>
      </c>
      <c r="Q63" s="87" t="s">
        <v>9755</v>
      </c>
      <c r="R63" s="87">
        <v>4</v>
      </c>
      <c r="S63" s="87"/>
      <c r="T63" s="87"/>
      <c r="U63" s="87" t="s">
        <v>9774</v>
      </c>
      <c r="V63" s="87">
        <v>4</v>
      </c>
    </row>
    <row r="66" spans="1:22" ht="15" customHeight="1" x14ac:dyDescent="0.25">
      <c r="A66" s="13" t="s">
        <v>9788</v>
      </c>
      <c r="B66" s="13" t="s">
        <v>9565</v>
      </c>
      <c r="C66" s="13" t="s">
        <v>9790</v>
      </c>
      <c r="D66" s="13" t="s">
        <v>9574</v>
      </c>
      <c r="E66" s="80" t="s">
        <v>9791</v>
      </c>
      <c r="F66" s="80" t="s">
        <v>9583</v>
      </c>
      <c r="G66" s="80" t="s">
        <v>9794</v>
      </c>
      <c r="H66" s="80" t="s">
        <v>9589</v>
      </c>
      <c r="I66" s="80" t="s">
        <v>9796</v>
      </c>
      <c r="J66" s="80" t="s">
        <v>9592</v>
      </c>
      <c r="K66" s="80" t="s">
        <v>9798</v>
      </c>
      <c r="L66" s="80" t="s">
        <v>9594</v>
      </c>
      <c r="M66" s="80" t="s">
        <v>9800</v>
      </c>
      <c r="N66" s="80" t="s">
        <v>9597</v>
      </c>
      <c r="O66" s="80" t="s">
        <v>9802</v>
      </c>
      <c r="P66" s="80" t="s">
        <v>9599</v>
      </c>
      <c r="Q66" s="80" t="s">
        <v>9804</v>
      </c>
      <c r="R66" s="80" t="s">
        <v>9602</v>
      </c>
      <c r="S66" s="80" t="s">
        <v>9806</v>
      </c>
      <c r="T66" s="80" t="s">
        <v>9605</v>
      </c>
      <c r="U66" s="80" t="s">
        <v>9808</v>
      </c>
      <c r="V66" s="80" t="s">
        <v>9607</v>
      </c>
    </row>
    <row r="67" spans="1:22" x14ac:dyDescent="0.25">
      <c r="A67" s="80" t="s">
        <v>268</v>
      </c>
      <c r="B67" s="80">
        <v>2</v>
      </c>
      <c r="C67" s="80" t="s">
        <v>268</v>
      </c>
      <c r="D67" s="80">
        <v>2</v>
      </c>
      <c r="E67" s="80"/>
      <c r="F67" s="80"/>
      <c r="G67" s="80"/>
      <c r="H67" s="80"/>
      <c r="I67" s="80"/>
      <c r="J67" s="80"/>
      <c r="K67" s="80"/>
      <c r="L67" s="80"/>
      <c r="M67" s="80"/>
      <c r="N67" s="80"/>
      <c r="O67" s="80"/>
      <c r="P67" s="80"/>
      <c r="Q67" s="80"/>
      <c r="R67" s="80"/>
      <c r="S67" s="80"/>
      <c r="T67" s="80"/>
      <c r="U67" s="80"/>
      <c r="V67" s="80"/>
    </row>
    <row r="68" spans="1:22" x14ac:dyDescent="0.25">
      <c r="A68" s="81" t="s">
        <v>339</v>
      </c>
      <c r="B68" s="80">
        <v>1</v>
      </c>
      <c r="C68" s="80" t="s">
        <v>249</v>
      </c>
      <c r="D68" s="80">
        <v>1</v>
      </c>
      <c r="E68" s="80"/>
      <c r="F68" s="80"/>
      <c r="G68" s="80"/>
      <c r="H68" s="80"/>
      <c r="I68" s="80"/>
      <c r="J68" s="80"/>
      <c r="K68" s="80"/>
      <c r="L68" s="80"/>
      <c r="M68" s="80"/>
      <c r="N68" s="80"/>
      <c r="O68" s="80"/>
      <c r="P68" s="80"/>
      <c r="Q68" s="80"/>
      <c r="R68" s="80"/>
      <c r="S68" s="80"/>
      <c r="T68" s="80"/>
      <c r="U68" s="80"/>
      <c r="V68" s="80"/>
    </row>
    <row r="69" spans="1:22" x14ac:dyDescent="0.25">
      <c r="A69" s="81" t="s">
        <v>249</v>
      </c>
      <c r="B69" s="80">
        <v>1</v>
      </c>
      <c r="C69" s="80"/>
      <c r="D69" s="80"/>
      <c r="E69" s="80"/>
      <c r="F69" s="80"/>
      <c r="G69" s="80"/>
      <c r="H69" s="80"/>
      <c r="I69" s="80"/>
      <c r="J69" s="80"/>
      <c r="K69" s="80"/>
      <c r="L69" s="80"/>
      <c r="M69" s="80"/>
      <c r="N69" s="80"/>
      <c r="O69" s="80"/>
      <c r="P69" s="80"/>
      <c r="Q69" s="80"/>
      <c r="R69" s="80"/>
      <c r="S69" s="80"/>
      <c r="T69" s="80"/>
      <c r="U69" s="80"/>
      <c r="V69" s="80"/>
    </row>
    <row r="70" spans="1:22" x14ac:dyDescent="0.25">
      <c r="A70" s="81" t="s">
        <v>311</v>
      </c>
      <c r="B70" s="80">
        <v>1</v>
      </c>
      <c r="C70" s="80"/>
      <c r="D70" s="80"/>
      <c r="E70" s="80"/>
      <c r="F70" s="80"/>
      <c r="G70" s="80"/>
      <c r="H70" s="80"/>
      <c r="I70" s="80"/>
      <c r="J70" s="80"/>
      <c r="K70" s="80"/>
      <c r="L70" s="80"/>
      <c r="M70" s="80"/>
      <c r="N70" s="80"/>
      <c r="O70" s="80"/>
      <c r="P70" s="80"/>
      <c r="Q70" s="80"/>
      <c r="R70" s="80"/>
      <c r="S70" s="80"/>
      <c r="T70" s="80"/>
      <c r="U70" s="80"/>
      <c r="V70" s="80"/>
    </row>
    <row r="73" spans="1:22" ht="15" customHeight="1" x14ac:dyDescent="0.25">
      <c r="A73" s="13" t="s">
        <v>9789</v>
      </c>
      <c r="B73" s="13" t="s">
        <v>9565</v>
      </c>
      <c r="C73" s="13" t="s">
        <v>9792</v>
      </c>
      <c r="D73" s="13" t="s">
        <v>9574</v>
      </c>
      <c r="E73" s="13" t="s">
        <v>9793</v>
      </c>
      <c r="F73" s="13" t="s">
        <v>9583</v>
      </c>
      <c r="G73" s="13" t="s">
        <v>9795</v>
      </c>
      <c r="H73" s="13" t="s">
        <v>9589</v>
      </c>
      <c r="I73" s="13" t="s">
        <v>9797</v>
      </c>
      <c r="J73" s="13" t="s">
        <v>9592</v>
      </c>
      <c r="K73" s="13" t="s">
        <v>9799</v>
      </c>
      <c r="L73" s="13" t="s">
        <v>9594</v>
      </c>
      <c r="M73" s="13" t="s">
        <v>9801</v>
      </c>
      <c r="N73" s="13" t="s">
        <v>9597</v>
      </c>
      <c r="O73" s="13" t="s">
        <v>9803</v>
      </c>
      <c r="P73" s="13" t="s">
        <v>9599</v>
      </c>
      <c r="Q73" s="13" t="s">
        <v>9805</v>
      </c>
      <c r="R73" s="13" t="s">
        <v>9602</v>
      </c>
      <c r="S73" s="13" t="s">
        <v>9807</v>
      </c>
      <c r="T73" s="13" t="s">
        <v>9605</v>
      </c>
      <c r="U73" s="13" t="s">
        <v>9809</v>
      </c>
      <c r="V73" s="13" t="s">
        <v>9607</v>
      </c>
    </row>
    <row r="74" spans="1:22" x14ac:dyDescent="0.25">
      <c r="A74" s="80" t="s">
        <v>268</v>
      </c>
      <c r="B74" s="80">
        <v>40</v>
      </c>
      <c r="C74" s="80" t="s">
        <v>249</v>
      </c>
      <c r="D74" s="80">
        <v>7</v>
      </c>
      <c r="E74" s="80" t="s">
        <v>268</v>
      </c>
      <c r="F74" s="80">
        <v>17</v>
      </c>
      <c r="G74" s="80" t="s">
        <v>249</v>
      </c>
      <c r="H74" s="80">
        <v>14</v>
      </c>
      <c r="I74" s="80" t="s">
        <v>280</v>
      </c>
      <c r="J74" s="80">
        <v>5</v>
      </c>
      <c r="K74" s="80" t="s">
        <v>298</v>
      </c>
      <c r="L74" s="80">
        <v>2</v>
      </c>
      <c r="M74" s="80" t="s">
        <v>268</v>
      </c>
      <c r="N74" s="80">
        <v>8</v>
      </c>
      <c r="O74" s="80" t="s">
        <v>306</v>
      </c>
      <c r="P74" s="80">
        <v>4</v>
      </c>
      <c r="Q74" s="80" t="s">
        <v>304</v>
      </c>
      <c r="R74" s="80">
        <v>4</v>
      </c>
      <c r="S74" s="80" t="s">
        <v>284</v>
      </c>
      <c r="T74" s="80">
        <v>1</v>
      </c>
      <c r="U74" s="80" t="s">
        <v>289</v>
      </c>
      <c r="V74" s="80">
        <v>3</v>
      </c>
    </row>
    <row r="75" spans="1:22" x14ac:dyDescent="0.25">
      <c r="A75" s="81" t="s">
        <v>249</v>
      </c>
      <c r="B75" s="80">
        <v>25</v>
      </c>
      <c r="C75" s="80" t="s">
        <v>268</v>
      </c>
      <c r="D75" s="80">
        <v>6</v>
      </c>
      <c r="E75" s="80" t="s">
        <v>252</v>
      </c>
      <c r="F75" s="80">
        <v>9</v>
      </c>
      <c r="G75" s="80" t="s">
        <v>275</v>
      </c>
      <c r="H75" s="80">
        <v>12</v>
      </c>
      <c r="I75" s="80" t="s">
        <v>334</v>
      </c>
      <c r="J75" s="80">
        <v>2</v>
      </c>
      <c r="K75" s="80" t="s">
        <v>357</v>
      </c>
      <c r="L75" s="80">
        <v>2</v>
      </c>
      <c r="M75" s="80" t="s">
        <v>249</v>
      </c>
      <c r="N75" s="80">
        <v>4</v>
      </c>
      <c r="O75" s="80" t="s">
        <v>361</v>
      </c>
      <c r="P75" s="80">
        <v>1</v>
      </c>
      <c r="Q75" s="80" t="s">
        <v>302</v>
      </c>
      <c r="R75" s="80">
        <v>3</v>
      </c>
      <c r="S75" s="80" t="s">
        <v>296</v>
      </c>
      <c r="T75" s="80">
        <v>1</v>
      </c>
      <c r="U75" s="80" t="s">
        <v>261</v>
      </c>
      <c r="V75" s="80">
        <v>1</v>
      </c>
    </row>
    <row r="76" spans="1:22" x14ac:dyDescent="0.25">
      <c r="A76" s="81" t="s">
        <v>275</v>
      </c>
      <c r="B76" s="80">
        <v>18</v>
      </c>
      <c r="C76" s="80" t="s">
        <v>275</v>
      </c>
      <c r="D76" s="80">
        <v>5</v>
      </c>
      <c r="E76" s="80" t="s">
        <v>312</v>
      </c>
      <c r="F76" s="80">
        <v>6</v>
      </c>
      <c r="G76" s="80" t="s">
        <v>268</v>
      </c>
      <c r="H76" s="80">
        <v>5</v>
      </c>
      <c r="I76" s="80" t="s">
        <v>333</v>
      </c>
      <c r="J76" s="80">
        <v>2</v>
      </c>
      <c r="K76" s="80" t="s">
        <v>301</v>
      </c>
      <c r="L76" s="80">
        <v>2</v>
      </c>
      <c r="M76" s="80" t="s">
        <v>322</v>
      </c>
      <c r="N76" s="80">
        <v>2</v>
      </c>
      <c r="O76" s="80" t="s">
        <v>360</v>
      </c>
      <c r="P76" s="80">
        <v>1</v>
      </c>
      <c r="Q76" s="80" t="s">
        <v>268</v>
      </c>
      <c r="R76" s="80">
        <v>1</v>
      </c>
      <c r="S76" s="80" t="s">
        <v>338</v>
      </c>
      <c r="T76" s="80">
        <v>1</v>
      </c>
      <c r="U76" s="80"/>
      <c r="V76" s="80"/>
    </row>
    <row r="77" spans="1:22" x14ac:dyDescent="0.25">
      <c r="A77" s="81" t="s">
        <v>252</v>
      </c>
      <c r="B77" s="80">
        <v>10</v>
      </c>
      <c r="C77" s="80" t="s">
        <v>243</v>
      </c>
      <c r="D77" s="80">
        <v>4</v>
      </c>
      <c r="E77" s="80" t="s">
        <v>261</v>
      </c>
      <c r="F77" s="80">
        <v>5</v>
      </c>
      <c r="G77" s="80" t="s">
        <v>317</v>
      </c>
      <c r="H77" s="80">
        <v>2</v>
      </c>
      <c r="I77" s="80" t="s">
        <v>332</v>
      </c>
      <c r="J77" s="80">
        <v>2</v>
      </c>
      <c r="K77" s="80" t="s">
        <v>356</v>
      </c>
      <c r="L77" s="80">
        <v>2</v>
      </c>
      <c r="M77" s="80" t="s">
        <v>336</v>
      </c>
      <c r="N77" s="80">
        <v>2</v>
      </c>
      <c r="O77" s="80" t="s">
        <v>359</v>
      </c>
      <c r="P77" s="80">
        <v>1</v>
      </c>
      <c r="Q77" s="80"/>
      <c r="R77" s="80"/>
      <c r="S77" s="80" t="s">
        <v>258</v>
      </c>
      <c r="T77" s="80">
        <v>1</v>
      </c>
      <c r="U77" s="80"/>
      <c r="V77" s="80"/>
    </row>
    <row r="78" spans="1:22" x14ac:dyDescent="0.25">
      <c r="A78" s="81" t="s">
        <v>261</v>
      </c>
      <c r="B78" s="80">
        <v>7</v>
      </c>
      <c r="C78" s="80" t="s">
        <v>350</v>
      </c>
      <c r="D78" s="80">
        <v>3</v>
      </c>
      <c r="E78" s="80" t="s">
        <v>320</v>
      </c>
      <c r="F78" s="80">
        <v>3</v>
      </c>
      <c r="G78" s="80" t="s">
        <v>277</v>
      </c>
      <c r="H78" s="80">
        <v>2</v>
      </c>
      <c r="I78" s="80" t="s">
        <v>331</v>
      </c>
      <c r="J78" s="80">
        <v>2</v>
      </c>
      <c r="K78" s="80" t="s">
        <v>355</v>
      </c>
      <c r="L78" s="80">
        <v>2</v>
      </c>
      <c r="M78" s="80" t="s">
        <v>335</v>
      </c>
      <c r="N78" s="80">
        <v>1</v>
      </c>
      <c r="O78" s="80"/>
      <c r="P78" s="80"/>
      <c r="Q78" s="80"/>
      <c r="R78" s="80"/>
      <c r="S78" s="80" t="s">
        <v>268</v>
      </c>
      <c r="T78" s="80">
        <v>1</v>
      </c>
      <c r="U78" s="80"/>
      <c r="V78" s="80"/>
    </row>
    <row r="79" spans="1:22" x14ac:dyDescent="0.25">
      <c r="A79" s="81" t="s">
        <v>312</v>
      </c>
      <c r="B79" s="80">
        <v>6</v>
      </c>
      <c r="C79" s="80" t="s">
        <v>281</v>
      </c>
      <c r="D79" s="80">
        <v>2</v>
      </c>
      <c r="E79" s="80" t="s">
        <v>258</v>
      </c>
      <c r="F79" s="80">
        <v>3</v>
      </c>
      <c r="G79" s="80" t="s">
        <v>346</v>
      </c>
      <c r="H79" s="80">
        <v>1</v>
      </c>
      <c r="I79" s="80" t="s">
        <v>330</v>
      </c>
      <c r="J79" s="80">
        <v>2</v>
      </c>
      <c r="K79" s="80" t="s">
        <v>354</v>
      </c>
      <c r="L79" s="80">
        <v>2</v>
      </c>
      <c r="M79" s="80" t="s">
        <v>294</v>
      </c>
      <c r="N79" s="80">
        <v>1</v>
      </c>
      <c r="O79" s="80"/>
      <c r="P79" s="80"/>
      <c r="Q79" s="80"/>
      <c r="R79" s="80"/>
      <c r="S79" s="80" t="s">
        <v>337</v>
      </c>
      <c r="T79" s="80">
        <v>1</v>
      </c>
      <c r="U79" s="80"/>
      <c r="V79" s="80"/>
    </row>
    <row r="80" spans="1:22" x14ac:dyDescent="0.25">
      <c r="A80" s="81" t="s">
        <v>280</v>
      </c>
      <c r="B80" s="80">
        <v>6</v>
      </c>
      <c r="C80" s="80" t="s">
        <v>336</v>
      </c>
      <c r="D80" s="80">
        <v>2</v>
      </c>
      <c r="E80" s="80" t="s">
        <v>267</v>
      </c>
      <c r="F80" s="80">
        <v>2</v>
      </c>
      <c r="G80" s="80" t="s">
        <v>345</v>
      </c>
      <c r="H80" s="80">
        <v>1</v>
      </c>
      <c r="I80" s="80" t="s">
        <v>329</v>
      </c>
      <c r="J80" s="80">
        <v>2</v>
      </c>
      <c r="K80" s="80" t="s">
        <v>268</v>
      </c>
      <c r="L80" s="80">
        <v>2</v>
      </c>
      <c r="M80" s="80" t="s">
        <v>282</v>
      </c>
      <c r="N80" s="80">
        <v>1</v>
      </c>
      <c r="O80" s="80"/>
      <c r="P80" s="80"/>
      <c r="Q80" s="80"/>
      <c r="R80" s="80"/>
      <c r="S80" s="80"/>
      <c r="T80" s="80"/>
      <c r="U80" s="80"/>
      <c r="V80" s="80"/>
    </row>
    <row r="81" spans="1:22" x14ac:dyDescent="0.25">
      <c r="A81" s="81" t="s">
        <v>289</v>
      </c>
      <c r="B81" s="80">
        <v>5</v>
      </c>
      <c r="C81" s="80" t="s">
        <v>295</v>
      </c>
      <c r="D81" s="80">
        <v>2</v>
      </c>
      <c r="E81" s="80" t="s">
        <v>257</v>
      </c>
      <c r="F81" s="80">
        <v>2</v>
      </c>
      <c r="G81" s="80" t="s">
        <v>276</v>
      </c>
      <c r="H81" s="80">
        <v>1</v>
      </c>
      <c r="I81" s="80" t="s">
        <v>328</v>
      </c>
      <c r="J81" s="80">
        <v>2</v>
      </c>
      <c r="K81" s="80" t="s">
        <v>358</v>
      </c>
      <c r="L81" s="80">
        <v>1</v>
      </c>
      <c r="M81" s="80" t="s">
        <v>364</v>
      </c>
      <c r="N81" s="80">
        <v>1</v>
      </c>
      <c r="O81" s="80"/>
      <c r="P81" s="80"/>
      <c r="Q81" s="80"/>
      <c r="R81" s="80"/>
      <c r="S81" s="80"/>
      <c r="T81" s="80"/>
      <c r="U81" s="80"/>
      <c r="V81" s="80"/>
    </row>
    <row r="82" spans="1:22" x14ac:dyDescent="0.25">
      <c r="A82" s="81" t="s">
        <v>304</v>
      </c>
      <c r="B82" s="80">
        <v>4</v>
      </c>
      <c r="C82" s="80" t="s">
        <v>309</v>
      </c>
      <c r="D82" s="80">
        <v>2</v>
      </c>
      <c r="E82" s="80" t="s">
        <v>1812</v>
      </c>
      <c r="F82" s="80">
        <v>2</v>
      </c>
      <c r="G82" s="80" t="s">
        <v>294</v>
      </c>
      <c r="H82" s="80">
        <v>1</v>
      </c>
      <c r="I82" s="80" t="s">
        <v>344</v>
      </c>
      <c r="J82" s="80">
        <v>1</v>
      </c>
      <c r="K82" s="80" t="s">
        <v>2263</v>
      </c>
      <c r="L82" s="80">
        <v>1</v>
      </c>
      <c r="M82" s="80" t="s">
        <v>275</v>
      </c>
      <c r="N82" s="80">
        <v>1</v>
      </c>
      <c r="O82" s="80"/>
      <c r="P82" s="80"/>
      <c r="Q82" s="80"/>
      <c r="R82" s="80"/>
      <c r="S82" s="80"/>
      <c r="T82" s="80"/>
      <c r="U82" s="80"/>
      <c r="V82" s="80"/>
    </row>
    <row r="83" spans="1:22" x14ac:dyDescent="0.25">
      <c r="A83" s="81" t="s">
        <v>306</v>
      </c>
      <c r="B83" s="80">
        <v>4</v>
      </c>
      <c r="C83" s="80" t="s">
        <v>308</v>
      </c>
      <c r="D83" s="80">
        <v>1</v>
      </c>
      <c r="E83" s="80" t="s">
        <v>319</v>
      </c>
      <c r="F83" s="80">
        <v>1</v>
      </c>
      <c r="G83" s="80" t="s">
        <v>261</v>
      </c>
      <c r="H83" s="80">
        <v>1</v>
      </c>
      <c r="I83" s="80" t="s">
        <v>343</v>
      </c>
      <c r="J83" s="80">
        <v>1</v>
      </c>
      <c r="K83" s="80" t="s">
        <v>303</v>
      </c>
      <c r="L83" s="80">
        <v>1</v>
      </c>
      <c r="M83" s="80" t="s">
        <v>316</v>
      </c>
      <c r="N83" s="80">
        <v>1</v>
      </c>
      <c r="O83" s="80"/>
      <c r="P83" s="80"/>
      <c r="Q83" s="80"/>
      <c r="R83" s="80"/>
      <c r="S83" s="80"/>
      <c r="T83" s="80"/>
      <c r="U83" s="80"/>
      <c r="V83" s="80"/>
    </row>
    <row r="86" spans="1:22" ht="15" customHeight="1" x14ac:dyDescent="0.25">
      <c r="A86" s="13" t="s">
        <v>9823</v>
      </c>
      <c r="B86" s="13" t="s">
        <v>9565</v>
      </c>
      <c r="C86" s="13" t="s">
        <v>9824</v>
      </c>
      <c r="D86" s="13" t="s">
        <v>9574</v>
      </c>
      <c r="E86" s="13" t="s">
        <v>9825</v>
      </c>
      <c r="F86" s="13" t="s">
        <v>9583</v>
      </c>
      <c r="G86" s="13" t="s">
        <v>9826</v>
      </c>
      <c r="H86" s="13" t="s">
        <v>9589</v>
      </c>
      <c r="I86" s="13" t="s">
        <v>9827</v>
      </c>
      <c r="J86" s="13" t="s">
        <v>9592</v>
      </c>
      <c r="K86" s="13" t="s">
        <v>9828</v>
      </c>
      <c r="L86" s="13" t="s">
        <v>9594</v>
      </c>
      <c r="M86" s="13" t="s">
        <v>9829</v>
      </c>
      <c r="N86" s="13" t="s">
        <v>9597</v>
      </c>
      <c r="O86" s="13" t="s">
        <v>9830</v>
      </c>
      <c r="P86" s="13" t="s">
        <v>9599</v>
      </c>
      <c r="Q86" s="13" t="s">
        <v>9831</v>
      </c>
      <c r="R86" s="13" t="s">
        <v>9602</v>
      </c>
      <c r="S86" s="13" t="s">
        <v>9832</v>
      </c>
      <c r="T86" s="13" t="s">
        <v>9605</v>
      </c>
      <c r="U86" s="13" t="s">
        <v>9833</v>
      </c>
      <c r="V86" s="13" t="s">
        <v>9607</v>
      </c>
    </row>
    <row r="87" spans="1:22" x14ac:dyDescent="0.25">
      <c r="A87" s="106" t="s">
        <v>358</v>
      </c>
      <c r="B87" s="80">
        <v>296890</v>
      </c>
      <c r="C87" s="106" t="s">
        <v>325</v>
      </c>
      <c r="D87" s="80">
        <v>93444</v>
      </c>
      <c r="E87" s="106" t="s">
        <v>319</v>
      </c>
      <c r="F87" s="80">
        <v>181751</v>
      </c>
      <c r="G87" s="106" t="s">
        <v>272</v>
      </c>
      <c r="H87" s="80">
        <v>28053</v>
      </c>
      <c r="I87" s="106" t="s">
        <v>340</v>
      </c>
      <c r="J87" s="80">
        <v>14591</v>
      </c>
      <c r="K87" s="106" t="s">
        <v>358</v>
      </c>
      <c r="L87" s="80">
        <v>296890</v>
      </c>
      <c r="M87" s="106" t="s">
        <v>322</v>
      </c>
      <c r="N87" s="80">
        <v>16456</v>
      </c>
      <c r="O87" s="106" t="s">
        <v>306</v>
      </c>
      <c r="P87" s="80">
        <v>29493</v>
      </c>
      <c r="Q87" s="106" t="s">
        <v>302</v>
      </c>
      <c r="R87" s="80">
        <v>14367</v>
      </c>
      <c r="S87" s="106" t="s">
        <v>337</v>
      </c>
      <c r="T87" s="80">
        <v>18625</v>
      </c>
      <c r="U87" s="106" t="s">
        <v>253</v>
      </c>
      <c r="V87" s="80">
        <v>31213</v>
      </c>
    </row>
    <row r="88" spans="1:22" x14ac:dyDescent="0.25">
      <c r="A88" s="109" t="s">
        <v>356</v>
      </c>
      <c r="B88" s="80">
        <v>263754</v>
      </c>
      <c r="C88" s="106" t="s">
        <v>255</v>
      </c>
      <c r="D88" s="80">
        <v>78161</v>
      </c>
      <c r="E88" s="106" t="s">
        <v>318</v>
      </c>
      <c r="F88" s="80">
        <v>153977</v>
      </c>
      <c r="G88" s="106" t="s">
        <v>271</v>
      </c>
      <c r="H88" s="80">
        <v>10292</v>
      </c>
      <c r="I88" s="106" t="s">
        <v>287</v>
      </c>
      <c r="J88" s="80">
        <v>14458</v>
      </c>
      <c r="K88" s="106" t="s">
        <v>356</v>
      </c>
      <c r="L88" s="80">
        <v>263754</v>
      </c>
      <c r="M88" s="106" t="s">
        <v>316</v>
      </c>
      <c r="N88" s="80">
        <v>13237</v>
      </c>
      <c r="O88" s="106" t="s">
        <v>297</v>
      </c>
      <c r="P88" s="80">
        <v>12699</v>
      </c>
      <c r="Q88" s="106" t="s">
        <v>304</v>
      </c>
      <c r="R88" s="80">
        <v>2733</v>
      </c>
      <c r="S88" s="106" t="s">
        <v>296</v>
      </c>
      <c r="T88" s="80">
        <v>13620</v>
      </c>
      <c r="U88" s="106" t="s">
        <v>270</v>
      </c>
      <c r="V88" s="80">
        <v>16398</v>
      </c>
    </row>
    <row r="89" spans="1:22" x14ac:dyDescent="0.25">
      <c r="A89" s="109" t="s">
        <v>301</v>
      </c>
      <c r="B89" s="80">
        <v>213518</v>
      </c>
      <c r="C89" s="106" t="s">
        <v>244</v>
      </c>
      <c r="D89" s="80">
        <v>50000</v>
      </c>
      <c r="E89" s="106" t="s">
        <v>252</v>
      </c>
      <c r="F89" s="80">
        <v>80089</v>
      </c>
      <c r="G89" s="106" t="s">
        <v>275</v>
      </c>
      <c r="H89" s="80">
        <v>7883</v>
      </c>
      <c r="I89" s="106" t="s">
        <v>333</v>
      </c>
      <c r="J89" s="80">
        <v>12720</v>
      </c>
      <c r="K89" s="106" t="s">
        <v>301</v>
      </c>
      <c r="L89" s="80">
        <v>213518</v>
      </c>
      <c r="M89" s="106" t="s">
        <v>281</v>
      </c>
      <c r="N89" s="80">
        <v>5853</v>
      </c>
      <c r="O89" s="106" t="s">
        <v>264</v>
      </c>
      <c r="P89" s="80">
        <v>5121</v>
      </c>
      <c r="Q89" s="106" t="s">
        <v>246</v>
      </c>
      <c r="R89" s="80">
        <v>2321</v>
      </c>
      <c r="S89" s="106" t="s">
        <v>284</v>
      </c>
      <c r="T89" s="80">
        <v>877</v>
      </c>
      <c r="U89" s="106" t="s">
        <v>289</v>
      </c>
      <c r="V89" s="80">
        <v>334</v>
      </c>
    </row>
    <row r="90" spans="1:22" x14ac:dyDescent="0.25">
      <c r="A90" s="109" t="s">
        <v>319</v>
      </c>
      <c r="B90" s="80">
        <v>181751</v>
      </c>
      <c r="C90" s="106" t="s">
        <v>268</v>
      </c>
      <c r="D90" s="80">
        <v>38327</v>
      </c>
      <c r="E90" s="106" t="s">
        <v>265</v>
      </c>
      <c r="F90" s="80">
        <v>34825</v>
      </c>
      <c r="G90" s="106" t="s">
        <v>317</v>
      </c>
      <c r="H90" s="80">
        <v>6440</v>
      </c>
      <c r="I90" s="106" t="s">
        <v>329</v>
      </c>
      <c r="J90" s="80">
        <v>10716</v>
      </c>
      <c r="K90" s="106" t="s">
        <v>300</v>
      </c>
      <c r="L90" s="80">
        <v>180684</v>
      </c>
      <c r="M90" s="106" t="s">
        <v>336</v>
      </c>
      <c r="N90" s="80">
        <v>4037</v>
      </c>
      <c r="O90" s="106" t="s">
        <v>250</v>
      </c>
      <c r="P90" s="80">
        <v>1291</v>
      </c>
      <c r="Q90" s="106" t="s">
        <v>305</v>
      </c>
      <c r="R90" s="80">
        <v>1803</v>
      </c>
      <c r="S90" s="106" t="s">
        <v>338</v>
      </c>
      <c r="T90" s="80">
        <v>282</v>
      </c>
      <c r="U90" s="106" t="s">
        <v>290</v>
      </c>
      <c r="V90" s="80">
        <v>265</v>
      </c>
    </row>
    <row r="91" spans="1:22" x14ac:dyDescent="0.25">
      <c r="A91" s="109" t="s">
        <v>300</v>
      </c>
      <c r="B91" s="80">
        <v>180684</v>
      </c>
      <c r="C91" s="106" t="s">
        <v>243</v>
      </c>
      <c r="D91" s="80">
        <v>16677</v>
      </c>
      <c r="E91" s="106" t="s">
        <v>320</v>
      </c>
      <c r="F91" s="80">
        <v>29678</v>
      </c>
      <c r="G91" s="106" t="s">
        <v>307</v>
      </c>
      <c r="H91" s="80">
        <v>4337</v>
      </c>
      <c r="I91" s="106" t="s">
        <v>279</v>
      </c>
      <c r="J91" s="80">
        <v>5896</v>
      </c>
      <c r="K91" s="106" t="s">
        <v>298</v>
      </c>
      <c r="L91" s="80">
        <v>167412</v>
      </c>
      <c r="M91" s="106" t="s">
        <v>364</v>
      </c>
      <c r="N91" s="80">
        <v>2538</v>
      </c>
      <c r="O91" s="106" t="s">
        <v>359</v>
      </c>
      <c r="P91" s="80">
        <v>1284</v>
      </c>
      <c r="Q91" s="106"/>
      <c r="R91" s="80"/>
      <c r="S91" s="106"/>
      <c r="T91" s="80"/>
      <c r="U91" s="106"/>
      <c r="V91" s="80"/>
    </row>
    <row r="92" spans="1:22" x14ac:dyDescent="0.25">
      <c r="A92" s="109" t="s">
        <v>298</v>
      </c>
      <c r="B92" s="80">
        <v>167412</v>
      </c>
      <c r="C92" s="106" t="s">
        <v>324</v>
      </c>
      <c r="D92" s="80">
        <v>9111</v>
      </c>
      <c r="E92" s="106" t="s">
        <v>247</v>
      </c>
      <c r="F92" s="80">
        <v>24647</v>
      </c>
      <c r="G92" s="106" t="s">
        <v>241</v>
      </c>
      <c r="H92" s="80">
        <v>3479</v>
      </c>
      <c r="I92" s="106" t="s">
        <v>342</v>
      </c>
      <c r="J92" s="80">
        <v>3335</v>
      </c>
      <c r="K92" s="106" t="s">
        <v>352</v>
      </c>
      <c r="L92" s="80">
        <v>78866</v>
      </c>
      <c r="M92" s="106" t="s">
        <v>282</v>
      </c>
      <c r="N92" s="80">
        <v>2493</v>
      </c>
      <c r="O92" s="106" t="s">
        <v>360</v>
      </c>
      <c r="P92" s="80">
        <v>452</v>
      </c>
      <c r="Q92" s="106"/>
      <c r="R92" s="80"/>
      <c r="S92" s="106"/>
      <c r="T92" s="80"/>
      <c r="U92" s="106"/>
      <c r="V92" s="80"/>
    </row>
    <row r="93" spans="1:22" x14ac:dyDescent="0.25">
      <c r="A93" s="109" t="s">
        <v>318</v>
      </c>
      <c r="B93" s="80">
        <v>153977</v>
      </c>
      <c r="C93" s="106" t="s">
        <v>274</v>
      </c>
      <c r="D93" s="80">
        <v>9058</v>
      </c>
      <c r="E93" s="106" t="s">
        <v>312</v>
      </c>
      <c r="F93" s="80">
        <v>19622</v>
      </c>
      <c r="G93" s="106" t="s">
        <v>277</v>
      </c>
      <c r="H93" s="80">
        <v>1644</v>
      </c>
      <c r="I93" s="106" t="s">
        <v>332</v>
      </c>
      <c r="J93" s="80">
        <v>2033</v>
      </c>
      <c r="K93" s="106" t="s">
        <v>354</v>
      </c>
      <c r="L93" s="80">
        <v>26010</v>
      </c>
      <c r="M93" s="106" t="s">
        <v>313</v>
      </c>
      <c r="N93" s="80">
        <v>1419</v>
      </c>
      <c r="O93" s="106" t="s">
        <v>286</v>
      </c>
      <c r="P93" s="80">
        <v>192</v>
      </c>
      <c r="Q93" s="106"/>
      <c r="R93" s="80"/>
      <c r="S93" s="106"/>
      <c r="T93" s="80"/>
      <c r="U93" s="106"/>
      <c r="V93" s="80"/>
    </row>
    <row r="94" spans="1:22" x14ac:dyDescent="0.25">
      <c r="A94" s="109" t="s">
        <v>325</v>
      </c>
      <c r="B94" s="80">
        <v>93444</v>
      </c>
      <c r="C94" s="106" t="s">
        <v>295</v>
      </c>
      <c r="D94" s="80">
        <v>6718</v>
      </c>
      <c r="E94" s="106" t="s">
        <v>291</v>
      </c>
      <c r="F94" s="80">
        <v>11050</v>
      </c>
      <c r="G94" s="106" t="s">
        <v>345</v>
      </c>
      <c r="H94" s="80">
        <v>884</v>
      </c>
      <c r="I94" s="106" t="s">
        <v>328</v>
      </c>
      <c r="J94" s="80">
        <v>1605</v>
      </c>
      <c r="K94" s="106" t="s">
        <v>357</v>
      </c>
      <c r="L94" s="80">
        <v>11981</v>
      </c>
      <c r="M94" s="106" t="s">
        <v>294</v>
      </c>
      <c r="N94" s="80">
        <v>1252</v>
      </c>
      <c r="O94" s="106" t="s">
        <v>361</v>
      </c>
      <c r="P94" s="80">
        <v>39</v>
      </c>
      <c r="Q94" s="106"/>
      <c r="R94" s="80"/>
      <c r="S94" s="106"/>
      <c r="T94" s="80"/>
      <c r="U94" s="106"/>
      <c r="V94" s="80"/>
    </row>
    <row r="95" spans="1:22" x14ac:dyDescent="0.25">
      <c r="A95" s="109" t="s">
        <v>245</v>
      </c>
      <c r="B95" s="80">
        <v>81944</v>
      </c>
      <c r="C95" s="106" t="s">
        <v>350</v>
      </c>
      <c r="D95" s="80">
        <v>3426</v>
      </c>
      <c r="E95" s="106" t="s">
        <v>261</v>
      </c>
      <c r="F95" s="80">
        <v>8225</v>
      </c>
      <c r="G95" s="106" t="s">
        <v>276</v>
      </c>
      <c r="H95" s="80">
        <v>882</v>
      </c>
      <c r="I95" s="106" t="s">
        <v>334</v>
      </c>
      <c r="J95" s="80">
        <v>1267</v>
      </c>
      <c r="K95" s="106" t="s">
        <v>351</v>
      </c>
      <c r="L95" s="80">
        <v>8055</v>
      </c>
      <c r="M95" s="106" t="s">
        <v>314</v>
      </c>
      <c r="N95" s="80">
        <v>906</v>
      </c>
      <c r="O95" s="106"/>
      <c r="P95" s="80"/>
      <c r="Q95" s="106"/>
      <c r="R95" s="80"/>
      <c r="S95" s="106"/>
      <c r="T95" s="80"/>
      <c r="U95" s="106"/>
      <c r="V95" s="80"/>
    </row>
    <row r="96" spans="1:22" x14ac:dyDescent="0.25">
      <c r="A96" s="109" t="s">
        <v>252</v>
      </c>
      <c r="B96" s="80">
        <v>80089</v>
      </c>
      <c r="C96" s="106" t="s">
        <v>273</v>
      </c>
      <c r="D96" s="80">
        <v>2682</v>
      </c>
      <c r="E96" s="106" t="s">
        <v>259</v>
      </c>
      <c r="F96" s="80">
        <v>6625</v>
      </c>
      <c r="G96" s="106" t="s">
        <v>242</v>
      </c>
      <c r="H96" s="80">
        <v>756</v>
      </c>
      <c r="I96" s="106" t="s">
        <v>280</v>
      </c>
      <c r="J96" s="80">
        <v>1087</v>
      </c>
      <c r="K96" s="106" t="s">
        <v>303</v>
      </c>
      <c r="L96" s="80">
        <v>5488</v>
      </c>
      <c r="M96" s="106" t="s">
        <v>315</v>
      </c>
      <c r="N96" s="80">
        <v>558</v>
      </c>
      <c r="O96" s="106"/>
      <c r="P96" s="80"/>
      <c r="Q96" s="106"/>
      <c r="R96" s="80"/>
      <c r="S96" s="106"/>
      <c r="T96" s="80"/>
      <c r="U96" s="106"/>
      <c r="V96" s="80"/>
    </row>
  </sheetData>
  <hyperlinks>
    <hyperlink ref="A2" r:id="rId1" xr:uid="{A356359A-A6F9-446D-A83A-8E3E20B5AB19}"/>
    <hyperlink ref="A3" r:id="rId2" xr:uid="{3BD6B423-E4C6-41D6-9495-23815684B4A8}"/>
    <hyperlink ref="A4" r:id="rId3" xr:uid="{0613F18B-1CC9-4D20-9D54-3579AFDB2112}"/>
    <hyperlink ref="A5" r:id="rId4" xr:uid="{4465C2F4-E50E-4AE8-98CE-F94D5B433B45}"/>
    <hyperlink ref="A6" r:id="rId5" xr:uid="{12C17C20-3696-4C71-B5B6-9D3D2547278C}"/>
    <hyperlink ref="A7" r:id="rId6" xr:uid="{47FD4795-7988-417C-B105-8E716ADFFC3F}"/>
    <hyperlink ref="A8" r:id="rId7" xr:uid="{3C2AD41B-5A6A-4A6D-A5A1-B5F66E754B3E}"/>
    <hyperlink ref="A9" r:id="rId8" xr:uid="{AAE23A7B-1232-4E2E-9D4B-DB015EB92889}"/>
    <hyperlink ref="A10" r:id="rId9" xr:uid="{9920FC14-8CBC-4268-855A-51B790C1CBB1}"/>
    <hyperlink ref="A11" r:id="rId10" xr:uid="{1E32FC13-69FC-4DB7-9AC1-1271383AECE7}"/>
    <hyperlink ref="C2" r:id="rId11" xr:uid="{D4FA9A2B-1ED5-4D04-AC94-17825AFAEB7B}"/>
    <hyperlink ref="C3" r:id="rId12" xr:uid="{4F33F836-7A82-4358-99CD-0E8EC34CE7E4}"/>
    <hyperlink ref="C4" r:id="rId13" xr:uid="{CE976C03-7492-4335-80D7-542BA8CB3689}"/>
    <hyperlink ref="C5" r:id="rId14" xr:uid="{0BCD9E5E-72F0-40EA-8025-780426F3C9E3}"/>
    <hyperlink ref="C6" r:id="rId15" xr:uid="{C6231BF3-6413-463B-B070-11CBA8F488BB}"/>
    <hyperlink ref="C7" r:id="rId16" xr:uid="{856D0C5A-DA76-400F-8B2A-445D654AE818}"/>
    <hyperlink ref="C8" r:id="rId17" xr:uid="{FC45B74F-425E-4A9E-A450-50B704446D1B}"/>
    <hyperlink ref="C9" r:id="rId18" xr:uid="{F8BF9110-7276-4514-80F7-9BA543FCA2A7}"/>
    <hyperlink ref="C10" r:id="rId19" xr:uid="{396F7739-4FF0-4308-ACD5-303AD192C9A7}"/>
    <hyperlink ref="C11" r:id="rId20" xr:uid="{0E042A97-34F3-4EC6-9C25-B38D76910556}"/>
    <hyperlink ref="E2" r:id="rId21" xr:uid="{E13E246A-50BB-4686-9DE9-D184426F451B}"/>
    <hyperlink ref="E3" r:id="rId22" xr:uid="{05EC562D-AB14-44CB-8343-BF36E7FD9D83}"/>
    <hyperlink ref="E4" r:id="rId23" xr:uid="{69BF1C59-2321-4002-9B96-D49645FFD648}"/>
    <hyperlink ref="E5" r:id="rId24" xr:uid="{79CB2C87-83C1-4054-9233-B28121389E57}"/>
    <hyperlink ref="E6" r:id="rId25" xr:uid="{7F83CF1B-BB5B-4BF0-B305-E9367EA91274}"/>
    <hyperlink ref="E7" r:id="rId26" xr:uid="{68A75D61-7D98-4ACD-8544-38A99B4A64BB}"/>
    <hyperlink ref="E8" r:id="rId27" xr:uid="{9841F0F4-0C66-4617-B78E-DA8E6BEC72D7}"/>
    <hyperlink ref="E9" r:id="rId28" xr:uid="{9B9D880A-C9B6-4472-A1D0-0561D6EDC20C}"/>
    <hyperlink ref="E10" r:id="rId29" xr:uid="{56A6A6D2-1C9D-4212-B0D3-D51A73A99084}"/>
    <hyperlink ref="E11" r:id="rId30" xr:uid="{1EA7FE21-8C9F-41B0-B0F7-2FB4FD5B71C9}"/>
    <hyperlink ref="G2" r:id="rId31" xr:uid="{3B0606B2-67E8-4220-8EF8-49E6E1E47944}"/>
    <hyperlink ref="G3" r:id="rId32" xr:uid="{924BF5DE-13CD-4615-9A0C-153C7EF03599}"/>
    <hyperlink ref="G4" r:id="rId33" xr:uid="{9B7191B7-28B1-4580-9677-3BB029E949DD}"/>
    <hyperlink ref="G5" r:id="rId34" xr:uid="{FD16BE16-83A2-4BB8-8999-A889F99E45DE}"/>
    <hyperlink ref="G6" r:id="rId35" xr:uid="{644D4B01-A863-44E2-A33F-7B5D6F1F770C}"/>
    <hyperlink ref="G7" r:id="rId36" xr:uid="{414CC335-419A-4B9A-8C37-DD03E8B4B300}"/>
    <hyperlink ref="I2" r:id="rId37" xr:uid="{16883AA6-92C3-4946-A9BB-F54FF66B0283}"/>
    <hyperlink ref="I3" r:id="rId38" xr:uid="{B1DC6B8E-21C6-4E62-B474-676DA7A0D6B9}"/>
    <hyperlink ref="M2" r:id="rId39" xr:uid="{3386BCB3-79D9-4DE4-ABC3-72E53EC7BCCE}"/>
    <hyperlink ref="M3" r:id="rId40" xr:uid="{2D728ED8-6F70-4AB9-BD0C-6434C09E0F17}"/>
    <hyperlink ref="O2" r:id="rId41" xr:uid="{D0D1EABA-3215-4121-8D16-B1308805794A}"/>
    <hyperlink ref="Q2" r:id="rId42" xr:uid="{4047BF84-78E8-426A-8438-079BA0830155}"/>
    <hyperlink ref="S2" r:id="rId43" xr:uid="{60174867-57F3-4BCF-800F-23BB7EF74810}"/>
    <hyperlink ref="U2" r:id="rId44" xr:uid="{4AA95A86-C428-440D-A82D-CD239A09FE75}"/>
  </hyperlinks>
  <pageMargins left="0.7" right="0.7" top="0.75" bottom="0.75" header="0.3" footer="0.3"/>
  <tableParts count="8">
    <tablePart r:id="rId45"/>
    <tablePart r:id="rId46"/>
    <tablePart r:id="rId47"/>
    <tablePart r:id="rId48"/>
    <tablePart r:id="rId49"/>
    <tablePart r:id="rId50"/>
    <tablePart r:id="rId51"/>
    <tablePart r:id="rId5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CD542-613C-4636-B8B7-DEE7FBB0FD8C}">
  <dimension ref="A25:B120"/>
  <sheetViews>
    <sheetView tabSelected="1" workbookViewId="0"/>
  </sheetViews>
  <sheetFormatPr defaultRowHeight="15" x14ac:dyDescent="0.25"/>
  <cols>
    <col min="1" max="1" width="13.85546875" bestFit="1" customWidth="1"/>
    <col min="2" max="2" width="25" bestFit="1" customWidth="1"/>
  </cols>
  <sheetData>
    <row r="25" spans="1:2" x14ac:dyDescent="0.25">
      <c r="A25" s="117" t="s">
        <v>10029</v>
      </c>
      <c r="B25" t="s">
        <v>10028</v>
      </c>
    </row>
    <row r="26" spans="1:2" x14ac:dyDescent="0.25">
      <c r="A26" s="118" t="s">
        <v>1669</v>
      </c>
      <c r="B26" s="3">
        <v>129</v>
      </c>
    </row>
    <row r="27" spans="1:2" x14ac:dyDescent="0.25">
      <c r="A27" s="119" t="s">
        <v>10031</v>
      </c>
      <c r="B27" s="3">
        <v>1</v>
      </c>
    </row>
    <row r="28" spans="1:2" x14ac:dyDescent="0.25">
      <c r="A28" s="120" t="s">
        <v>10032</v>
      </c>
      <c r="B28" s="3">
        <v>1</v>
      </c>
    </row>
    <row r="29" spans="1:2" x14ac:dyDescent="0.25">
      <c r="A29" s="121" t="s">
        <v>10033</v>
      </c>
      <c r="B29" s="3">
        <v>1</v>
      </c>
    </row>
    <row r="30" spans="1:2" x14ac:dyDescent="0.25">
      <c r="A30" s="119" t="s">
        <v>10034</v>
      </c>
      <c r="B30" s="3">
        <v>59</v>
      </c>
    </row>
    <row r="31" spans="1:2" x14ac:dyDescent="0.25">
      <c r="A31" s="120" t="s">
        <v>10035</v>
      </c>
      <c r="B31" s="3">
        <v>1</v>
      </c>
    </row>
    <row r="32" spans="1:2" x14ac:dyDescent="0.25">
      <c r="A32" s="121" t="s">
        <v>10036</v>
      </c>
      <c r="B32" s="3">
        <v>1</v>
      </c>
    </row>
    <row r="33" spans="1:2" x14ac:dyDescent="0.25">
      <c r="A33" s="120" t="s">
        <v>10037</v>
      </c>
      <c r="B33" s="3">
        <v>1</v>
      </c>
    </row>
    <row r="34" spans="1:2" x14ac:dyDescent="0.25">
      <c r="A34" s="121" t="s">
        <v>10038</v>
      </c>
      <c r="B34" s="3">
        <v>1</v>
      </c>
    </row>
    <row r="35" spans="1:2" x14ac:dyDescent="0.25">
      <c r="A35" s="120" t="s">
        <v>10039</v>
      </c>
      <c r="B35" s="3">
        <v>1</v>
      </c>
    </row>
    <row r="36" spans="1:2" x14ac:dyDescent="0.25">
      <c r="A36" s="121" t="s">
        <v>10040</v>
      </c>
      <c r="B36" s="3">
        <v>1</v>
      </c>
    </row>
    <row r="37" spans="1:2" x14ac:dyDescent="0.25">
      <c r="A37" s="120" t="s">
        <v>10041</v>
      </c>
      <c r="B37" s="3">
        <v>4</v>
      </c>
    </row>
    <row r="38" spans="1:2" x14ac:dyDescent="0.25">
      <c r="A38" s="121" t="s">
        <v>10042</v>
      </c>
      <c r="B38" s="3">
        <v>1</v>
      </c>
    </row>
    <row r="39" spans="1:2" x14ac:dyDescent="0.25">
      <c r="A39" s="121" t="s">
        <v>10043</v>
      </c>
      <c r="B39" s="3">
        <v>1</v>
      </c>
    </row>
    <row r="40" spans="1:2" x14ac:dyDescent="0.25">
      <c r="A40" s="121" t="s">
        <v>10044</v>
      </c>
      <c r="B40" s="3">
        <v>2</v>
      </c>
    </row>
    <row r="41" spans="1:2" x14ac:dyDescent="0.25">
      <c r="A41" s="120" t="s">
        <v>10045</v>
      </c>
      <c r="B41" s="3">
        <v>1</v>
      </c>
    </row>
    <row r="42" spans="1:2" x14ac:dyDescent="0.25">
      <c r="A42" s="121" t="s">
        <v>10046</v>
      </c>
      <c r="B42" s="3">
        <v>1</v>
      </c>
    </row>
    <row r="43" spans="1:2" x14ac:dyDescent="0.25">
      <c r="A43" s="120" t="s">
        <v>10047</v>
      </c>
      <c r="B43" s="3">
        <v>1</v>
      </c>
    </row>
    <row r="44" spans="1:2" x14ac:dyDescent="0.25">
      <c r="A44" s="121" t="s">
        <v>10044</v>
      </c>
      <c r="B44" s="3">
        <v>1</v>
      </c>
    </row>
    <row r="45" spans="1:2" x14ac:dyDescent="0.25">
      <c r="A45" s="120" t="s">
        <v>10048</v>
      </c>
      <c r="B45" s="3">
        <v>3</v>
      </c>
    </row>
    <row r="46" spans="1:2" x14ac:dyDescent="0.25">
      <c r="A46" s="121" t="s">
        <v>10043</v>
      </c>
      <c r="B46" s="3">
        <v>1</v>
      </c>
    </row>
    <row r="47" spans="1:2" x14ac:dyDescent="0.25">
      <c r="A47" s="121" t="s">
        <v>10040</v>
      </c>
      <c r="B47" s="3">
        <v>1</v>
      </c>
    </row>
    <row r="48" spans="1:2" x14ac:dyDescent="0.25">
      <c r="A48" s="121" t="s">
        <v>10049</v>
      </c>
      <c r="B48" s="3">
        <v>1</v>
      </c>
    </row>
    <row r="49" spans="1:2" x14ac:dyDescent="0.25">
      <c r="A49" s="120" t="s">
        <v>10050</v>
      </c>
      <c r="B49" s="3">
        <v>1</v>
      </c>
    </row>
    <row r="50" spans="1:2" x14ac:dyDescent="0.25">
      <c r="A50" s="121" t="s">
        <v>10051</v>
      </c>
      <c r="B50" s="3">
        <v>1</v>
      </c>
    </row>
    <row r="51" spans="1:2" x14ac:dyDescent="0.25">
      <c r="A51" s="120" t="s">
        <v>10052</v>
      </c>
      <c r="B51" s="3">
        <v>4</v>
      </c>
    </row>
    <row r="52" spans="1:2" x14ac:dyDescent="0.25">
      <c r="A52" s="121" t="s">
        <v>10036</v>
      </c>
      <c r="B52" s="3">
        <v>2</v>
      </c>
    </row>
    <row r="53" spans="1:2" x14ac:dyDescent="0.25">
      <c r="A53" s="121" t="s">
        <v>10053</v>
      </c>
      <c r="B53" s="3">
        <v>1</v>
      </c>
    </row>
    <row r="54" spans="1:2" x14ac:dyDescent="0.25">
      <c r="A54" s="121" t="s">
        <v>10054</v>
      </c>
      <c r="B54" s="3">
        <v>1</v>
      </c>
    </row>
    <row r="55" spans="1:2" x14ac:dyDescent="0.25">
      <c r="A55" s="120" t="s">
        <v>10055</v>
      </c>
      <c r="B55" s="3">
        <v>17</v>
      </c>
    </row>
    <row r="56" spans="1:2" x14ac:dyDescent="0.25">
      <c r="A56" s="121" t="s">
        <v>10056</v>
      </c>
      <c r="B56" s="3">
        <v>1</v>
      </c>
    </row>
    <row r="57" spans="1:2" x14ac:dyDescent="0.25">
      <c r="A57" s="121" t="s">
        <v>10057</v>
      </c>
      <c r="B57" s="3">
        <v>1</v>
      </c>
    </row>
    <row r="58" spans="1:2" x14ac:dyDescent="0.25">
      <c r="A58" s="121" t="s">
        <v>10058</v>
      </c>
      <c r="B58" s="3">
        <v>1</v>
      </c>
    </row>
    <row r="59" spans="1:2" x14ac:dyDescent="0.25">
      <c r="A59" s="121" t="s">
        <v>10059</v>
      </c>
      <c r="B59" s="3">
        <v>2</v>
      </c>
    </row>
    <row r="60" spans="1:2" x14ac:dyDescent="0.25">
      <c r="A60" s="121" t="s">
        <v>10051</v>
      </c>
      <c r="B60" s="3">
        <v>1</v>
      </c>
    </row>
    <row r="61" spans="1:2" x14ac:dyDescent="0.25">
      <c r="A61" s="121" t="s">
        <v>10043</v>
      </c>
      <c r="B61" s="3">
        <v>5</v>
      </c>
    </row>
    <row r="62" spans="1:2" x14ac:dyDescent="0.25">
      <c r="A62" s="121" t="s">
        <v>10036</v>
      </c>
      <c r="B62" s="3">
        <v>1</v>
      </c>
    </row>
    <row r="63" spans="1:2" x14ac:dyDescent="0.25">
      <c r="A63" s="121" t="s">
        <v>10053</v>
      </c>
      <c r="B63" s="3">
        <v>4</v>
      </c>
    </row>
    <row r="64" spans="1:2" x14ac:dyDescent="0.25">
      <c r="A64" s="121" t="s">
        <v>10060</v>
      </c>
      <c r="B64" s="3">
        <v>1</v>
      </c>
    </row>
    <row r="65" spans="1:2" x14ac:dyDescent="0.25">
      <c r="A65" s="120" t="s">
        <v>10061</v>
      </c>
      <c r="B65" s="3">
        <v>25</v>
      </c>
    </row>
    <row r="66" spans="1:2" x14ac:dyDescent="0.25">
      <c r="A66" s="121" t="s">
        <v>10058</v>
      </c>
      <c r="B66" s="3">
        <v>1</v>
      </c>
    </row>
    <row r="67" spans="1:2" x14ac:dyDescent="0.25">
      <c r="A67" s="121" t="s">
        <v>10059</v>
      </c>
      <c r="B67" s="3">
        <v>1</v>
      </c>
    </row>
    <row r="68" spans="1:2" x14ac:dyDescent="0.25">
      <c r="A68" s="121" t="s">
        <v>10051</v>
      </c>
      <c r="B68" s="3">
        <v>2</v>
      </c>
    </row>
    <row r="69" spans="1:2" x14ac:dyDescent="0.25">
      <c r="A69" s="121" t="s">
        <v>10043</v>
      </c>
      <c r="B69" s="3">
        <v>3</v>
      </c>
    </row>
    <row r="70" spans="1:2" x14ac:dyDescent="0.25">
      <c r="A70" s="121" t="s">
        <v>10040</v>
      </c>
      <c r="B70" s="3">
        <v>1</v>
      </c>
    </row>
    <row r="71" spans="1:2" x14ac:dyDescent="0.25">
      <c r="A71" s="121" t="s">
        <v>10036</v>
      </c>
      <c r="B71" s="3">
        <v>1</v>
      </c>
    </row>
    <row r="72" spans="1:2" x14ac:dyDescent="0.25">
      <c r="A72" s="121" t="s">
        <v>10044</v>
      </c>
      <c r="B72" s="3">
        <v>2</v>
      </c>
    </row>
    <row r="73" spans="1:2" x14ac:dyDescent="0.25">
      <c r="A73" s="121" t="s">
        <v>10049</v>
      </c>
      <c r="B73" s="3">
        <v>9</v>
      </c>
    </row>
    <row r="74" spans="1:2" x14ac:dyDescent="0.25">
      <c r="A74" s="121" t="s">
        <v>10053</v>
      </c>
      <c r="B74" s="3">
        <v>3</v>
      </c>
    </row>
    <row r="75" spans="1:2" x14ac:dyDescent="0.25">
      <c r="A75" s="121" t="s">
        <v>10060</v>
      </c>
      <c r="B75" s="3">
        <v>1</v>
      </c>
    </row>
    <row r="76" spans="1:2" x14ac:dyDescent="0.25">
      <c r="A76" s="121" t="s">
        <v>10054</v>
      </c>
      <c r="B76" s="3">
        <v>1</v>
      </c>
    </row>
    <row r="77" spans="1:2" x14ac:dyDescent="0.25">
      <c r="A77" s="119" t="s">
        <v>10062</v>
      </c>
      <c r="B77" s="3">
        <v>69</v>
      </c>
    </row>
    <row r="78" spans="1:2" x14ac:dyDescent="0.25">
      <c r="A78" s="120" t="s">
        <v>10063</v>
      </c>
      <c r="B78" s="3">
        <v>16</v>
      </c>
    </row>
    <row r="79" spans="1:2" x14ac:dyDescent="0.25">
      <c r="A79" s="121" t="s">
        <v>10046</v>
      </c>
      <c r="B79" s="3">
        <v>2</v>
      </c>
    </row>
    <row r="80" spans="1:2" x14ac:dyDescent="0.25">
      <c r="A80" s="121" t="s">
        <v>10064</v>
      </c>
      <c r="B80" s="3">
        <v>2</v>
      </c>
    </row>
    <row r="81" spans="1:2" x14ac:dyDescent="0.25">
      <c r="A81" s="121" t="s">
        <v>10056</v>
      </c>
      <c r="B81" s="3">
        <v>1</v>
      </c>
    </row>
    <row r="82" spans="1:2" x14ac:dyDescent="0.25">
      <c r="A82" s="121" t="s">
        <v>10065</v>
      </c>
      <c r="B82" s="3">
        <v>1</v>
      </c>
    </row>
    <row r="83" spans="1:2" x14ac:dyDescent="0.25">
      <c r="A83" s="121" t="s">
        <v>10066</v>
      </c>
      <c r="B83" s="3">
        <v>1</v>
      </c>
    </row>
    <row r="84" spans="1:2" x14ac:dyDescent="0.25">
      <c r="A84" s="121" t="s">
        <v>10059</v>
      </c>
      <c r="B84" s="3">
        <v>2</v>
      </c>
    </row>
    <row r="85" spans="1:2" x14ac:dyDescent="0.25">
      <c r="A85" s="121" t="s">
        <v>10040</v>
      </c>
      <c r="B85" s="3">
        <v>3</v>
      </c>
    </row>
    <row r="86" spans="1:2" x14ac:dyDescent="0.25">
      <c r="A86" s="121" t="s">
        <v>10049</v>
      </c>
      <c r="B86" s="3">
        <v>1</v>
      </c>
    </row>
    <row r="87" spans="1:2" x14ac:dyDescent="0.25">
      <c r="A87" s="121" t="s">
        <v>10054</v>
      </c>
      <c r="B87" s="3">
        <v>3</v>
      </c>
    </row>
    <row r="88" spans="1:2" x14ac:dyDescent="0.25">
      <c r="A88" s="120" t="s">
        <v>10067</v>
      </c>
      <c r="B88" s="3">
        <v>12</v>
      </c>
    </row>
    <row r="89" spans="1:2" x14ac:dyDescent="0.25">
      <c r="A89" s="121" t="s">
        <v>10038</v>
      </c>
      <c r="B89" s="3">
        <v>3</v>
      </c>
    </row>
    <row r="90" spans="1:2" x14ac:dyDescent="0.25">
      <c r="A90" s="121" t="s">
        <v>10046</v>
      </c>
      <c r="B90" s="3">
        <v>1</v>
      </c>
    </row>
    <row r="91" spans="1:2" x14ac:dyDescent="0.25">
      <c r="A91" s="121" t="s">
        <v>10033</v>
      </c>
      <c r="B91" s="3">
        <v>1</v>
      </c>
    </row>
    <row r="92" spans="1:2" x14ac:dyDescent="0.25">
      <c r="A92" s="121" t="s">
        <v>10051</v>
      </c>
      <c r="B92" s="3">
        <v>1</v>
      </c>
    </row>
    <row r="93" spans="1:2" x14ac:dyDescent="0.25">
      <c r="A93" s="121" t="s">
        <v>10043</v>
      </c>
      <c r="B93" s="3">
        <v>2</v>
      </c>
    </row>
    <row r="94" spans="1:2" x14ac:dyDescent="0.25">
      <c r="A94" s="121" t="s">
        <v>10036</v>
      </c>
      <c r="B94" s="3">
        <v>1</v>
      </c>
    </row>
    <row r="95" spans="1:2" x14ac:dyDescent="0.25">
      <c r="A95" s="121" t="s">
        <v>10049</v>
      </c>
      <c r="B95" s="3">
        <v>1</v>
      </c>
    </row>
    <row r="96" spans="1:2" x14ac:dyDescent="0.25">
      <c r="A96" s="121" t="s">
        <v>10068</v>
      </c>
      <c r="B96" s="3">
        <v>1</v>
      </c>
    </row>
    <row r="97" spans="1:2" x14ac:dyDescent="0.25">
      <c r="A97" s="121" t="s">
        <v>10060</v>
      </c>
      <c r="B97" s="3">
        <v>1</v>
      </c>
    </row>
    <row r="98" spans="1:2" x14ac:dyDescent="0.25">
      <c r="A98" s="120" t="s">
        <v>10069</v>
      </c>
      <c r="B98" s="3">
        <v>31</v>
      </c>
    </row>
    <row r="99" spans="1:2" x14ac:dyDescent="0.25">
      <c r="A99" s="121" t="s">
        <v>10046</v>
      </c>
      <c r="B99" s="3">
        <v>5</v>
      </c>
    </row>
    <row r="100" spans="1:2" x14ac:dyDescent="0.25">
      <c r="A100" s="121" t="s">
        <v>10033</v>
      </c>
      <c r="B100" s="3">
        <v>3</v>
      </c>
    </row>
    <row r="101" spans="1:2" x14ac:dyDescent="0.25">
      <c r="A101" s="121" t="s">
        <v>10066</v>
      </c>
      <c r="B101" s="3">
        <v>2</v>
      </c>
    </row>
    <row r="102" spans="1:2" x14ac:dyDescent="0.25">
      <c r="A102" s="121" t="s">
        <v>10059</v>
      </c>
      <c r="B102" s="3">
        <v>2</v>
      </c>
    </row>
    <row r="103" spans="1:2" x14ac:dyDescent="0.25">
      <c r="A103" s="121" t="s">
        <v>10051</v>
      </c>
      <c r="B103" s="3">
        <v>1</v>
      </c>
    </row>
    <row r="104" spans="1:2" x14ac:dyDescent="0.25">
      <c r="A104" s="121" t="s">
        <v>10040</v>
      </c>
      <c r="B104" s="3">
        <v>6</v>
      </c>
    </row>
    <row r="105" spans="1:2" x14ac:dyDescent="0.25">
      <c r="A105" s="121" t="s">
        <v>10036</v>
      </c>
      <c r="B105" s="3">
        <v>8</v>
      </c>
    </row>
    <row r="106" spans="1:2" x14ac:dyDescent="0.25">
      <c r="A106" s="121" t="s">
        <v>10049</v>
      </c>
      <c r="B106" s="3">
        <v>2</v>
      </c>
    </row>
    <row r="107" spans="1:2" x14ac:dyDescent="0.25">
      <c r="A107" s="121" t="s">
        <v>10053</v>
      </c>
      <c r="B107" s="3">
        <v>1</v>
      </c>
    </row>
    <row r="108" spans="1:2" x14ac:dyDescent="0.25">
      <c r="A108" s="121" t="s">
        <v>10068</v>
      </c>
      <c r="B108" s="3">
        <v>1</v>
      </c>
    </row>
    <row r="109" spans="1:2" x14ac:dyDescent="0.25">
      <c r="A109" s="120" t="s">
        <v>10070</v>
      </c>
      <c r="B109" s="3">
        <v>8</v>
      </c>
    </row>
    <row r="110" spans="1:2" x14ac:dyDescent="0.25">
      <c r="A110" s="121" t="s">
        <v>10046</v>
      </c>
      <c r="B110" s="3">
        <v>1</v>
      </c>
    </row>
    <row r="111" spans="1:2" x14ac:dyDescent="0.25">
      <c r="A111" s="121" t="s">
        <v>10059</v>
      </c>
      <c r="B111" s="3">
        <v>1</v>
      </c>
    </row>
    <row r="112" spans="1:2" x14ac:dyDescent="0.25">
      <c r="A112" s="121" t="s">
        <v>10043</v>
      </c>
      <c r="B112" s="3">
        <v>1</v>
      </c>
    </row>
    <row r="113" spans="1:2" x14ac:dyDescent="0.25">
      <c r="A113" s="121" t="s">
        <v>10049</v>
      </c>
      <c r="B113" s="3">
        <v>1</v>
      </c>
    </row>
    <row r="114" spans="1:2" x14ac:dyDescent="0.25">
      <c r="A114" s="121" t="s">
        <v>10053</v>
      </c>
      <c r="B114" s="3">
        <v>1</v>
      </c>
    </row>
    <row r="115" spans="1:2" x14ac:dyDescent="0.25">
      <c r="A115" s="121" t="s">
        <v>10068</v>
      </c>
      <c r="B115" s="3">
        <v>1</v>
      </c>
    </row>
    <row r="116" spans="1:2" x14ac:dyDescent="0.25">
      <c r="A116" s="121" t="s">
        <v>10054</v>
      </c>
      <c r="B116" s="3">
        <v>2</v>
      </c>
    </row>
    <row r="117" spans="1:2" x14ac:dyDescent="0.25">
      <c r="A117" s="120" t="s">
        <v>10071</v>
      </c>
      <c r="B117" s="3">
        <v>2</v>
      </c>
    </row>
    <row r="118" spans="1:2" x14ac:dyDescent="0.25">
      <c r="A118" s="121" t="s">
        <v>10046</v>
      </c>
      <c r="B118" s="3">
        <v>1</v>
      </c>
    </row>
    <row r="119" spans="1:2" x14ac:dyDescent="0.25">
      <c r="A119" s="121" t="s">
        <v>10072</v>
      </c>
      <c r="B119" s="3">
        <v>1</v>
      </c>
    </row>
    <row r="120" spans="1:2" x14ac:dyDescent="0.25">
      <c r="A120" s="118" t="s">
        <v>10030</v>
      </c>
      <c r="B120" s="3">
        <v>129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N126"/>
  <sheetViews>
    <sheetView workbookViewId="0">
      <pane xSplit="1" ySplit="2" topLeftCell="B3" activePane="bottomRight" state="frozen"/>
      <selection pane="topRight" activeCell="B1" sqref="B1"/>
      <selection pane="bottomLeft" activeCell="A3" sqref="A3"/>
      <selection pane="bottomRight" activeCell="A3" sqref="A3"/>
    </sheetView>
  </sheetViews>
  <sheetFormatPr defaultRowHeight="15" x14ac:dyDescent="0.25"/>
  <cols>
    <col min="1" max="1" width="9.140625" style="1"/>
    <col min="2" max="2" width="7.85546875" hidden="1" customWidth="1"/>
    <col min="3" max="3" width="8.5703125" hidden="1" customWidth="1"/>
    <col min="4" max="4" width="6.7109375" hidden="1" customWidth="1"/>
    <col min="5" max="5" width="9.85546875" hidden="1" customWidth="1"/>
    <col min="6" max="6" width="7.7109375" hidden="1" customWidth="1"/>
    <col min="7" max="7" width="11" hidden="1" customWidth="1"/>
    <col min="8" max="8" width="8.5703125" hidden="1" customWidth="1"/>
    <col min="9" max="9" width="9.7109375" hidden="1" customWidth="1"/>
    <col min="10" max="10" width="10.5703125" style="3" hidden="1" customWidth="1"/>
    <col min="11"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customWidth="1"/>
    <col min="19" max="19" width="9.28515625" customWidth="1"/>
    <col min="20" max="20" width="9.5703125" customWidth="1"/>
    <col min="21" max="23" width="14.28515625" customWidth="1"/>
    <col min="24" max="24" width="11.85546875" customWidth="1"/>
    <col min="25" max="25" width="14.42578125" customWidth="1"/>
    <col min="26" max="26" width="18.28515625" customWidth="1"/>
    <col min="27" max="27" width="5" style="3" hidden="1" customWidth="1"/>
    <col min="28" max="28" width="16" style="3" hidden="1" customWidth="1"/>
    <col min="29" max="29" width="16" style="6" bestFit="1" customWidth="1"/>
    <col min="30" max="30" width="8.5703125" style="2" bestFit="1" customWidth="1"/>
    <col min="31" max="31" width="9.5703125" style="3" bestFit="1" customWidth="1"/>
    <col min="32" max="32" width="12" style="3" bestFit="1" customWidth="1"/>
    <col min="33" max="33" width="11.5703125" style="3" bestFit="1" customWidth="1"/>
    <col min="34" max="34" width="9.7109375" style="3" bestFit="1" customWidth="1"/>
    <col min="35" max="35" width="9" bestFit="1" customWidth="1"/>
    <col min="36" max="36" width="13" bestFit="1" customWidth="1"/>
    <col min="37" max="37" width="14.5703125" bestFit="1" customWidth="1"/>
    <col min="38" max="38" width="10.5703125" bestFit="1" customWidth="1"/>
    <col min="39" max="39" width="16.5703125" bestFit="1" customWidth="1"/>
    <col min="40" max="40" width="10.7109375" bestFit="1" customWidth="1"/>
    <col min="41" max="41" width="13.42578125" bestFit="1" customWidth="1"/>
    <col min="42" max="42" width="10.85546875" bestFit="1" customWidth="1"/>
    <col min="43" max="43" width="17.140625" bestFit="1" customWidth="1"/>
    <col min="44" max="44" width="14.7109375" bestFit="1" customWidth="1"/>
    <col min="45" max="45" width="15.5703125" bestFit="1" customWidth="1"/>
    <col min="46" max="46" width="23.28515625" bestFit="1" customWidth="1"/>
    <col min="47" max="47" width="21" bestFit="1" customWidth="1"/>
    <col min="48" max="48" width="11.140625" bestFit="1" customWidth="1"/>
    <col min="49" max="49" width="6.5703125" bestFit="1" customWidth="1"/>
    <col min="50" max="50" width="10.5703125" bestFit="1" customWidth="1"/>
    <col min="51" max="51" width="14.140625" bestFit="1" customWidth="1"/>
    <col min="52" max="52" width="12" bestFit="1" customWidth="1"/>
    <col min="53" max="53" width="10" bestFit="1" customWidth="1"/>
    <col min="54" max="54" width="13" bestFit="1" customWidth="1"/>
    <col min="55" max="55" width="10.28515625" bestFit="1" customWidth="1"/>
    <col min="56" max="56" width="16.85546875" bestFit="1" customWidth="1"/>
    <col min="57" max="58" width="14" bestFit="1" customWidth="1"/>
    <col min="59" max="59" width="11.42578125" bestFit="1" customWidth="1"/>
    <col min="60" max="60" width="13.28515625" bestFit="1" customWidth="1"/>
    <col min="61" max="61" width="19.7109375" bestFit="1" customWidth="1"/>
    <col min="62" max="62" width="12.5703125" bestFit="1" customWidth="1"/>
    <col min="63" max="63" width="11.7109375" bestFit="1" customWidth="1"/>
    <col min="64" max="64" width="11.5703125" bestFit="1" customWidth="1"/>
    <col min="65" max="65" width="15.140625" bestFit="1" customWidth="1"/>
    <col min="66" max="67" width="16.140625" bestFit="1" customWidth="1"/>
    <col min="68" max="68" width="9.7109375" bestFit="1" customWidth="1"/>
    <col min="69" max="69" width="19.7109375" bestFit="1" customWidth="1"/>
    <col min="70" max="70" width="24.28515625" bestFit="1" customWidth="1"/>
    <col min="71" max="71" width="19.7109375" bestFit="1" customWidth="1"/>
    <col min="72" max="72" width="24.28515625" bestFit="1" customWidth="1"/>
    <col min="73" max="73" width="19.7109375" bestFit="1" customWidth="1"/>
    <col min="74" max="74" width="24.28515625" bestFit="1" customWidth="1"/>
    <col min="75" max="75" width="18.5703125" bestFit="1" customWidth="1"/>
    <col min="76" max="76" width="22.28515625" bestFit="1" customWidth="1"/>
    <col min="77" max="77" width="17.42578125" bestFit="1" customWidth="1"/>
    <col min="78" max="79" width="16.140625" bestFit="1" customWidth="1"/>
    <col min="80" max="80" width="17.28515625" bestFit="1" customWidth="1"/>
    <col min="81" max="81" width="19.5703125" bestFit="1" customWidth="1"/>
    <col min="82" max="82" width="17.28515625" bestFit="1" customWidth="1"/>
    <col min="83" max="83" width="19.5703125" bestFit="1" customWidth="1"/>
    <col min="84" max="84" width="17.28515625" bestFit="1" customWidth="1"/>
    <col min="85" max="85" width="19.5703125" bestFit="1" customWidth="1"/>
    <col min="86" max="86" width="19.28515625" bestFit="1" customWidth="1"/>
    <col min="87" max="87" width="19.5703125" bestFit="1" customWidth="1"/>
  </cols>
  <sheetData>
    <row r="1" spans="1:92" x14ac:dyDescent="0.25">
      <c r="B1" s="24" t="s">
        <v>39</v>
      </c>
      <c r="C1" s="17"/>
      <c r="D1" s="17"/>
      <c r="E1" s="17"/>
      <c r="F1" s="17"/>
      <c r="G1" s="17"/>
      <c r="H1" s="26" t="s">
        <v>43</v>
      </c>
      <c r="I1" s="25"/>
      <c r="J1" s="25"/>
      <c r="K1" s="25"/>
      <c r="L1" s="28" t="s">
        <v>44</v>
      </c>
      <c r="M1" s="27"/>
      <c r="N1" s="27"/>
      <c r="O1" s="27"/>
      <c r="P1" s="27"/>
      <c r="Q1" s="27"/>
      <c r="R1" s="23" t="s">
        <v>42</v>
      </c>
      <c r="S1" s="20"/>
      <c r="T1" s="21"/>
      <c r="U1" s="22"/>
      <c r="V1" s="20"/>
      <c r="W1" s="20"/>
      <c r="X1" s="20"/>
      <c r="Y1" s="20"/>
      <c r="Z1" s="20"/>
      <c r="AA1" s="29" t="s">
        <v>40</v>
      </c>
      <c r="AB1" s="19"/>
      <c r="AC1" s="30" t="s">
        <v>41</v>
      </c>
      <c r="AD1"/>
      <c r="AE1"/>
      <c r="AF1"/>
      <c r="AG1"/>
      <c r="AH1"/>
    </row>
    <row r="2" spans="1:92" ht="30" customHeight="1" x14ac:dyDescent="0.2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3" t="s">
        <v>896</v>
      </c>
      <c r="AE2" s="13" t="s">
        <v>897</v>
      </c>
      <c r="AF2" s="13" t="s">
        <v>898</v>
      </c>
      <c r="AG2" s="13" t="s">
        <v>899</v>
      </c>
      <c r="AH2" s="13" t="s">
        <v>900</v>
      </c>
      <c r="AI2" s="13" t="s">
        <v>901</v>
      </c>
      <c r="AJ2" s="13" t="s">
        <v>902</v>
      </c>
      <c r="AK2" s="13" t="s">
        <v>903</v>
      </c>
      <c r="AL2" s="13" t="s">
        <v>904</v>
      </c>
      <c r="AM2" s="13" t="s">
        <v>905</v>
      </c>
      <c r="AN2" s="13" t="s">
        <v>906</v>
      </c>
      <c r="AO2" s="13" t="s">
        <v>907</v>
      </c>
      <c r="AP2" s="13" t="s">
        <v>908</v>
      </c>
      <c r="AQ2" s="13" t="s">
        <v>909</v>
      </c>
      <c r="AR2" s="13" t="s">
        <v>910</v>
      </c>
      <c r="AS2" s="13" t="s">
        <v>911</v>
      </c>
      <c r="AT2" s="13" t="s">
        <v>912</v>
      </c>
      <c r="AU2" s="13" t="s">
        <v>913</v>
      </c>
      <c r="AV2" s="13" t="s">
        <v>914</v>
      </c>
      <c r="AW2" s="13" t="s">
        <v>915</v>
      </c>
      <c r="AX2" s="13" t="s">
        <v>916</v>
      </c>
      <c r="AY2" s="13" t="s">
        <v>917</v>
      </c>
      <c r="AZ2" s="13" t="s">
        <v>918</v>
      </c>
      <c r="BA2" s="13" t="s">
        <v>919</v>
      </c>
      <c r="BB2" s="13" t="s">
        <v>920</v>
      </c>
      <c r="BC2" s="13" t="s">
        <v>921</v>
      </c>
      <c r="BD2" s="13" t="s">
        <v>922</v>
      </c>
      <c r="BE2" s="13" t="s">
        <v>923</v>
      </c>
      <c r="BF2" s="13" t="s">
        <v>924</v>
      </c>
      <c r="BG2" s="13" t="s">
        <v>214</v>
      </c>
      <c r="BH2" s="13" t="s">
        <v>925</v>
      </c>
      <c r="BI2" s="13" t="s">
        <v>926</v>
      </c>
      <c r="BJ2" s="13" t="s">
        <v>927</v>
      </c>
      <c r="BK2" s="13" t="s">
        <v>928</v>
      </c>
      <c r="BL2" s="13" t="s">
        <v>929</v>
      </c>
      <c r="BM2" s="13" t="s">
        <v>930</v>
      </c>
      <c r="BN2" s="13" t="s">
        <v>931</v>
      </c>
      <c r="BO2" s="13" t="s">
        <v>932</v>
      </c>
      <c r="BP2" s="13" t="s">
        <v>1627</v>
      </c>
      <c r="BQ2" s="112" t="s">
        <v>1965</v>
      </c>
      <c r="BR2" s="112" t="s">
        <v>1966</v>
      </c>
      <c r="BS2" s="112" t="s">
        <v>1967</v>
      </c>
      <c r="BT2" s="112" t="s">
        <v>1968</v>
      </c>
      <c r="BU2" s="112" t="s">
        <v>1969</v>
      </c>
      <c r="BV2" s="112" t="s">
        <v>1970</v>
      </c>
      <c r="BW2" s="112" t="s">
        <v>1971</v>
      </c>
      <c r="BX2" s="112" t="s">
        <v>1972</v>
      </c>
      <c r="BY2" s="112" t="s">
        <v>1974</v>
      </c>
      <c r="BZ2" s="112" t="s">
        <v>9849</v>
      </c>
      <c r="CA2" s="112" t="s">
        <v>9860</v>
      </c>
      <c r="CB2" s="112" t="s">
        <v>9868</v>
      </c>
      <c r="CC2" s="112" t="s">
        <v>9874</v>
      </c>
      <c r="CD2" s="112" t="s">
        <v>9878</v>
      </c>
      <c r="CE2" s="112" t="s">
        <v>9885</v>
      </c>
      <c r="CF2" s="112" t="s">
        <v>9894</v>
      </c>
      <c r="CG2" s="112" t="s">
        <v>9952</v>
      </c>
      <c r="CH2" s="112" t="s">
        <v>9964</v>
      </c>
      <c r="CI2" s="112" t="s">
        <v>10022</v>
      </c>
      <c r="CJ2" s="3"/>
      <c r="CK2" s="3"/>
    </row>
    <row r="3" spans="1:92" ht="15" customHeight="1" x14ac:dyDescent="0.25">
      <c r="A3" s="65" t="s">
        <v>282</v>
      </c>
      <c r="B3" s="66"/>
      <c r="C3" s="66" t="s">
        <v>64</v>
      </c>
      <c r="D3" s="67">
        <v>242.74509803921569</v>
      </c>
      <c r="E3" s="69"/>
      <c r="F3" s="104" t="str">
        <f>HYPERLINK("https://pbs.twimg.com/profile_images/884110390493425664/HGSOS2S8_normal.jpg")</f>
        <v>https://pbs.twimg.com/profile_images/884110390493425664/HGSOS2S8_normal.jpg</v>
      </c>
      <c r="G3" s="66"/>
      <c r="H3" s="70" t="s">
        <v>282</v>
      </c>
      <c r="I3" s="71"/>
      <c r="J3" s="71" t="s">
        <v>75</v>
      </c>
      <c r="K3" s="70" t="s">
        <v>1581</v>
      </c>
      <c r="L3" s="74">
        <v>226.40961217455398</v>
      </c>
      <c r="M3" s="75">
        <v>7108.345703125</v>
      </c>
      <c r="N3" s="75">
        <v>6599.68310546875</v>
      </c>
      <c r="O3" s="76"/>
      <c r="P3" s="77"/>
      <c r="Q3" s="77"/>
      <c r="R3" s="49"/>
      <c r="S3" s="49">
        <v>1</v>
      </c>
      <c r="T3" s="49">
        <v>3</v>
      </c>
      <c r="U3" s="50">
        <v>208</v>
      </c>
      <c r="V3" s="50">
        <v>0.31672800000000001</v>
      </c>
      <c r="W3" s="50">
        <v>0.106257</v>
      </c>
      <c r="X3" s="50">
        <v>8.6E-3</v>
      </c>
      <c r="Y3" s="50">
        <v>0.33333333333333331</v>
      </c>
      <c r="Z3" s="50">
        <v>0</v>
      </c>
      <c r="AA3" s="72">
        <v>3</v>
      </c>
      <c r="AB3" s="72"/>
      <c r="AC3" s="73"/>
      <c r="AD3" s="80" t="s">
        <v>1054</v>
      </c>
      <c r="AE3" s="87" t="s">
        <v>1159</v>
      </c>
      <c r="AF3" s="80">
        <v>1339</v>
      </c>
      <c r="AG3" s="80">
        <v>806</v>
      </c>
      <c r="AH3" s="80">
        <v>2493</v>
      </c>
      <c r="AI3" s="80">
        <v>43</v>
      </c>
      <c r="AJ3" s="80">
        <v>1164</v>
      </c>
      <c r="AK3" s="80">
        <v>498</v>
      </c>
      <c r="AL3" s="80" t="b">
        <v>0</v>
      </c>
      <c r="AM3" s="82">
        <v>41129.111678240741</v>
      </c>
      <c r="AN3" s="80"/>
      <c r="AO3" s="80" t="s">
        <v>1349</v>
      </c>
      <c r="AP3" s="85" t="str">
        <f>HYPERLINK("https://t.co/CECXMMTI1r")</f>
        <v>https://t.co/CECXMMTI1r</v>
      </c>
      <c r="AQ3" s="85" t="str">
        <f>HYPERLINK("http://aejmc.us/news/")</f>
        <v>http://aejmc.us/news/</v>
      </c>
      <c r="AR3" s="80" t="s">
        <v>1440</v>
      </c>
      <c r="AS3" s="80"/>
      <c r="AT3" s="80"/>
      <c r="AU3" s="80"/>
      <c r="AV3" s="80"/>
      <c r="AW3" s="85" t="str">
        <f>HYPERLINK("https://t.co/CECXMMTI1r")</f>
        <v>https://t.co/CECXMMTI1r</v>
      </c>
      <c r="AX3" s="80" t="b">
        <v>0</v>
      </c>
      <c r="AY3" s="80"/>
      <c r="AZ3" s="80"/>
      <c r="BA3" s="80" t="b">
        <v>0</v>
      </c>
      <c r="BB3" s="80" t="b">
        <v>1</v>
      </c>
      <c r="BC3" s="80" t="b">
        <v>0</v>
      </c>
      <c r="BD3" s="80" t="b">
        <v>0</v>
      </c>
      <c r="BE3" s="80" t="b">
        <v>1</v>
      </c>
      <c r="BF3" s="80" t="b">
        <v>0</v>
      </c>
      <c r="BG3" s="80" t="b">
        <v>0</v>
      </c>
      <c r="BH3" s="85" t="str">
        <f>HYPERLINK("https://pbs.twimg.com/profile_banners/744265436/1443695606")</f>
        <v>https://pbs.twimg.com/profile_banners/744265436/1443695606</v>
      </c>
      <c r="BI3" s="80"/>
      <c r="BJ3" s="80" t="s">
        <v>1455</v>
      </c>
      <c r="BK3" s="80" t="b">
        <v>0</v>
      </c>
      <c r="BL3" s="80"/>
      <c r="BM3" s="80" t="s">
        <v>66</v>
      </c>
      <c r="BN3" s="80" t="s">
        <v>1457</v>
      </c>
      <c r="BO3" s="85" t="str">
        <f>HYPERLINK("https://twitter.com/aejmc_nond")</f>
        <v>https://twitter.com/aejmc_nond</v>
      </c>
      <c r="BP3" s="80" t="str">
        <f>REPLACE(INDEX(GroupVertices[Group], MATCH("~"&amp;Vertices[[#This Row],[Vertex]],GroupVertices[Vertex],0)),1,1,"")</f>
        <v>6</v>
      </c>
      <c r="BQ3" s="49">
        <v>1</v>
      </c>
      <c r="BR3" s="50">
        <v>2.0408163265306123</v>
      </c>
      <c r="BS3" s="49">
        <v>0</v>
      </c>
      <c r="BT3" s="50">
        <v>0</v>
      </c>
      <c r="BU3" s="49">
        <v>0</v>
      </c>
      <c r="BV3" s="50">
        <v>0</v>
      </c>
      <c r="BW3" s="49">
        <v>30</v>
      </c>
      <c r="BX3" s="50">
        <v>61.224489795918366</v>
      </c>
      <c r="BY3" s="49">
        <v>49</v>
      </c>
      <c r="BZ3" s="49" t="s">
        <v>9559</v>
      </c>
      <c r="CA3" s="49" t="s">
        <v>9559</v>
      </c>
      <c r="CB3" s="49" t="s">
        <v>510</v>
      </c>
      <c r="CC3" s="49" t="s">
        <v>510</v>
      </c>
      <c r="CD3" s="49"/>
      <c r="CE3" s="49"/>
      <c r="CF3" s="116" t="s">
        <v>9895</v>
      </c>
      <c r="CG3" s="116" t="s">
        <v>9953</v>
      </c>
      <c r="CH3" s="116" t="s">
        <v>9965</v>
      </c>
      <c r="CI3" s="116" t="s">
        <v>9965</v>
      </c>
      <c r="CJ3" s="3"/>
      <c r="CK3" s="3"/>
    </row>
    <row r="4" spans="1:92" x14ac:dyDescent="0.25">
      <c r="A4" s="65" t="s">
        <v>364</v>
      </c>
      <c r="B4" s="66"/>
      <c r="C4" s="66" t="s">
        <v>64</v>
      </c>
      <c r="D4" s="67">
        <v>100</v>
      </c>
      <c r="E4" s="69"/>
      <c r="F4" s="104" t="str">
        <f>HYPERLINK("https://pbs.twimg.com/profile_images/1480713145786195972/SGMoMGNK_normal.jpg")</f>
        <v>https://pbs.twimg.com/profile_images/1480713145786195972/SGMoMGNK_normal.jpg</v>
      </c>
      <c r="G4" s="66"/>
      <c r="H4" s="70" t="s">
        <v>364</v>
      </c>
      <c r="I4" s="71"/>
      <c r="J4" s="71" t="s">
        <v>159</v>
      </c>
      <c r="K4" s="70" t="s">
        <v>1458</v>
      </c>
      <c r="L4" s="74">
        <v>1</v>
      </c>
      <c r="M4" s="75">
        <v>7594.86865234375</v>
      </c>
      <c r="N4" s="75">
        <v>5884.18505859375</v>
      </c>
      <c r="O4" s="76"/>
      <c r="P4" s="77"/>
      <c r="Q4" s="77"/>
      <c r="R4" s="90"/>
      <c r="S4" s="49">
        <v>1</v>
      </c>
      <c r="T4" s="49">
        <v>0</v>
      </c>
      <c r="U4" s="50">
        <v>0</v>
      </c>
      <c r="V4" s="50">
        <v>0.23161300000000001</v>
      </c>
      <c r="W4" s="50">
        <v>1.2987E-2</v>
      </c>
      <c r="X4" s="50">
        <v>7.1770000000000002E-3</v>
      </c>
      <c r="Y4" s="50">
        <v>0</v>
      </c>
      <c r="Z4" s="50">
        <v>0</v>
      </c>
      <c r="AA4" s="72">
        <v>4</v>
      </c>
      <c r="AB4" s="72"/>
      <c r="AC4" s="73"/>
      <c r="AD4" s="80" t="s">
        <v>933</v>
      </c>
      <c r="AE4" s="87" t="s">
        <v>1055</v>
      </c>
      <c r="AF4" s="80">
        <v>748</v>
      </c>
      <c r="AG4" s="80">
        <v>540</v>
      </c>
      <c r="AH4" s="80">
        <v>2538</v>
      </c>
      <c r="AI4" s="80">
        <v>18</v>
      </c>
      <c r="AJ4" s="80">
        <v>3138</v>
      </c>
      <c r="AK4" s="80">
        <v>265</v>
      </c>
      <c r="AL4" s="80" t="b">
        <v>0</v>
      </c>
      <c r="AM4" s="82">
        <v>41780.155023148145</v>
      </c>
      <c r="AN4" s="80" t="s">
        <v>1160</v>
      </c>
      <c r="AO4" s="80" t="s">
        <v>1229</v>
      </c>
      <c r="AP4" s="85" t="str">
        <f>HYPERLINK("https://t.co/vo3p6svajq")</f>
        <v>https://t.co/vo3p6svajq</v>
      </c>
      <c r="AQ4" s="85" t="str">
        <f>HYPERLINK("https://www.linditacamaj.com/")</f>
        <v>https://www.linditacamaj.com/</v>
      </c>
      <c r="AR4" s="80" t="s">
        <v>1350</v>
      </c>
      <c r="AS4" s="80"/>
      <c r="AT4" s="80"/>
      <c r="AU4" s="80"/>
      <c r="AV4" s="80">
        <v>1.6737890913373599E+18</v>
      </c>
      <c r="AW4" s="85" t="str">
        <f>HYPERLINK("https://t.co/vo3p6svajq")</f>
        <v>https://t.co/vo3p6svajq</v>
      </c>
      <c r="AX4" s="80" t="b">
        <v>0</v>
      </c>
      <c r="AY4" s="80"/>
      <c r="AZ4" s="80"/>
      <c r="BA4" s="80" t="b">
        <v>0</v>
      </c>
      <c r="BB4" s="80" t="b">
        <v>1</v>
      </c>
      <c r="BC4" s="80" t="b">
        <v>1</v>
      </c>
      <c r="BD4" s="80" t="b">
        <v>0</v>
      </c>
      <c r="BE4" s="80" t="b">
        <v>1</v>
      </c>
      <c r="BF4" s="80" t="b">
        <v>0</v>
      </c>
      <c r="BG4" s="80" t="b">
        <v>0</v>
      </c>
      <c r="BH4" s="85" t="str">
        <f>HYPERLINK("https://pbs.twimg.com/profile_banners/2556819406/1429027656")</f>
        <v>https://pbs.twimg.com/profile_banners/2556819406/1429027656</v>
      </c>
      <c r="BI4" s="80"/>
      <c r="BJ4" s="80" t="s">
        <v>1455</v>
      </c>
      <c r="BK4" s="80" t="b">
        <v>0</v>
      </c>
      <c r="BL4" s="80"/>
      <c r="BM4" s="80" t="s">
        <v>65</v>
      </c>
      <c r="BN4" s="80" t="s">
        <v>1457</v>
      </c>
      <c r="BO4" s="85" t="str">
        <f>HYPERLINK("https://twitter.com/lindita_camaj")</f>
        <v>https://twitter.com/lindita_camaj</v>
      </c>
      <c r="BP4" s="80" t="str">
        <f>REPLACE(INDEX(GroupVertices[Group], MATCH("~"&amp;Vertices[[#This Row],[Vertex]],GroupVertices[Vertex],0)),1,1,"")</f>
        <v>6</v>
      </c>
      <c r="BQ4" s="49"/>
      <c r="BR4" s="50"/>
      <c r="BS4" s="49"/>
      <c r="BT4" s="50"/>
      <c r="BU4" s="49"/>
      <c r="BV4" s="50"/>
      <c r="BW4" s="49"/>
      <c r="BX4" s="50"/>
      <c r="BY4" s="49"/>
      <c r="BZ4" s="49"/>
      <c r="CA4" s="49"/>
      <c r="CB4" s="49"/>
      <c r="CC4" s="49"/>
      <c r="CD4" s="49"/>
      <c r="CE4" s="49"/>
      <c r="CF4" s="49"/>
      <c r="CG4" s="49"/>
      <c r="CH4" s="49"/>
      <c r="CI4" s="49"/>
      <c r="CJ4" s="2"/>
      <c r="CK4" s="3"/>
      <c r="CL4" s="3"/>
      <c r="CM4" s="3"/>
      <c r="CN4" s="3"/>
    </row>
    <row r="5" spans="1:92" x14ac:dyDescent="0.25">
      <c r="A5" s="65" t="s">
        <v>241</v>
      </c>
      <c r="B5" s="66"/>
      <c r="C5" s="66" t="s">
        <v>64</v>
      </c>
      <c r="D5" s="67">
        <v>126.42156862745098</v>
      </c>
      <c r="E5" s="69"/>
      <c r="F5" s="104" t="str">
        <f>HYPERLINK("https://pbs.twimg.com/profile_images/879370206400958464/D876GW69_normal.jpg")</f>
        <v>https://pbs.twimg.com/profile_images/879370206400958464/D876GW69_normal.jpg</v>
      </c>
      <c r="G5" s="66"/>
      <c r="H5" s="70" t="s">
        <v>241</v>
      </c>
      <c r="I5" s="71"/>
      <c r="J5" s="71" t="s">
        <v>75</v>
      </c>
      <c r="K5" s="70" t="s">
        <v>1459</v>
      </c>
      <c r="L5" s="74">
        <v>42.722452253463118</v>
      </c>
      <c r="M5" s="75">
        <v>4612.443359375</v>
      </c>
      <c r="N5" s="75">
        <v>8985.8896484375</v>
      </c>
      <c r="O5" s="76"/>
      <c r="P5" s="77"/>
      <c r="Q5" s="77"/>
      <c r="R5" s="90"/>
      <c r="S5" s="49">
        <v>0</v>
      </c>
      <c r="T5" s="49">
        <v>3</v>
      </c>
      <c r="U5" s="50">
        <v>38.5</v>
      </c>
      <c r="V5" s="50">
        <v>0.25831199999999999</v>
      </c>
      <c r="W5" s="50">
        <v>6.9120000000000001E-2</v>
      </c>
      <c r="X5" s="50">
        <v>7.4060000000000003E-3</v>
      </c>
      <c r="Y5" s="50">
        <v>0.33333333333333331</v>
      </c>
      <c r="Z5" s="50">
        <v>0</v>
      </c>
      <c r="AA5" s="72">
        <v>5</v>
      </c>
      <c r="AB5" s="72"/>
      <c r="AC5" s="73"/>
      <c r="AD5" s="80" t="s">
        <v>934</v>
      </c>
      <c r="AE5" s="87" t="s">
        <v>881</v>
      </c>
      <c r="AF5" s="80">
        <v>415</v>
      </c>
      <c r="AG5" s="80">
        <v>1592</v>
      </c>
      <c r="AH5" s="80">
        <v>3479</v>
      </c>
      <c r="AI5" s="80">
        <v>0</v>
      </c>
      <c r="AJ5" s="80">
        <v>6921</v>
      </c>
      <c r="AK5" s="80">
        <v>25</v>
      </c>
      <c r="AL5" s="80" t="b">
        <v>0</v>
      </c>
      <c r="AM5" s="82">
        <v>42912.082106481481</v>
      </c>
      <c r="AN5" s="80" t="s">
        <v>1161</v>
      </c>
      <c r="AO5" s="80" t="s">
        <v>1230</v>
      </c>
      <c r="AP5" s="80"/>
      <c r="AQ5" s="80"/>
      <c r="AR5" s="80"/>
      <c r="AS5" s="80"/>
      <c r="AT5" s="80"/>
      <c r="AU5" s="80"/>
      <c r="AV5" s="80"/>
      <c r="AW5" s="80"/>
      <c r="AX5" s="80" t="b">
        <v>0</v>
      </c>
      <c r="AY5" s="80"/>
      <c r="AZ5" s="80"/>
      <c r="BA5" s="80" t="b">
        <v>0</v>
      </c>
      <c r="BB5" s="80" t="b">
        <v>1</v>
      </c>
      <c r="BC5" s="80" t="b">
        <v>1</v>
      </c>
      <c r="BD5" s="80" t="b">
        <v>0</v>
      </c>
      <c r="BE5" s="80" t="b">
        <v>0</v>
      </c>
      <c r="BF5" s="80" t="b">
        <v>0</v>
      </c>
      <c r="BG5" s="80" t="b">
        <v>0</v>
      </c>
      <c r="BH5" s="80"/>
      <c r="BI5" s="80"/>
      <c r="BJ5" s="80" t="s">
        <v>1455</v>
      </c>
      <c r="BK5" s="80" t="b">
        <v>0</v>
      </c>
      <c r="BL5" s="80"/>
      <c r="BM5" s="80" t="s">
        <v>66</v>
      </c>
      <c r="BN5" s="80" t="s">
        <v>1457</v>
      </c>
      <c r="BO5" s="85" t="str">
        <f>HYPERLINK("https://twitter.com/med_lafouairas")</f>
        <v>https://twitter.com/med_lafouairas</v>
      </c>
      <c r="BP5" s="80" t="str">
        <f>REPLACE(INDEX(GroupVertices[Group], MATCH("~"&amp;Vertices[[#This Row],[Vertex]],GroupVertices[Vertex],0)),1,1,"")</f>
        <v>3</v>
      </c>
      <c r="BQ5" s="49">
        <v>2</v>
      </c>
      <c r="BR5" s="50">
        <v>4.4444444444444446</v>
      </c>
      <c r="BS5" s="49">
        <v>0</v>
      </c>
      <c r="BT5" s="50">
        <v>0</v>
      </c>
      <c r="BU5" s="49">
        <v>0</v>
      </c>
      <c r="BV5" s="50">
        <v>0</v>
      </c>
      <c r="BW5" s="49">
        <v>24</v>
      </c>
      <c r="BX5" s="50">
        <v>53.333333333333336</v>
      </c>
      <c r="BY5" s="49">
        <v>45</v>
      </c>
      <c r="BZ5" s="49"/>
      <c r="CA5" s="49"/>
      <c r="CB5" s="49"/>
      <c r="CC5" s="49"/>
      <c r="CD5" s="49"/>
      <c r="CE5" s="49"/>
      <c r="CF5" s="116" t="s">
        <v>9896</v>
      </c>
      <c r="CG5" s="116" t="s">
        <v>9954</v>
      </c>
      <c r="CH5" s="116" t="s">
        <v>9966</v>
      </c>
      <c r="CI5" s="116" t="s">
        <v>9966</v>
      </c>
      <c r="CJ5" s="2"/>
      <c r="CK5" s="3"/>
      <c r="CL5" s="3"/>
      <c r="CM5" s="3"/>
      <c r="CN5" s="3"/>
    </row>
    <row r="6" spans="1:92" x14ac:dyDescent="0.25">
      <c r="A6" s="65" t="s">
        <v>289</v>
      </c>
      <c r="B6" s="66"/>
      <c r="C6" s="66" t="s">
        <v>64</v>
      </c>
      <c r="D6" s="67">
        <v>465.89869303921563</v>
      </c>
      <c r="E6" s="69"/>
      <c r="F6" s="104" t="str">
        <f>HYPERLINK("https://pbs.twimg.com/profile_images/1466447527884963840/ZQq_A9e7_normal.jpg")</f>
        <v>https://pbs.twimg.com/profile_images/1466447527884963840/ZQq_A9e7_normal.jpg</v>
      </c>
      <c r="G6" s="66"/>
      <c r="H6" s="70" t="s">
        <v>289</v>
      </c>
      <c r="I6" s="71"/>
      <c r="J6" s="71" t="s">
        <v>75</v>
      </c>
      <c r="K6" s="70" t="s">
        <v>1460</v>
      </c>
      <c r="L6" s="74">
        <v>578.79274823494984</v>
      </c>
      <c r="M6" s="75">
        <v>6601.1162109375</v>
      </c>
      <c r="N6" s="75">
        <v>627.50927734375</v>
      </c>
      <c r="O6" s="76"/>
      <c r="P6" s="77"/>
      <c r="Q6" s="77"/>
      <c r="R6" s="90"/>
      <c r="S6" s="49">
        <v>6</v>
      </c>
      <c r="T6" s="49">
        <v>1</v>
      </c>
      <c r="U6" s="50">
        <v>533.16666699999996</v>
      </c>
      <c r="V6" s="50">
        <v>0.31785200000000002</v>
      </c>
      <c r="W6" s="50">
        <v>0.10256800000000001</v>
      </c>
      <c r="X6" s="50">
        <v>1.0244E-2</v>
      </c>
      <c r="Y6" s="50">
        <v>0</v>
      </c>
      <c r="Z6" s="50">
        <v>0</v>
      </c>
      <c r="AA6" s="72">
        <v>6</v>
      </c>
      <c r="AB6" s="72"/>
      <c r="AC6" s="73"/>
      <c r="AD6" s="80" t="s">
        <v>935</v>
      </c>
      <c r="AE6" s="87" t="s">
        <v>1056</v>
      </c>
      <c r="AF6" s="80">
        <v>348</v>
      </c>
      <c r="AG6" s="80">
        <v>386</v>
      </c>
      <c r="AH6" s="80">
        <v>334</v>
      </c>
      <c r="AI6" s="80">
        <v>7</v>
      </c>
      <c r="AJ6" s="80">
        <v>159</v>
      </c>
      <c r="AK6" s="80">
        <v>42</v>
      </c>
      <c r="AL6" s="80" t="b">
        <v>0</v>
      </c>
      <c r="AM6" s="82">
        <v>42222.044212962966</v>
      </c>
      <c r="AN6" s="80"/>
      <c r="AO6" s="80" t="s">
        <v>1231</v>
      </c>
      <c r="AP6" s="85" t="str">
        <f>HYPERLINK("https://t.co/LKWyJXq3BZ")</f>
        <v>https://t.co/LKWyJXq3BZ</v>
      </c>
      <c r="AQ6" s="85" t="str">
        <f>HYPERLINK("https://mmedivision.wordpress.com")</f>
        <v>https://mmedivision.wordpress.com</v>
      </c>
      <c r="AR6" s="80" t="s">
        <v>1351</v>
      </c>
      <c r="AS6" s="80"/>
      <c r="AT6" s="80"/>
      <c r="AU6" s="80"/>
      <c r="AV6" s="80"/>
      <c r="AW6" s="85" t="str">
        <f>HYPERLINK("https://t.co/LKWyJXq3BZ")</f>
        <v>https://t.co/LKWyJXq3BZ</v>
      </c>
      <c r="AX6" s="80" t="b">
        <v>0</v>
      </c>
      <c r="AY6" s="80"/>
      <c r="AZ6" s="80"/>
      <c r="BA6" s="80" t="b">
        <v>0</v>
      </c>
      <c r="BB6" s="80" t="b">
        <v>1</v>
      </c>
      <c r="BC6" s="80" t="b">
        <v>1</v>
      </c>
      <c r="BD6" s="80" t="b">
        <v>0</v>
      </c>
      <c r="BE6" s="80" t="b">
        <v>0</v>
      </c>
      <c r="BF6" s="80" t="b">
        <v>0</v>
      </c>
      <c r="BG6" s="80" t="b">
        <v>0</v>
      </c>
      <c r="BH6" s="85" t="str">
        <f>HYPERLINK("https://pbs.twimg.com/profile_banners/3307384609/1638634576")</f>
        <v>https://pbs.twimg.com/profile_banners/3307384609/1638634576</v>
      </c>
      <c r="BI6" s="80"/>
      <c r="BJ6" s="80" t="s">
        <v>1455</v>
      </c>
      <c r="BK6" s="80" t="b">
        <v>0</v>
      </c>
      <c r="BL6" s="80"/>
      <c r="BM6" s="80" t="s">
        <v>66</v>
      </c>
      <c r="BN6" s="80" t="s">
        <v>1457</v>
      </c>
      <c r="BO6" s="85" t="str">
        <f>HYPERLINK("https://twitter.com/aejmcmmee")</f>
        <v>https://twitter.com/aejmcmmee</v>
      </c>
      <c r="BP6" s="80" t="str">
        <f>REPLACE(INDEX(GroupVertices[Group], MATCH("~"&amp;Vertices[[#This Row],[Vertex]],GroupVertices[Vertex],0)),1,1,"")</f>
        <v>10</v>
      </c>
      <c r="BQ6" s="49">
        <v>0</v>
      </c>
      <c r="BR6" s="50">
        <v>0</v>
      </c>
      <c r="BS6" s="49">
        <v>0</v>
      </c>
      <c r="BT6" s="50">
        <v>0</v>
      </c>
      <c r="BU6" s="49">
        <v>0</v>
      </c>
      <c r="BV6" s="50">
        <v>0</v>
      </c>
      <c r="BW6" s="49">
        <v>16</v>
      </c>
      <c r="BX6" s="50">
        <v>61.53846153846154</v>
      </c>
      <c r="BY6" s="49">
        <v>26</v>
      </c>
      <c r="BZ6" s="49" t="s">
        <v>9606</v>
      </c>
      <c r="CA6" s="49" t="s">
        <v>9606</v>
      </c>
      <c r="CB6" s="49" t="s">
        <v>513</v>
      </c>
      <c r="CC6" s="49" t="s">
        <v>513</v>
      </c>
      <c r="CD6" s="49"/>
      <c r="CE6" s="49"/>
      <c r="CF6" s="116" t="s">
        <v>9897</v>
      </c>
      <c r="CG6" s="116" t="s">
        <v>9897</v>
      </c>
      <c r="CH6" s="116" t="s">
        <v>9967</v>
      </c>
      <c r="CI6" s="116" t="s">
        <v>9967</v>
      </c>
      <c r="CJ6" s="2"/>
      <c r="CK6" s="3"/>
      <c r="CL6" s="3"/>
      <c r="CM6" s="3"/>
      <c r="CN6" s="3"/>
    </row>
    <row r="7" spans="1:92" x14ac:dyDescent="0.25">
      <c r="A7" s="65" t="s">
        <v>275</v>
      </c>
      <c r="B7" s="66"/>
      <c r="C7" s="66" t="s">
        <v>64</v>
      </c>
      <c r="D7" s="67">
        <v>475.3235294117647</v>
      </c>
      <c r="E7" s="69"/>
      <c r="F7" s="104" t="str">
        <f>HYPERLINK("https://pbs.twimg.com/profile_images/1453492073492008960/JvNqqE66_normal.jpg")</f>
        <v>https://pbs.twimg.com/profile_images/1453492073492008960/JvNqqE66_normal.jpg</v>
      </c>
      <c r="G7" s="66"/>
      <c r="H7" s="70" t="s">
        <v>275</v>
      </c>
      <c r="I7" s="71"/>
      <c r="J7" s="71" t="s">
        <v>75</v>
      </c>
      <c r="K7" s="70" t="s">
        <v>1461</v>
      </c>
      <c r="L7" s="74">
        <v>593.67556201088257</v>
      </c>
      <c r="M7" s="75">
        <v>4852.17236328125</v>
      </c>
      <c r="N7" s="75">
        <v>7851.93701171875</v>
      </c>
      <c r="O7" s="76"/>
      <c r="P7" s="77"/>
      <c r="Q7" s="77"/>
      <c r="R7" s="90"/>
      <c r="S7" s="49">
        <v>8</v>
      </c>
      <c r="T7" s="49">
        <v>2</v>
      </c>
      <c r="U7" s="50">
        <v>546.9</v>
      </c>
      <c r="V7" s="50">
        <v>0.34081400000000001</v>
      </c>
      <c r="W7" s="50">
        <v>0.18721299999999999</v>
      </c>
      <c r="X7" s="50">
        <v>8.9849999999999999E-3</v>
      </c>
      <c r="Y7" s="50">
        <v>0.2857142857142857</v>
      </c>
      <c r="Z7" s="50">
        <v>0.14285714285714285</v>
      </c>
      <c r="AA7" s="72">
        <v>7</v>
      </c>
      <c r="AB7" s="72"/>
      <c r="AC7" s="73"/>
      <c r="AD7" s="80" t="s">
        <v>936</v>
      </c>
      <c r="AE7" s="87" t="s">
        <v>1057</v>
      </c>
      <c r="AF7" s="80">
        <v>1864</v>
      </c>
      <c r="AG7" s="80">
        <v>1689</v>
      </c>
      <c r="AH7" s="80">
        <v>7883</v>
      </c>
      <c r="AI7" s="80">
        <v>24</v>
      </c>
      <c r="AJ7" s="80">
        <v>14677</v>
      </c>
      <c r="AK7" s="80">
        <v>274</v>
      </c>
      <c r="AL7" s="80" t="b">
        <v>0</v>
      </c>
      <c r="AM7" s="82">
        <v>40478.692430555559</v>
      </c>
      <c r="AN7" s="80" t="s">
        <v>1162</v>
      </c>
      <c r="AO7" s="80" t="s">
        <v>1232</v>
      </c>
      <c r="AP7" s="85" t="str">
        <f>HYPERLINK("https://t.co/BcqfANDRqu")</f>
        <v>https://t.co/BcqfANDRqu</v>
      </c>
      <c r="AQ7" s="85" t="str">
        <f>HYPERLINK("https://greenlee.iastate.edu/danielad/")</f>
        <v>https://greenlee.iastate.edu/danielad/</v>
      </c>
      <c r="AR7" s="80" t="s">
        <v>1352</v>
      </c>
      <c r="AS7" s="80"/>
      <c r="AT7" s="80"/>
      <c r="AU7" s="80"/>
      <c r="AV7" s="80"/>
      <c r="AW7" s="85" t="str">
        <f>HYPERLINK("https://t.co/BcqfANDRqu")</f>
        <v>https://t.co/BcqfANDRqu</v>
      </c>
      <c r="AX7" s="80" t="b">
        <v>0</v>
      </c>
      <c r="AY7" s="80" t="b">
        <v>1</v>
      </c>
      <c r="AZ7" s="80" t="b">
        <v>1</v>
      </c>
      <c r="BA7" s="80" t="b">
        <v>1</v>
      </c>
      <c r="BB7" s="80" t="b">
        <v>1</v>
      </c>
      <c r="BC7" s="80" t="b">
        <v>0</v>
      </c>
      <c r="BD7" s="80" t="b">
        <v>0</v>
      </c>
      <c r="BE7" s="80" t="b">
        <v>0</v>
      </c>
      <c r="BF7" s="80" t="b">
        <v>0</v>
      </c>
      <c r="BG7" s="80" t="b">
        <v>0</v>
      </c>
      <c r="BH7" s="85" t="str">
        <f>HYPERLINK("https://pbs.twimg.com/profile_banners/208629545/1630258976")</f>
        <v>https://pbs.twimg.com/profile_banners/208629545/1630258976</v>
      </c>
      <c r="BI7" s="80"/>
      <c r="BJ7" s="80" t="s">
        <v>1455</v>
      </c>
      <c r="BK7" s="80" t="b">
        <v>1</v>
      </c>
      <c r="BL7" s="80"/>
      <c r="BM7" s="80" t="s">
        <v>66</v>
      </c>
      <c r="BN7" s="80" t="s">
        <v>1457</v>
      </c>
      <c r="BO7" s="85" t="str">
        <f>HYPERLINK("https://twitter.com/prof_dimitrova")</f>
        <v>https://twitter.com/prof_dimitrova</v>
      </c>
      <c r="BP7" s="80" t="str">
        <f>REPLACE(INDEX(GroupVertices[Group], MATCH("~"&amp;Vertices[[#This Row],[Vertex]],GroupVertices[Vertex],0)),1,1,"")</f>
        <v>3</v>
      </c>
      <c r="BQ7" s="49">
        <v>2</v>
      </c>
      <c r="BR7" s="50">
        <v>3.9215686274509802</v>
      </c>
      <c r="BS7" s="49">
        <v>1</v>
      </c>
      <c r="BT7" s="50">
        <v>1.9607843137254901</v>
      </c>
      <c r="BU7" s="49">
        <v>0</v>
      </c>
      <c r="BV7" s="50">
        <v>0</v>
      </c>
      <c r="BW7" s="49">
        <v>29</v>
      </c>
      <c r="BX7" s="50">
        <v>56.862745098039213</v>
      </c>
      <c r="BY7" s="49">
        <v>51</v>
      </c>
      <c r="BZ7" s="49" t="s">
        <v>9850</v>
      </c>
      <c r="CA7" s="49" t="s">
        <v>9861</v>
      </c>
      <c r="CB7" s="49" t="s">
        <v>506</v>
      </c>
      <c r="CC7" s="49" t="s">
        <v>506</v>
      </c>
      <c r="CD7" s="49" t="s">
        <v>484</v>
      </c>
      <c r="CE7" s="49" t="s">
        <v>9886</v>
      </c>
      <c r="CF7" s="116" t="s">
        <v>9898</v>
      </c>
      <c r="CG7" s="116" t="s">
        <v>9955</v>
      </c>
      <c r="CH7" s="116" t="s">
        <v>9968</v>
      </c>
      <c r="CI7" s="116" t="s">
        <v>10023</v>
      </c>
      <c r="CJ7" s="2"/>
      <c r="CK7" s="3"/>
      <c r="CL7" s="3"/>
      <c r="CM7" s="3"/>
      <c r="CN7" s="3"/>
    </row>
    <row r="8" spans="1:92" x14ac:dyDescent="0.25">
      <c r="A8" s="65" t="s">
        <v>249</v>
      </c>
      <c r="B8" s="66"/>
      <c r="C8" s="66" t="s">
        <v>64</v>
      </c>
      <c r="D8" s="67">
        <v>800</v>
      </c>
      <c r="E8" s="69"/>
      <c r="F8" s="104" t="str">
        <f>HYPERLINK("https://pbs.twimg.com/profile_images/1297970849820147712/3xME2yZ6_normal.jpg")</f>
        <v>https://pbs.twimg.com/profile_images/1297970849820147712/3xME2yZ6_normal.jpg</v>
      </c>
      <c r="G8" s="66"/>
      <c r="H8" s="70" t="s">
        <v>249</v>
      </c>
      <c r="I8" s="71"/>
      <c r="J8" s="71" t="s">
        <v>75</v>
      </c>
      <c r="K8" s="70" t="s">
        <v>1462</v>
      </c>
      <c r="L8" s="74">
        <v>1835.6680761197945</v>
      </c>
      <c r="M8" s="75">
        <v>4455.2568359375</v>
      </c>
      <c r="N8" s="75">
        <v>8414.208984375</v>
      </c>
      <c r="O8" s="76"/>
      <c r="P8" s="77"/>
      <c r="Q8" s="77"/>
      <c r="R8" s="90"/>
      <c r="S8" s="49">
        <v>11</v>
      </c>
      <c r="T8" s="49">
        <v>12</v>
      </c>
      <c r="U8" s="50">
        <v>1692.9666669999999</v>
      </c>
      <c r="V8" s="50">
        <v>0.35710799999999998</v>
      </c>
      <c r="W8" s="50">
        <v>0.27575300000000003</v>
      </c>
      <c r="X8" s="50">
        <v>1.3485E-2</v>
      </c>
      <c r="Y8" s="50">
        <v>7.6190476190476197E-2</v>
      </c>
      <c r="Z8" s="50">
        <v>0.4</v>
      </c>
      <c r="AA8" s="72">
        <v>8</v>
      </c>
      <c r="AB8" s="72"/>
      <c r="AC8" s="73"/>
      <c r="AD8" s="80" t="s">
        <v>937</v>
      </c>
      <c r="AE8" s="87" t="s">
        <v>876</v>
      </c>
      <c r="AF8" s="80">
        <v>1527</v>
      </c>
      <c r="AG8" s="80">
        <v>44</v>
      </c>
      <c r="AH8" s="80">
        <v>468</v>
      </c>
      <c r="AI8" s="80">
        <v>23</v>
      </c>
      <c r="AJ8" s="80">
        <v>423</v>
      </c>
      <c r="AK8" s="80">
        <v>163</v>
      </c>
      <c r="AL8" s="80" t="b">
        <v>0</v>
      </c>
      <c r="AM8" s="82">
        <v>44067.781168981484</v>
      </c>
      <c r="AN8" s="80"/>
      <c r="AO8" s="80" t="s">
        <v>1233</v>
      </c>
      <c r="AP8" s="85" t="str">
        <f>HYPERLINK("https://t.co/tfi2hz4Jpc")</f>
        <v>https://t.co/tfi2hz4Jpc</v>
      </c>
      <c r="AQ8" s="85" t="str">
        <f>HYPERLINK("https://journals.sagepub.com/home/jmq")</f>
        <v>https://journals.sagepub.com/home/jmq</v>
      </c>
      <c r="AR8" s="80" t="s">
        <v>1353</v>
      </c>
      <c r="AS8" s="80"/>
      <c r="AT8" s="80"/>
      <c r="AU8" s="80"/>
      <c r="AV8" s="80"/>
      <c r="AW8" s="85" t="str">
        <f>HYPERLINK("https://t.co/tfi2hz4Jpc")</f>
        <v>https://t.co/tfi2hz4Jpc</v>
      </c>
      <c r="AX8" s="80" t="b">
        <v>0</v>
      </c>
      <c r="AY8" s="80"/>
      <c r="AZ8" s="80"/>
      <c r="BA8" s="80" t="b">
        <v>0</v>
      </c>
      <c r="BB8" s="80" t="b">
        <v>1</v>
      </c>
      <c r="BC8" s="80" t="b">
        <v>1</v>
      </c>
      <c r="BD8" s="80" t="b">
        <v>0</v>
      </c>
      <c r="BE8" s="80" t="b">
        <v>1</v>
      </c>
      <c r="BF8" s="80" t="b">
        <v>0</v>
      </c>
      <c r="BG8" s="80" t="b">
        <v>0</v>
      </c>
      <c r="BH8" s="85" t="str">
        <f>HYPERLINK("https://pbs.twimg.com/profile_banners/1297967885072072711/1598389591")</f>
        <v>https://pbs.twimg.com/profile_banners/1297967885072072711/1598389591</v>
      </c>
      <c r="BI8" s="80"/>
      <c r="BJ8" s="80" t="s">
        <v>1455</v>
      </c>
      <c r="BK8" s="80" t="b">
        <v>0</v>
      </c>
      <c r="BL8" s="80"/>
      <c r="BM8" s="80" t="s">
        <v>66</v>
      </c>
      <c r="BN8" s="80" t="s">
        <v>1457</v>
      </c>
      <c r="BO8" s="85" t="str">
        <f>HYPERLINK("https://twitter.com/jmcquarterly")</f>
        <v>https://twitter.com/jmcquarterly</v>
      </c>
      <c r="BP8" s="80" t="str">
        <f>REPLACE(INDEX(GroupVertices[Group], MATCH("~"&amp;Vertices[[#This Row],[Vertex]],GroupVertices[Vertex],0)),1,1,"")</f>
        <v>3</v>
      </c>
      <c r="BQ8" s="49">
        <v>11</v>
      </c>
      <c r="BR8" s="50">
        <v>5.4726368159203984</v>
      </c>
      <c r="BS8" s="49">
        <v>5</v>
      </c>
      <c r="BT8" s="50">
        <v>2.4875621890547261</v>
      </c>
      <c r="BU8" s="49">
        <v>0</v>
      </c>
      <c r="BV8" s="50">
        <v>0</v>
      </c>
      <c r="BW8" s="49">
        <v>127</v>
      </c>
      <c r="BX8" s="50">
        <v>63.184079601990049</v>
      </c>
      <c r="BY8" s="49">
        <v>201</v>
      </c>
      <c r="BZ8" s="49" t="s">
        <v>9851</v>
      </c>
      <c r="CA8" s="49" t="s">
        <v>9862</v>
      </c>
      <c r="CB8" s="49" t="s">
        <v>506</v>
      </c>
      <c r="CC8" s="49" t="s">
        <v>506</v>
      </c>
      <c r="CD8" s="49" t="s">
        <v>9879</v>
      </c>
      <c r="CE8" s="49" t="s">
        <v>9887</v>
      </c>
      <c r="CF8" s="116" t="s">
        <v>9899</v>
      </c>
      <c r="CG8" s="116" t="s">
        <v>9956</v>
      </c>
      <c r="CH8" s="116" t="s">
        <v>9969</v>
      </c>
      <c r="CI8" s="116" t="s">
        <v>9969</v>
      </c>
      <c r="CJ8" s="2"/>
      <c r="CK8" s="3"/>
      <c r="CL8" s="3"/>
      <c r="CM8" s="3"/>
      <c r="CN8" s="3"/>
    </row>
    <row r="9" spans="1:92" x14ac:dyDescent="0.25">
      <c r="A9" s="65" t="s">
        <v>242</v>
      </c>
      <c r="B9" s="66"/>
      <c r="C9" s="66" t="s">
        <v>64</v>
      </c>
      <c r="D9" s="67">
        <v>100</v>
      </c>
      <c r="E9" s="69"/>
      <c r="F9" s="104" t="str">
        <f>HYPERLINK("https://pbs.twimg.com/profile_images/1688156554258771969/atYOIiFN_normal.jpg")</f>
        <v>https://pbs.twimg.com/profile_images/1688156554258771969/atYOIiFN_normal.jpg</v>
      </c>
      <c r="G9" s="66"/>
      <c r="H9" s="70" t="s">
        <v>242</v>
      </c>
      <c r="I9" s="71"/>
      <c r="J9" s="71" t="s">
        <v>159</v>
      </c>
      <c r="K9" s="70" t="s">
        <v>1463</v>
      </c>
      <c r="L9" s="74">
        <v>1</v>
      </c>
      <c r="M9" s="75">
        <v>4014.270751953125</v>
      </c>
      <c r="N9" s="75">
        <v>9555.158203125</v>
      </c>
      <c r="O9" s="76"/>
      <c r="P9" s="77"/>
      <c r="Q9" s="77"/>
      <c r="R9" s="90"/>
      <c r="S9" s="49">
        <v>0</v>
      </c>
      <c r="T9" s="49">
        <v>1</v>
      </c>
      <c r="U9" s="50">
        <v>0</v>
      </c>
      <c r="V9" s="50">
        <v>0.25249100000000002</v>
      </c>
      <c r="W9" s="50">
        <v>3.3702999999999997E-2</v>
      </c>
      <c r="X9" s="50">
        <v>6.9810000000000002E-3</v>
      </c>
      <c r="Y9" s="50">
        <v>0</v>
      </c>
      <c r="Z9" s="50">
        <v>0</v>
      </c>
      <c r="AA9" s="72">
        <v>9</v>
      </c>
      <c r="AB9" s="72"/>
      <c r="AC9" s="73"/>
      <c r="AD9" s="80" t="s">
        <v>938</v>
      </c>
      <c r="AE9" s="87" t="s">
        <v>1058</v>
      </c>
      <c r="AF9" s="80">
        <v>426</v>
      </c>
      <c r="AG9" s="80">
        <v>1531</v>
      </c>
      <c r="AH9" s="80">
        <v>756</v>
      </c>
      <c r="AI9" s="80">
        <v>9</v>
      </c>
      <c r="AJ9" s="80">
        <v>853</v>
      </c>
      <c r="AK9" s="80">
        <v>20</v>
      </c>
      <c r="AL9" s="80" t="b">
        <v>0</v>
      </c>
      <c r="AM9" s="82">
        <v>42134.729328703703</v>
      </c>
      <c r="AN9" s="80" t="s">
        <v>1163</v>
      </c>
      <c r="AO9" s="80" t="s">
        <v>1234</v>
      </c>
      <c r="AP9" s="85" t="str">
        <f>HYPERLINK("https://t.co/A967FJMW4d")</f>
        <v>https://t.co/A967FJMW4d</v>
      </c>
      <c r="AQ9" s="85" t="str">
        <f>HYPERLINK("http://mahedikabir.com")</f>
        <v>http://mahedikabir.com</v>
      </c>
      <c r="AR9" s="80" t="s">
        <v>1354</v>
      </c>
      <c r="AS9" s="80"/>
      <c r="AT9" s="80"/>
      <c r="AU9" s="80"/>
      <c r="AV9" s="80"/>
      <c r="AW9" s="85" t="str">
        <f>HYPERLINK("https://t.co/A967FJMW4d")</f>
        <v>https://t.co/A967FJMW4d</v>
      </c>
      <c r="AX9" s="80" t="b">
        <v>0</v>
      </c>
      <c r="AY9" s="80"/>
      <c r="AZ9" s="80"/>
      <c r="BA9" s="80" t="b">
        <v>0</v>
      </c>
      <c r="BB9" s="80" t="b">
        <v>1</v>
      </c>
      <c r="BC9" s="80" t="b">
        <v>0</v>
      </c>
      <c r="BD9" s="80" t="b">
        <v>0</v>
      </c>
      <c r="BE9" s="80" t="b">
        <v>0</v>
      </c>
      <c r="BF9" s="80" t="b">
        <v>0</v>
      </c>
      <c r="BG9" s="80" t="b">
        <v>0</v>
      </c>
      <c r="BH9" s="85" t="str">
        <f>HYPERLINK("https://pbs.twimg.com/profile_banners/3190959720/1691322862")</f>
        <v>https://pbs.twimg.com/profile_banners/3190959720/1691322862</v>
      </c>
      <c r="BI9" s="80"/>
      <c r="BJ9" s="80" t="s">
        <v>1455</v>
      </c>
      <c r="BK9" s="80" t="b">
        <v>0</v>
      </c>
      <c r="BL9" s="80"/>
      <c r="BM9" s="80" t="s">
        <v>66</v>
      </c>
      <c r="BN9" s="80" t="s">
        <v>1457</v>
      </c>
      <c r="BO9" s="85" t="str">
        <f>HYPERLINK("https://twitter.com/mahedikabir2")</f>
        <v>https://twitter.com/mahedikabir2</v>
      </c>
      <c r="BP9" s="80" t="str">
        <f>REPLACE(INDEX(GroupVertices[Group], MATCH("~"&amp;Vertices[[#This Row],[Vertex]],GroupVertices[Vertex],0)),1,1,"")</f>
        <v>3</v>
      </c>
      <c r="BQ9" s="49">
        <v>3</v>
      </c>
      <c r="BR9" s="50">
        <v>12.5</v>
      </c>
      <c r="BS9" s="49">
        <v>0</v>
      </c>
      <c r="BT9" s="50">
        <v>0</v>
      </c>
      <c r="BU9" s="49">
        <v>0</v>
      </c>
      <c r="BV9" s="50">
        <v>0</v>
      </c>
      <c r="BW9" s="49">
        <v>9</v>
      </c>
      <c r="BX9" s="50">
        <v>37.5</v>
      </c>
      <c r="BY9" s="49">
        <v>24</v>
      </c>
      <c r="BZ9" s="49"/>
      <c r="CA9" s="49"/>
      <c r="CB9" s="49"/>
      <c r="CC9" s="49"/>
      <c r="CD9" s="49" t="s">
        <v>470</v>
      </c>
      <c r="CE9" s="49" t="s">
        <v>470</v>
      </c>
      <c r="CF9" s="116" t="s">
        <v>9900</v>
      </c>
      <c r="CG9" s="116" t="s">
        <v>9900</v>
      </c>
      <c r="CH9" s="116" t="s">
        <v>9970</v>
      </c>
      <c r="CI9" s="116" t="s">
        <v>9970</v>
      </c>
      <c r="CJ9" s="2"/>
      <c r="CK9" s="3"/>
      <c r="CL9" s="3"/>
      <c r="CM9" s="3"/>
      <c r="CN9" s="3"/>
    </row>
    <row r="10" spans="1:92" x14ac:dyDescent="0.25">
      <c r="A10" s="65" t="s">
        <v>243</v>
      </c>
      <c r="B10" s="66"/>
      <c r="C10" s="66" t="s">
        <v>64</v>
      </c>
      <c r="D10" s="67">
        <v>177.89215686274508</v>
      </c>
      <c r="E10" s="69"/>
      <c r="F10" s="104" t="str">
        <f>HYPERLINK("https://pbs.twimg.com/profile_images/1297592333769285636/k5jGNyBy_normal.jpg")</f>
        <v>https://pbs.twimg.com/profile_images/1297592333769285636/k5jGNyBy_normal.jpg</v>
      </c>
      <c r="G10" s="66"/>
      <c r="H10" s="70" t="s">
        <v>243</v>
      </c>
      <c r="I10" s="71"/>
      <c r="J10" s="71" t="s">
        <v>75</v>
      </c>
      <c r="K10" s="70" t="s">
        <v>1464</v>
      </c>
      <c r="L10" s="74">
        <v>123.99995664332633</v>
      </c>
      <c r="M10" s="75">
        <v>1074.9193115234375</v>
      </c>
      <c r="N10" s="75">
        <v>3096.94580078125</v>
      </c>
      <c r="O10" s="76"/>
      <c r="P10" s="77"/>
      <c r="Q10" s="77"/>
      <c r="R10" s="90"/>
      <c r="S10" s="49">
        <v>4</v>
      </c>
      <c r="T10" s="49">
        <v>4</v>
      </c>
      <c r="U10" s="50">
        <v>113.5</v>
      </c>
      <c r="V10" s="50">
        <v>0.31785200000000002</v>
      </c>
      <c r="W10" s="50">
        <v>0.13780200000000001</v>
      </c>
      <c r="X10" s="50">
        <v>8.5710000000000005E-3</v>
      </c>
      <c r="Y10" s="50">
        <v>0.35</v>
      </c>
      <c r="Z10" s="50">
        <v>0.2</v>
      </c>
      <c r="AA10" s="72">
        <v>10</v>
      </c>
      <c r="AB10" s="72"/>
      <c r="AC10" s="73"/>
      <c r="AD10" s="80" t="s">
        <v>939</v>
      </c>
      <c r="AE10" s="87" t="s">
        <v>1059</v>
      </c>
      <c r="AF10" s="80">
        <v>27703</v>
      </c>
      <c r="AG10" s="80">
        <v>7645</v>
      </c>
      <c r="AH10" s="80">
        <v>16677</v>
      </c>
      <c r="AI10" s="80">
        <v>560</v>
      </c>
      <c r="AJ10" s="80">
        <v>4785</v>
      </c>
      <c r="AK10" s="80">
        <v>2998</v>
      </c>
      <c r="AL10" s="80" t="b">
        <v>0</v>
      </c>
      <c r="AM10" s="82">
        <v>39541.794479166667</v>
      </c>
      <c r="AN10" s="80" t="s">
        <v>1164</v>
      </c>
      <c r="AO10" s="80" t="s">
        <v>1235</v>
      </c>
      <c r="AP10" s="85" t="str">
        <f>HYPERLINK("https://t.co/6Zyw4cH6I0")</f>
        <v>https://t.co/6Zyw4cH6I0</v>
      </c>
      <c r="AQ10" s="85" t="str">
        <f>HYPERLINK("https://newhouse.syracuse.edu/")</f>
        <v>https://newhouse.syracuse.edu/</v>
      </c>
      <c r="AR10" s="80" t="s">
        <v>1355</v>
      </c>
      <c r="AS10" s="80"/>
      <c r="AT10" s="80"/>
      <c r="AU10" s="80"/>
      <c r="AV10" s="80"/>
      <c r="AW10" s="85" t="str">
        <f>HYPERLINK("https://t.co/6Zyw4cH6I0")</f>
        <v>https://t.co/6Zyw4cH6I0</v>
      </c>
      <c r="AX10" s="80" t="b">
        <v>0</v>
      </c>
      <c r="AY10" s="80"/>
      <c r="AZ10" s="80"/>
      <c r="BA10" s="80" t="b">
        <v>0</v>
      </c>
      <c r="BB10" s="80" t="b">
        <v>1</v>
      </c>
      <c r="BC10" s="80" t="b">
        <v>0</v>
      </c>
      <c r="BD10" s="80" t="b">
        <v>0</v>
      </c>
      <c r="BE10" s="80" t="b">
        <v>0</v>
      </c>
      <c r="BF10" s="80" t="b">
        <v>0</v>
      </c>
      <c r="BG10" s="80" t="b">
        <v>0</v>
      </c>
      <c r="BH10" s="85" t="str">
        <f>HYPERLINK("https://pbs.twimg.com/profile_banners/14295896/1698802163")</f>
        <v>https://pbs.twimg.com/profile_banners/14295896/1698802163</v>
      </c>
      <c r="BI10" s="80"/>
      <c r="BJ10" s="80" t="s">
        <v>1455</v>
      </c>
      <c r="BK10" s="80" t="b">
        <v>0</v>
      </c>
      <c r="BL10" s="80"/>
      <c r="BM10" s="80" t="s">
        <v>66</v>
      </c>
      <c r="BN10" s="80" t="s">
        <v>1457</v>
      </c>
      <c r="BO10" s="85" t="str">
        <f>HYPERLINK("https://twitter.com/newhousesu")</f>
        <v>https://twitter.com/newhousesu</v>
      </c>
      <c r="BP10" s="80" t="str">
        <f>REPLACE(INDEX(GroupVertices[Group], MATCH("~"&amp;Vertices[[#This Row],[Vertex]],GroupVertices[Vertex],0)),1,1,"")</f>
        <v>1</v>
      </c>
      <c r="BQ10" s="49">
        <v>1</v>
      </c>
      <c r="BR10" s="50">
        <v>4.166666666666667</v>
      </c>
      <c r="BS10" s="49">
        <v>0</v>
      </c>
      <c r="BT10" s="50">
        <v>0</v>
      </c>
      <c r="BU10" s="49">
        <v>0</v>
      </c>
      <c r="BV10" s="50">
        <v>0</v>
      </c>
      <c r="BW10" s="49">
        <v>14</v>
      </c>
      <c r="BX10" s="50">
        <v>58.333333333333336</v>
      </c>
      <c r="BY10" s="49">
        <v>24</v>
      </c>
      <c r="BZ10" s="49" t="s">
        <v>9852</v>
      </c>
      <c r="CA10" s="49" t="s">
        <v>9852</v>
      </c>
      <c r="CB10" s="49" t="s">
        <v>497</v>
      </c>
      <c r="CC10" s="49" t="s">
        <v>497</v>
      </c>
      <c r="CD10" s="49" t="s">
        <v>471</v>
      </c>
      <c r="CE10" s="49" t="s">
        <v>471</v>
      </c>
      <c r="CF10" s="116" t="s">
        <v>9901</v>
      </c>
      <c r="CG10" s="116" t="s">
        <v>9901</v>
      </c>
      <c r="CH10" s="116" t="s">
        <v>9971</v>
      </c>
      <c r="CI10" s="116" t="s">
        <v>9971</v>
      </c>
      <c r="CJ10" s="2"/>
      <c r="CK10" s="3"/>
      <c r="CL10" s="3"/>
      <c r="CM10" s="3"/>
      <c r="CN10" s="3"/>
    </row>
    <row r="11" spans="1:92" x14ac:dyDescent="0.25">
      <c r="A11" s="65" t="s">
        <v>309</v>
      </c>
      <c r="B11" s="66"/>
      <c r="C11" s="66" t="s">
        <v>64</v>
      </c>
      <c r="D11" s="67">
        <v>100</v>
      </c>
      <c r="E11" s="69"/>
      <c r="F11" s="104" t="str">
        <f>HYPERLINK("https://pbs.twimg.com/profile_images/378800000694446301/0e06de093d5addd88bfa3879df440b4d_normal.png")</f>
        <v>https://pbs.twimg.com/profile_images/378800000694446301/0e06de093d5addd88bfa3879df440b4d_normal.png</v>
      </c>
      <c r="G11" s="66"/>
      <c r="H11" s="70" t="s">
        <v>309</v>
      </c>
      <c r="I11" s="71"/>
      <c r="J11" s="71" t="s">
        <v>159</v>
      </c>
      <c r="K11" s="70" t="s">
        <v>1465</v>
      </c>
      <c r="L11" s="74">
        <v>1</v>
      </c>
      <c r="M11" s="75">
        <v>895.6832275390625</v>
      </c>
      <c r="N11" s="75">
        <v>4896.62939453125</v>
      </c>
      <c r="O11" s="76"/>
      <c r="P11" s="77"/>
      <c r="Q11" s="77"/>
      <c r="R11" s="90"/>
      <c r="S11" s="49">
        <v>2</v>
      </c>
      <c r="T11" s="49">
        <v>0</v>
      </c>
      <c r="U11" s="50">
        <v>0</v>
      </c>
      <c r="V11" s="50">
        <v>0.232816</v>
      </c>
      <c r="W11" s="50">
        <v>2.8365999999999999E-2</v>
      </c>
      <c r="X11" s="50">
        <v>7.4549999999999998E-3</v>
      </c>
      <c r="Y11" s="50">
        <v>1</v>
      </c>
      <c r="Z11" s="50">
        <v>0</v>
      </c>
      <c r="AA11" s="72">
        <v>11</v>
      </c>
      <c r="AB11" s="72"/>
      <c r="AC11" s="73"/>
      <c r="AD11" s="80" t="s">
        <v>940</v>
      </c>
      <c r="AE11" s="87" t="s">
        <v>1060</v>
      </c>
      <c r="AF11" s="80">
        <v>1539</v>
      </c>
      <c r="AG11" s="80">
        <v>57</v>
      </c>
      <c r="AH11" s="80">
        <v>2110</v>
      </c>
      <c r="AI11" s="80">
        <v>51</v>
      </c>
      <c r="AJ11" s="80">
        <v>127</v>
      </c>
      <c r="AK11" s="80">
        <v>610</v>
      </c>
      <c r="AL11" s="80" t="b">
        <v>0</v>
      </c>
      <c r="AM11" s="82">
        <v>40122.817372685182</v>
      </c>
      <c r="AN11" s="80" t="s">
        <v>1165</v>
      </c>
      <c r="AO11" s="80" t="s">
        <v>1236</v>
      </c>
      <c r="AP11" s="85" t="str">
        <f>HYPERLINK("http://t.co/TZFXjT99JD")</f>
        <v>http://t.co/TZFXjT99JD</v>
      </c>
      <c r="AQ11" s="85" t="str">
        <f>HYPERLINK("http://www.cpoy.org")</f>
        <v>http://www.cpoy.org</v>
      </c>
      <c r="AR11" s="80" t="s">
        <v>1356</v>
      </c>
      <c r="AS11" s="80"/>
      <c r="AT11" s="80"/>
      <c r="AU11" s="80"/>
      <c r="AV11" s="80"/>
      <c r="AW11" s="85" t="str">
        <f>HYPERLINK("http://t.co/TZFXjT99JD")</f>
        <v>http://t.co/TZFXjT99JD</v>
      </c>
      <c r="AX11" s="80" t="b">
        <v>0</v>
      </c>
      <c r="AY11" s="80"/>
      <c r="AZ11" s="80"/>
      <c r="BA11" s="80" t="b">
        <v>0</v>
      </c>
      <c r="BB11" s="80" t="b">
        <v>1</v>
      </c>
      <c r="BC11" s="80" t="b">
        <v>0</v>
      </c>
      <c r="BD11" s="80" t="b">
        <v>0</v>
      </c>
      <c r="BE11" s="80" t="b">
        <v>0</v>
      </c>
      <c r="BF11" s="80" t="b">
        <v>0</v>
      </c>
      <c r="BG11" s="80" t="b">
        <v>0</v>
      </c>
      <c r="BH11" s="80"/>
      <c r="BI11" s="80"/>
      <c r="BJ11" s="80" t="s">
        <v>1455</v>
      </c>
      <c r="BK11" s="80" t="b">
        <v>0</v>
      </c>
      <c r="BL11" s="80"/>
      <c r="BM11" s="80" t="s">
        <v>65</v>
      </c>
      <c r="BN11" s="80" t="s">
        <v>1457</v>
      </c>
      <c r="BO11" s="85" t="str">
        <f>HYPERLINK("https://twitter.com/collegephotog")</f>
        <v>https://twitter.com/collegephotog</v>
      </c>
      <c r="BP11" s="80" t="str">
        <f>REPLACE(INDEX(GroupVertices[Group], MATCH("~"&amp;Vertices[[#This Row],[Vertex]],GroupVertices[Vertex],0)),1,1,"")</f>
        <v>1</v>
      </c>
      <c r="BQ11" s="49"/>
      <c r="BR11" s="50"/>
      <c r="BS11" s="49"/>
      <c r="BT11" s="50"/>
      <c r="BU11" s="49"/>
      <c r="BV11" s="50"/>
      <c r="BW11" s="49"/>
      <c r="BX11" s="50"/>
      <c r="BY11" s="49"/>
      <c r="BZ11" s="49"/>
      <c r="CA11" s="49"/>
      <c r="CB11" s="49"/>
      <c r="CC11" s="49"/>
      <c r="CD11" s="49"/>
      <c r="CE11" s="49"/>
      <c r="CF11" s="49"/>
      <c r="CG11" s="49"/>
      <c r="CH11" s="49"/>
      <c r="CI11" s="49"/>
      <c r="CJ11" s="2"/>
      <c r="CK11" s="3"/>
      <c r="CL11" s="3"/>
      <c r="CM11" s="3"/>
      <c r="CN11" s="3"/>
    </row>
    <row r="12" spans="1:92" x14ac:dyDescent="0.25">
      <c r="A12" s="65" t="s">
        <v>244</v>
      </c>
      <c r="B12" s="66"/>
      <c r="C12" s="66" t="s">
        <v>64</v>
      </c>
      <c r="D12" s="67">
        <v>166.91176470588235</v>
      </c>
      <c r="E12" s="69"/>
      <c r="F12" s="104" t="str">
        <f>HYPERLINK("https://pbs.twimg.com/profile_images/1531774008953282561/q_a9l7rN_normal.jpg")</f>
        <v>https://pbs.twimg.com/profile_images/1531774008953282561/q_a9l7rN_normal.jpg</v>
      </c>
      <c r="G12" s="66"/>
      <c r="H12" s="70" t="s">
        <v>244</v>
      </c>
      <c r="I12" s="71"/>
      <c r="J12" s="71" t="s">
        <v>75</v>
      </c>
      <c r="K12" s="70" t="s">
        <v>1466</v>
      </c>
      <c r="L12" s="74">
        <v>106.66075570682219</v>
      </c>
      <c r="M12" s="75">
        <v>1275.467529296875</v>
      </c>
      <c r="N12" s="75">
        <v>4205.7890625</v>
      </c>
      <c r="O12" s="76"/>
      <c r="P12" s="77"/>
      <c r="Q12" s="77"/>
      <c r="R12" s="90"/>
      <c r="S12" s="49">
        <v>1</v>
      </c>
      <c r="T12" s="49">
        <v>3</v>
      </c>
      <c r="U12" s="50">
        <v>97.5</v>
      </c>
      <c r="V12" s="50">
        <v>0.31231399999999998</v>
      </c>
      <c r="W12" s="50">
        <v>9.4284000000000007E-2</v>
      </c>
      <c r="X12" s="50">
        <v>7.711E-3</v>
      </c>
      <c r="Y12" s="50">
        <v>0.33333333333333331</v>
      </c>
      <c r="Z12" s="50">
        <v>0.33333333333333331</v>
      </c>
      <c r="AA12" s="72">
        <v>12</v>
      </c>
      <c r="AB12" s="72"/>
      <c r="AC12" s="73"/>
      <c r="AD12" s="80" t="s">
        <v>941</v>
      </c>
      <c r="AE12" s="87" t="s">
        <v>1061</v>
      </c>
      <c r="AF12" s="80">
        <v>1978</v>
      </c>
      <c r="AG12" s="80">
        <v>3718</v>
      </c>
      <c r="AH12" s="80">
        <v>50000</v>
      </c>
      <c r="AI12" s="80">
        <v>13</v>
      </c>
      <c r="AJ12" s="80">
        <v>48543</v>
      </c>
      <c r="AK12" s="80">
        <v>2243</v>
      </c>
      <c r="AL12" s="80" t="b">
        <v>0</v>
      </c>
      <c r="AM12" s="82">
        <v>40814.460104166668</v>
      </c>
      <c r="AN12" s="80"/>
      <c r="AO12" s="80" t="s">
        <v>1237</v>
      </c>
      <c r="AP12" s="85" t="str">
        <f>HYPERLINK("https://t.co/XsedFyYlaf")</f>
        <v>https://t.co/XsedFyYlaf</v>
      </c>
      <c r="AQ12" s="85" t="str">
        <f>HYPERLINK("https://www.i35photography.com")</f>
        <v>https://www.i35photography.com</v>
      </c>
      <c r="AR12" s="80" t="s">
        <v>1357</v>
      </c>
      <c r="AS12" s="80"/>
      <c r="AT12" s="80"/>
      <c r="AU12" s="80"/>
      <c r="AV12" s="80"/>
      <c r="AW12" s="85" t="str">
        <f>HYPERLINK("https://t.co/XsedFyYlaf")</f>
        <v>https://t.co/XsedFyYlaf</v>
      </c>
      <c r="AX12" s="80" t="b">
        <v>0</v>
      </c>
      <c r="AY12" s="80"/>
      <c r="AZ12" s="80"/>
      <c r="BA12" s="80" t="b">
        <v>1</v>
      </c>
      <c r="BB12" s="80" t="b">
        <v>0</v>
      </c>
      <c r="BC12" s="80" t="b">
        <v>0</v>
      </c>
      <c r="BD12" s="80" t="b">
        <v>0</v>
      </c>
      <c r="BE12" s="80" t="b">
        <v>1</v>
      </c>
      <c r="BF12" s="80" t="b">
        <v>0</v>
      </c>
      <c r="BG12" s="80" t="b">
        <v>0</v>
      </c>
      <c r="BH12" s="85" t="str">
        <f>HYPERLINK("https://pbs.twimg.com/profile_banners/381453828/1676006466")</f>
        <v>https://pbs.twimg.com/profile_banners/381453828/1676006466</v>
      </c>
      <c r="BI12" s="80"/>
      <c r="BJ12" s="80" t="s">
        <v>1455</v>
      </c>
      <c r="BK12" s="80" t="b">
        <v>0</v>
      </c>
      <c r="BL12" s="80"/>
      <c r="BM12" s="80" t="s">
        <v>66</v>
      </c>
      <c r="BN12" s="80" t="s">
        <v>1457</v>
      </c>
      <c r="BO12" s="85" t="str">
        <f>HYPERLINK("https://twitter.com/isaiah_photo")</f>
        <v>https://twitter.com/isaiah_photo</v>
      </c>
      <c r="BP12" s="80" t="str">
        <f>REPLACE(INDEX(GroupVertices[Group], MATCH("~"&amp;Vertices[[#This Row],[Vertex]],GroupVertices[Vertex],0)),1,1,"")</f>
        <v>1</v>
      </c>
      <c r="BQ12" s="49">
        <v>1</v>
      </c>
      <c r="BR12" s="50">
        <v>4.7619047619047619</v>
      </c>
      <c r="BS12" s="49">
        <v>0</v>
      </c>
      <c r="BT12" s="50">
        <v>0</v>
      </c>
      <c r="BU12" s="49">
        <v>0</v>
      </c>
      <c r="BV12" s="50">
        <v>0</v>
      </c>
      <c r="BW12" s="49">
        <v>9</v>
      </c>
      <c r="BX12" s="50">
        <v>42.857142857142854</v>
      </c>
      <c r="BY12" s="49">
        <v>21</v>
      </c>
      <c r="BZ12" s="49"/>
      <c r="CA12" s="49"/>
      <c r="CB12" s="49"/>
      <c r="CC12" s="49"/>
      <c r="CD12" s="49"/>
      <c r="CE12" s="49"/>
      <c r="CF12" s="116" t="s">
        <v>9902</v>
      </c>
      <c r="CG12" s="116" t="s">
        <v>9902</v>
      </c>
      <c r="CH12" s="116" t="s">
        <v>9972</v>
      </c>
      <c r="CI12" s="116" t="s">
        <v>9972</v>
      </c>
      <c r="CJ12" s="2"/>
      <c r="CK12" s="3"/>
      <c r="CL12" s="3"/>
      <c r="CM12" s="3"/>
      <c r="CN12" s="3"/>
    </row>
    <row r="13" spans="1:92" x14ac:dyDescent="0.25">
      <c r="A13" s="65" t="s">
        <v>268</v>
      </c>
      <c r="B13" s="66"/>
      <c r="C13" s="66" t="s">
        <v>64</v>
      </c>
      <c r="D13" s="67">
        <v>800</v>
      </c>
      <c r="E13" s="69"/>
      <c r="F13" s="104" t="str">
        <f>HYPERLINK("https://pbs.twimg.com/profile_images/1559584982439444482/vOVkFGh3_normal.png")</f>
        <v>https://pbs.twimg.com/profile_images/1559584982439444482/vOVkFGh3_normal.png</v>
      </c>
      <c r="G13" s="66"/>
      <c r="H13" s="70" t="s">
        <v>268</v>
      </c>
      <c r="I13" s="71"/>
      <c r="J13" s="71" t="s">
        <v>75</v>
      </c>
      <c r="K13" s="70" t="s">
        <v>1467</v>
      </c>
      <c r="L13" s="74">
        <v>9999</v>
      </c>
      <c r="M13" s="75">
        <v>1499.9898681640625</v>
      </c>
      <c r="N13" s="75">
        <v>2962.600830078125</v>
      </c>
      <c r="O13" s="76"/>
      <c r="P13" s="77"/>
      <c r="Q13" s="77"/>
      <c r="R13" s="90"/>
      <c r="S13" s="49">
        <v>25</v>
      </c>
      <c r="T13" s="49">
        <v>18</v>
      </c>
      <c r="U13" s="50">
        <v>9225.7999999999993</v>
      </c>
      <c r="V13" s="50">
        <v>0.481904</v>
      </c>
      <c r="W13" s="50">
        <v>0.60524299999999998</v>
      </c>
      <c r="X13" s="50">
        <v>2.0480000000000002E-2</v>
      </c>
      <c r="Y13" s="50">
        <v>3.0952380952380953E-2</v>
      </c>
      <c r="Z13" s="50">
        <v>0.1388888888888889</v>
      </c>
      <c r="AA13" s="72">
        <v>13</v>
      </c>
      <c r="AB13" s="72"/>
      <c r="AC13" s="73"/>
      <c r="AD13" s="80" t="s">
        <v>942</v>
      </c>
      <c r="AE13" s="87" t="s">
        <v>877</v>
      </c>
      <c r="AF13" s="80">
        <v>15416</v>
      </c>
      <c r="AG13" s="80">
        <v>4513</v>
      </c>
      <c r="AH13" s="80">
        <v>38327</v>
      </c>
      <c r="AI13" s="80">
        <v>817</v>
      </c>
      <c r="AJ13" s="80">
        <v>37517</v>
      </c>
      <c r="AK13" s="80">
        <v>1317</v>
      </c>
      <c r="AL13" s="80" t="b">
        <v>0</v>
      </c>
      <c r="AM13" s="82">
        <v>39320.643750000003</v>
      </c>
      <c r="AN13" s="80" t="s">
        <v>1166</v>
      </c>
      <c r="AO13" s="80" t="s">
        <v>1238</v>
      </c>
      <c r="AP13" s="85" t="str">
        <f>HYPERLINK("https://t.co/xOHo2b2AAd")</f>
        <v>https://t.co/xOHo2b2AAd</v>
      </c>
      <c r="AQ13" s="85" t="str">
        <f>HYPERLINK("http://www.aejmc.org")</f>
        <v>http://www.aejmc.org</v>
      </c>
      <c r="AR13" s="80" t="s">
        <v>503</v>
      </c>
      <c r="AS13" s="80"/>
      <c r="AT13" s="80"/>
      <c r="AU13" s="80"/>
      <c r="AV13" s="80"/>
      <c r="AW13" s="85" t="str">
        <f>HYPERLINK("https://t.co/xOHo2b2AAd")</f>
        <v>https://t.co/xOHo2b2AAd</v>
      </c>
      <c r="AX13" s="80" t="b">
        <v>0</v>
      </c>
      <c r="AY13" s="80" t="b">
        <v>1</v>
      </c>
      <c r="AZ13" s="80" t="b">
        <v>1</v>
      </c>
      <c r="BA13" s="80" t="b">
        <v>1</v>
      </c>
      <c r="BB13" s="80" t="b">
        <v>1</v>
      </c>
      <c r="BC13" s="80" t="b">
        <v>0</v>
      </c>
      <c r="BD13" s="80" t="b">
        <v>0</v>
      </c>
      <c r="BE13" s="80" t="b">
        <v>1</v>
      </c>
      <c r="BF13" s="80" t="b">
        <v>0</v>
      </c>
      <c r="BG13" s="80" t="b">
        <v>0</v>
      </c>
      <c r="BH13" s="85" t="str">
        <f>HYPERLINK("https://pbs.twimg.com/profile_banners/8442592/1697134096")</f>
        <v>https://pbs.twimg.com/profile_banners/8442592/1697134096</v>
      </c>
      <c r="BI13" s="80"/>
      <c r="BJ13" s="80" t="s">
        <v>1455</v>
      </c>
      <c r="BK13" s="80" t="b">
        <v>1</v>
      </c>
      <c r="BL13" s="80"/>
      <c r="BM13" s="80" t="s">
        <v>66</v>
      </c>
      <c r="BN13" s="80" t="s">
        <v>1457</v>
      </c>
      <c r="BO13" s="85" t="str">
        <f>HYPERLINK("https://twitter.com/aejmc")</f>
        <v>https://twitter.com/aejmc</v>
      </c>
      <c r="BP13" s="80" t="str">
        <f>REPLACE(INDEX(GroupVertices[Group], MATCH("~"&amp;Vertices[[#This Row],[Vertex]],GroupVertices[Vertex],0)),1,1,"")</f>
        <v>1</v>
      </c>
      <c r="BQ13" s="49">
        <v>25</v>
      </c>
      <c r="BR13" s="50">
        <v>5.112474437627812</v>
      </c>
      <c r="BS13" s="49">
        <v>4</v>
      </c>
      <c r="BT13" s="50">
        <v>0.81799591002044991</v>
      </c>
      <c r="BU13" s="49">
        <v>0</v>
      </c>
      <c r="BV13" s="50">
        <v>0</v>
      </c>
      <c r="BW13" s="49">
        <v>268</v>
      </c>
      <c r="BX13" s="50">
        <v>54.805725971370144</v>
      </c>
      <c r="BY13" s="49">
        <v>489</v>
      </c>
      <c r="BZ13" s="49" t="s">
        <v>9853</v>
      </c>
      <c r="CA13" s="49" t="s">
        <v>9863</v>
      </c>
      <c r="CB13" s="49" t="s">
        <v>9869</v>
      </c>
      <c r="CC13" s="49" t="s">
        <v>9869</v>
      </c>
      <c r="CD13" s="49" t="s">
        <v>9880</v>
      </c>
      <c r="CE13" s="49" t="s">
        <v>9888</v>
      </c>
      <c r="CF13" s="116" t="s">
        <v>9903</v>
      </c>
      <c r="CG13" s="116" t="s">
        <v>9957</v>
      </c>
      <c r="CH13" s="116" t="s">
        <v>9973</v>
      </c>
      <c r="CI13" s="116" t="s">
        <v>10024</v>
      </c>
      <c r="CJ13" s="2"/>
      <c r="CK13" s="3"/>
      <c r="CL13" s="3"/>
      <c r="CM13" s="3"/>
      <c r="CN13" s="3"/>
    </row>
    <row r="14" spans="1:92" x14ac:dyDescent="0.25">
      <c r="A14" s="65" t="s">
        <v>245</v>
      </c>
      <c r="B14" s="66"/>
      <c r="C14" s="66" t="s">
        <v>64</v>
      </c>
      <c r="D14" s="67">
        <v>101.37254901960785</v>
      </c>
      <c r="E14" s="69"/>
      <c r="F14" s="104" t="str">
        <f>HYPERLINK("https://pbs.twimg.com/profile_images/506305736834428928/l7hB0YVf_normal.jpeg")</f>
        <v>https://pbs.twimg.com/profile_images/506305736834428928/l7hB0YVf_normal.jpeg</v>
      </c>
      <c r="G14" s="66"/>
      <c r="H14" s="70" t="s">
        <v>245</v>
      </c>
      <c r="I14" s="71"/>
      <c r="J14" s="71" t="s">
        <v>75</v>
      </c>
      <c r="K14" s="70" t="s">
        <v>1468</v>
      </c>
      <c r="L14" s="74">
        <v>3.167400117063019</v>
      </c>
      <c r="M14" s="75">
        <v>7413.87548828125</v>
      </c>
      <c r="N14" s="75">
        <v>591.504638671875</v>
      </c>
      <c r="O14" s="76"/>
      <c r="P14" s="77"/>
      <c r="Q14" s="77"/>
      <c r="R14" s="90"/>
      <c r="S14" s="49">
        <v>0</v>
      </c>
      <c r="T14" s="49">
        <v>2</v>
      </c>
      <c r="U14" s="50">
        <v>2</v>
      </c>
      <c r="V14" s="50">
        <v>1.626E-2</v>
      </c>
      <c r="W14" s="50">
        <v>0</v>
      </c>
      <c r="X14" s="50">
        <v>9.1160000000000008E-3</v>
      </c>
      <c r="Y14" s="50">
        <v>0</v>
      </c>
      <c r="Z14" s="50">
        <v>0</v>
      </c>
      <c r="AA14" s="72">
        <v>14</v>
      </c>
      <c r="AB14" s="72"/>
      <c r="AC14" s="73"/>
      <c r="AD14" s="80" t="s">
        <v>943</v>
      </c>
      <c r="AE14" s="87" t="s">
        <v>1062</v>
      </c>
      <c r="AF14" s="80">
        <v>3583</v>
      </c>
      <c r="AG14" s="80">
        <v>5003</v>
      </c>
      <c r="AH14" s="80">
        <v>81944</v>
      </c>
      <c r="AI14" s="80">
        <v>175</v>
      </c>
      <c r="AJ14" s="80">
        <v>55260</v>
      </c>
      <c r="AK14" s="80">
        <v>3671</v>
      </c>
      <c r="AL14" s="80" t="b">
        <v>0</v>
      </c>
      <c r="AM14" s="82">
        <v>39886.596747685187</v>
      </c>
      <c r="AN14" s="80" t="s">
        <v>1167</v>
      </c>
      <c r="AO14" s="80" t="s">
        <v>1239</v>
      </c>
      <c r="AP14" s="80"/>
      <c r="AQ14" s="80"/>
      <c r="AR14" s="80"/>
      <c r="AS14" s="80"/>
      <c r="AT14" s="80"/>
      <c r="AU14" s="80"/>
      <c r="AV14" s="80"/>
      <c r="AW14" s="80"/>
      <c r="AX14" s="80" t="b">
        <v>0</v>
      </c>
      <c r="AY14" s="80"/>
      <c r="AZ14" s="80"/>
      <c r="BA14" s="80" t="b">
        <v>0</v>
      </c>
      <c r="BB14" s="80" t="b">
        <v>1</v>
      </c>
      <c r="BC14" s="80" t="b">
        <v>0</v>
      </c>
      <c r="BD14" s="80" t="b">
        <v>0</v>
      </c>
      <c r="BE14" s="80" t="b">
        <v>1</v>
      </c>
      <c r="BF14" s="80" t="b">
        <v>0</v>
      </c>
      <c r="BG14" s="80" t="b">
        <v>0</v>
      </c>
      <c r="BH14" s="80"/>
      <c r="BI14" s="80"/>
      <c r="BJ14" s="80" t="s">
        <v>1455</v>
      </c>
      <c r="BK14" s="80" t="b">
        <v>0</v>
      </c>
      <c r="BL14" s="80"/>
      <c r="BM14" s="80" t="s">
        <v>66</v>
      </c>
      <c r="BN14" s="80" t="s">
        <v>1457</v>
      </c>
      <c r="BO14" s="85" t="str">
        <f>HYPERLINK("https://twitter.com/profkakie")</f>
        <v>https://twitter.com/profkakie</v>
      </c>
      <c r="BP14" s="80" t="str">
        <f>REPLACE(INDEX(GroupVertices[Group], MATCH("~"&amp;Vertices[[#This Row],[Vertex]],GroupVertices[Vertex],0)),1,1,"")</f>
        <v>12</v>
      </c>
      <c r="BQ14" s="49">
        <v>0</v>
      </c>
      <c r="BR14" s="50">
        <v>0</v>
      </c>
      <c r="BS14" s="49">
        <v>0</v>
      </c>
      <c r="BT14" s="50">
        <v>0</v>
      </c>
      <c r="BU14" s="49">
        <v>0</v>
      </c>
      <c r="BV14" s="50">
        <v>0</v>
      </c>
      <c r="BW14" s="49">
        <v>7</v>
      </c>
      <c r="BX14" s="50">
        <v>63.636363636363633</v>
      </c>
      <c r="BY14" s="49">
        <v>11</v>
      </c>
      <c r="BZ14" s="49"/>
      <c r="CA14" s="49"/>
      <c r="CB14" s="49"/>
      <c r="CC14" s="49"/>
      <c r="CD14" s="49"/>
      <c r="CE14" s="49"/>
      <c r="CF14" s="116" t="s">
        <v>9904</v>
      </c>
      <c r="CG14" s="116" t="s">
        <v>9904</v>
      </c>
      <c r="CH14" s="116" t="s">
        <v>9974</v>
      </c>
      <c r="CI14" s="116" t="s">
        <v>9974</v>
      </c>
      <c r="CJ14" s="2"/>
      <c r="CK14" s="3"/>
      <c r="CL14" s="3"/>
      <c r="CM14" s="3"/>
      <c r="CN14" s="3"/>
    </row>
    <row r="15" spans="1:92" x14ac:dyDescent="0.25">
      <c r="A15" s="65" t="s">
        <v>310</v>
      </c>
      <c r="B15" s="66"/>
      <c r="C15" s="66" t="s">
        <v>64</v>
      </c>
      <c r="D15" s="67">
        <v>100</v>
      </c>
      <c r="E15" s="69"/>
      <c r="F15" s="104" t="str">
        <f>HYPERLINK("https://pbs.twimg.com/profile_images/1712162906731667456/nQYNoeWj_normal.jpg")</f>
        <v>https://pbs.twimg.com/profile_images/1712162906731667456/nQYNoeWj_normal.jpg</v>
      </c>
      <c r="G15" s="66"/>
      <c r="H15" s="70" t="s">
        <v>310</v>
      </c>
      <c r="I15" s="71"/>
      <c r="J15" s="71" t="s">
        <v>159</v>
      </c>
      <c r="K15" s="70" t="s">
        <v>1469</v>
      </c>
      <c r="L15" s="74">
        <v>1</v>
      </c>
      <c r="M15" s="75">
        <v>7413.87548828125</v>
      </c>
      <c r="N15" s="75">
        <v>1363.0323486328125</v>
      </c>
      <c r="O15" s="76"/>
      <c r="P15" s="77"/>
      <c r="Q15" s="77"/>
      <c r="R15" s="90"/>
      <c r="S15" s="49">
        <v>1</v>
      </c>
      <c r="T15" s="49">
        <v>0</v>
      </c>
      <c r="U15" s="50">
        <v>0</v>
      </c>
      <c r="V15" s="50">
        <v>1.0840000000000001E-2</v>
      </c>
      <c r="W15" s="50">
        <v>0</v>
      </c>
      <c r="X15" s="50">
        <v>7.5389999999999997E-3</v>
      </c>
      <c r="Y15" s="50">
        <v>0</v>
      </c>
      <c r="Z15" s="50">
        <v>0</v>
      </c>
      <c r="AA15" s="72">
        <v>15</v>
      </c>
      <c r="AB15" s="72"/>
      <c r="AC15" s="73"/>
      <c r="AD15" s="80" t="s">
        <v>944</v>
      </c>
      <c r="AE15" s="87" t="s">
        <v>1063</v>
      </c>
      <c r="AF15" s="80">
        <v>1370</v>
      </c>
      <c r="AG15" s="80">
        <v>712</v>
      </c>
      <c r="AH15" s="80">
        <v>3173</v>
      </c>
      <c r="AI15" s="80">
        <v>5</v>
      </c>
      <c r="AJ15" s="80">
        <v>5950</v>
      </c>
      <c r="AK15" s="80">
        <v>27</v>
      </c>
      <c r="AL15" s="80" t="b">
        <v>0</v>
      </c>
      <c r="AM15" s="82">
        <v>41800.886597222219</v>
      </c>
      <c r="AN15" s="80" t="s">
        <v>1168</v>
      </c>
      <c r="AO15" s="80" t="s">
        <v>1240</v>
      </c>
      <c r="AP15" s="80"/>
      <c r="AQ15" s="80"/>
      <c r="AR15" s="80"/>
      <c r="AS15" s="80"/>
      <c r="AT15" s="80"/>
      <c r="AU15" s="80"/>
      <c r="AV15" s="80"/>
      <c r="AW15" s="80"/>
      <c r="AX15" s="80" t="b">
        <v>0</v>
      </c>
      <c r="AY15" s="80"/>
      <c r="AZ15" s="80"/>
      <c r="BA15" s="80" t="b">
        <v>0</v>
      </c>
      <c r="BB15" s="80" t="b">
        <v>1</v>
      </c>
      <c r="BC15" s="80" t="b">
        <v>1</v>
      </c>
      <c r="BD15" s="80" t="b">
        <v>0</v>
      </c>
      <c r="BE15" s="80" t="b">
        <v>1</v>
      </c>
      <c r="BF15" s="80" t="b">
        <v>0</v>
      </c>
      <c r="BG15" s="80" t="b">
        <v>0</v>
      </c>
      <c r="BH15" s="85" t="str">
        <f>HYPERLINK("https://pbs.twimg.com/profile_banners/2559933110/1619707902")</f>
        <v>https://pbs.twimg.com/profile_banners/2559933110/1619707902</v>
      </c>
      <c r="BI15" s="80"/>
      <c r="BJ15" s="80" t="s">
        <v>1455</v>
      </c>
      <c r="BK15" s="80" t="b">
        <v>0</v>
      </c>
      <c r="BL15" s="80"/>
      <c r="BM15" s="80" t="s">
        <v>65</v>
      </c>
      <c r="BN15" s="80" t="s">
        <v>1457</v>
      </c>
      <c r="BO15" s="85" t="str">
        <f>HYPERLINK("https://twitter.com/azhanitealer")</f>
        <v>https://twitter.com/azhanitealer</v>
      </c>
      <c r="BP15" s="80" t="str">
        <f>REPLACE(INDEX(GroupVertices[Group], MATCH("~"&amp;Vertices[[#This Row],[Vertex]],GroupVertices[Vertex],0)),1,1,"")</f>
        <v>12</v>
      </c>
      <c r="BQ15" s="49"/>
      <c r="BR15" s="50"/>
      <c r="BS15" s="49"/>
      <c r="BT15" s="50"/>
      <c r="BU15" s="49"/>
      <c r="BV15" s="50"/>
      <c r="BW15" s="49"/>
      <c r="BX15" s="50"/>
      <c r="BY15" s="49"/>
      <c r="BZ15" s="49"/>
      <c r="CA15" s="49"/>
      <c r="CB15" s="49"/>
      <c r="CC15" s="49"/>
      <c r="CD15" s="49"/>
      <c r="CE15" s="49"/>
      <c r="CF15" s="49"/>
      <c r="CG15" s="49"/>
      <c r="CH15" s="49"/>
      <c r="CI15" s="49"/>
      <c r="CJ15" s="2"/>
      <c r="CK15" s="3"/>
      <c r="CL15" s="3"/>
      <c r="CM15" s="3"/>
      <c r="CN15" s="3"/>
    </row>
    <row r="16" spans="1:92" x14ac:dyDescent="0.25">
      <c r="A16" s="65" t="s">
        <v>311</v>
      </c>
      <c r="B16" s="66"/>
      <c r="C16" s="66" t="s">
        <v>64</v>
      </c>
      <c r="D16" s="67">
        <v>100</v>
      </c>
      <c r="E16" s="69"/>
      <c r="F16" s="104" t="str">
        <f>HYPERLINK("https://pbs.twimg.com/profile_images/1699960677455048704/Y2YYrosn_normal.jpg")</f>
        <v>https://pbs.twimg.com/profile_images/1699960677455048704/Y2YYrosn_normal.jpg</v>
      </c>
      <c r="G16" s="66"/>
      <c r="H16" s="70" t="s">
        <v>311</v>
      </c>
      <c r="I16" s="71"/>
      <c r="J16" s="71" t="s">
        <v>159</v>
      </c>
      <c r="K16" s="70" t="s">
        <v>1470</v>
      </c>
      <c r="L16" s="74">
        <v>1</v>
      </c>
      <c r="M16" s="75">
        <v>8008.0791015625</v>
      </c>
      <c r="N16" s="75">
        <v>1363.0323486328125</v>
      </c>
      <c r="O16" s="76"/>
      <c r="P16" s="77"/>
      <c r="Q16" s="77"/>
      <c r="R16" s="90"/>
      <c r="S16" s="49">
        <v>1</v>
      </c>
      <c r="T16" s="49">
        <v>0</v>
      </c>
      <c r="U16" s="50">
        <v>0</v>
      </c>
      <c r="V16" s="50">
        <v>1.0840000000000001E-2</v>
      </c>
      <c r="W16" s="50">
        <v>0</v>
      </c>
      <c r="X16" s="50">
        <v>7.5389999999999997E-3</v>
      </c>
      <c r="Y16" s="50">
        <v>0</v>
      </c>
      <c r="Z16" s="50">
        <v>0</v>
      </c>
      <c r="AA16" s="72">
        <v>16</v>
      </c>
      <c r="AB16" s="72"/>
      <c r="AC16" s="73"/>
      <c r="AD16" s="80" t="s">
        <v>945</v>
      </c>
      <c r="AE16" s="87" t="s">
        <v>875</v>
      </c>
      <c r="AF16" s="80">
        <v>1904</v>
      </c>
      <c r="AG16" s="80">
        <v>3218</v>
      </c>
      <c r="AH16" s="80">
        <v>3061</v>
      </c>
      <c r="AI16" s="80">
        <v>24</v>
      </c>
      <c r="AJ16" s="80">
        <v>4880</v>
      </c>
      <c r="AK16" s="80">
        <v>235</v>
      </c>
      <c r="AL16" s="80" t="b">
        <v>0</v>
      </c>
      <c r="AM16" s="82">
        <v>40778.921458333331</v>
      </c>
      <c r="AN16" s="80"/>
      <c r="AO16" s="80" t="s">
        <v>1241</v>
      </c>
      <c r="AP16" s="80"/>
      <c r="AQ16" s="80"/>
      <c r="AR16" s="80"/>
      <c r="AS16" s="80"/>
      <c r="AT16" s="80"/>
      <c r="AU16" s="80"/>
      <c r="AV16" s="80"/>
      <c r="AW16" s="80"/>
      <c r="AX16" s="80" t="b">
        <v>0</v>
      </c>
      <c r="AY16" s="80"/>
      <c r="AZ16" s="80"/>
      <c r="BA16" s="80" t="b">
        <v>0</v>
      </c>
      <c r="BB16" s="80" t="b">
        <v>0</v>
      </c>
      <c r="BC16" s="80" t="b">
        <v>0</v>
      </c>
      <c r="BD16" s="80" t="b">
        <v>0</v>
      </c>
      <c r="BE16" s="80" t="b">
        <v>0</v>
      </c>
      <c r="BF16" s="80" t="b">
        <v>0</v>
      </c>
      <c r="BG16" s="80" t="b">
        <v>0</v>
      </c>
      <c r="BH16" s="85" t="str">
        <f>HYPERLINK("https://pbs.twimg.com/profile_banners/360870749/1536182307")</f>
        <v>https://pbs.twimg.com/profile_banners/360870749/1536182307</v>
      </c>
      <c r="BI16" s="80"/>
      <c r="BJ16" s="80" t="s">
        <v>1455</v>
      </c>
      <c r="BK16" s="80" t="b">
        <v>0</v>
      </c>
      <c r="BL16" s="80"/>
      <c r="BM16" s="80" t="s">
        <v>65</v>
      </c>
      <c r="BN16" s="80" t="s">
        <v>1457</v>
      </c>
      <c r="BO16" s="85" t="str">
        <f>HYPERLINK("https://twitter.com/shannonscovel")</f>
        <v>https://twitter.com/shannonscovel</v>
      </c>
      <c r="BP16" s="80" t="str">
        <f>REPLACE(INDEX(GroupVertices[Group], MATCH("~"&amp;Vertices[[#This Row],[Vertex]],GroupVertices[Vertex],0)),1,1,"")</f>
        <v>12</v>
      </c>
      <c r="BQ16" s="49"/>
      <c r="BR16" s="50"/>
      <c r="BS16" s="49"/>
      <c r="BT16" s="50"/>
      <c r="BU16" s="49"/>
      <c r="BV16" s="50"/>
      <c r="BW16" s="49"/>
      <c r="BX16" s="50"/>
      <c r="BY16" s="49"/>
      <c r="BZ16" s="49"/>
      <c r="CA16" s="49"/>
      <c r="CB16" s="49"/>
      <c r="CC16" s="49"/>
      <c r="CD16" s="49"/>
      <c r="CE16" s="49"/>
      <c r="CF16" s="49"/>
      <c r="CG16" s="49"/>
      <c r="CH16" s="49"/>
      <c r="CI16" s="49"/>
      <c r="CJ16" s="2"/>
      <c r="CK16" s="3"/>
      <c r="CL16" s="3"/>
      <c r="CM16" s="3"/>
      <c r="CN16" s="3"/>
    </row>
    <row r="17" spans="1:92" x14ac:dyDescent="0.25">
      <c r="A17" s="65" t="s">
        <v>246</v>
      </c>
      <c r="B17" s="66"/>
      <c r="C17" s="66" t="s">
        <v>64</v>
      </c>
      <c r="D17" s="67">
        <v>100</v>
      </c>
      <c r="E17" s="69"/>
      <c r="F17" s="104" t="str">
        <f>HYPERLINK("https://pbs.twimg.com/profile_images/1323088857424867329/wUJsjb2M_normal.jpg")</f>
        <v>https://pbs.twimg.com/profile_images/1323088857424867329/wUJsjb2M_normal.jpg</v>
      </c>
      <c r="G17" s="66"/>
      <c r="H17" s="70" t="s">
        <v>246</v>
      </c>
      <c r="I17" s="71"/>
      <c r="J17" s="71" t="s">
        <v>159</v>
      </c>
      <c r="K17" s="70" t="s">
        <v>1471</v>
      </c>
      <c r="L17" s="74">
        <v>1</v>
      </c>
      <c r="M17" s="75">
        <v>8551.0576171875</v>
      </c>
      <c r="N17" s="75">
        <v>5678.4443359375</v>
      </c>
      <c r="O17" s="76"/>
      <c r="P17" s="77"/>
      <c r="Q17" s="77"/>
      <c r="R17" s="90"/>
      <c r="S17" s="49">
        <v>0</v>
      </c>
      <c r="T17" s="49">
        <v>2</v>
      </c>
      <c r="U17" s="50">
        <v>0</v>
      </c>
      <c r="V17" s="50">
        <v>0.23161300000000001</v>
      </c>
      <c r="W17" s="50">
        <v>1.1310000000000001E-2</v>
      </c>
      <c r="X17" s="50">
        <v>7.4920000000000004E-3</v>
      </c>
      <c r="Y17" s="50">
        <v>1</v>
      </c>
      <c r="Z17" s="50">
        <v>0</v>
      </c>
      <c r="AA17" s="72">
        <v>17</v>
      </c>
      <c r="AB17" s="72"/>
      <c r="AC17" s="73"/>
      <c r="AD17" s="80" t="s">
        <v>946</v>
      </c>
      <c r="AE17" s="87" t="s">
        <v>1064</v>
      </c>
      <c r="AF17" s="80">
        <v>1396</v>
      </c>
      <c r="AG17" s="80">
        <v>741</v>
      </c>
      <c r="AH17" s="80">
        <v>2321</v>
      </c>
      <c r="AI17" s="80">
        <v>88</v>
      </c>
      <c r="AJ17" s="80">
        <v>1579</v>
      </c>
      <c r="AK17" s="80">
        <v>278</v>
      </c>
      <c r="AL17" s="80" t="b">
        <v>0</v>
      </c>
      <c r="AM17" s="82">
        <v>40648.71125</v>
      </c>
      <c r="AN17" s="80" t="s">
        <v>1169</v>
      </c>
      <c r="AO17" s="80" t="s">
        <v>1242</v>
      </c>
      <c r="AP17" s="85" t="str">
        <f>HYPERLINK("https://t.co/yS1MCe6sps")</f>
        <v>https://t.co/yS1MCe6sps</v>
      </c>
      <c r="AQ17" s="85" t="str">
        <f>HYPERLINK("https://bu.academia.edu/MichelleAmazeen")</f>
        <v>https://bu.academia.edu/MichelleAmazeen</v>
      </c>
      <c r="AR17" s="80" t="s">
        <v>1358</v>
      </c>
      <c r="AS17" s="80"/>
      <c r="AT17" s="80"/>
      <c r="AU17" s="80"/>
      <c r="AV17" s="80">
        <v>1.7179067083228101E+18</v>
      </c>
      <c r="AW17" s="85" t="str">
        <f>HYPERLINK("https://t.co/yS1MCe6sps")</f>
        <v>https://t.co/yS1MCe6sps</v>
      </c>
      <c r="AX17" s="80" t="b">
        <v>0</v>
      </c>
      <c r="AY17" s="80"/>
      <c r="AZ17" s="80"/>
      <c r="BA17" s="80" t="b">
        <v>0</v>
      </c>
      <c r="BB17" s="80" t="b">
        <v>0</v>
      </c>
      <c r="BC17" s="80" t="b">
        <v>1</v>
      </c>
      <c r="BD17" s="80" t="b">
        <v>0</v>
      </c>
      <c r="BE17" s="80" t="b">
        <v>1</v>
      </c>
      <c r="BF17" s="80" t="b">
        <v>0</v>
      </c>
      <c r="BG17" s="80" t="b">
        <v>0</v>
      </c>
      <c r="BH17" s="85" t="str">
        <f>HYPERLINK("https://pbs.twimg.com/profile_banners/282661518/1604283942")</f>
        <v>https://pbs.twimg.com/profile_banners/282661518/1604283942</v>
      </c>
      <c r="BI17" s="80"/>
      <c r="BJ17" s="80" t="s">
        <v>1455</v>
      </c>
      <c r="BK17" s="80" t="b">
        <v>0</v>
      </c>
      <c r="BL17" s="80"/>
      <c r="BM17" s="80" t="s">
        <v>66</v>
      </c>
      <c r="BN17" s="80" t="s">
        <v>1457</v>
      </c>
      <c r="BO17" s="85" t="str">
        <f>HYPERLINK("https://twitter.com/commscholar")</f>
        <v>https://twitter.com/commscholar</v>
      </c>
      <c r="BP17" s="80" t="str">
        <f>REPLACE(INDEX(GroupVertices[Group], MATCH("~"&amp;Vertices[[#This Row],[Vertex]],GroupVertices[Vertex],0)),1,1,"")</f>
        <v>8</v>
      </c>
      <c r="BQ17" s="49">
        <v>2</v>
      </c>
      <c r="BR17" s="50">
        <v>9.5238095238095237</v>
      </c>
      <c r="BS17" s="49">
        <v>0</v>
      </c>
      <c r="BT17" s="50">
        <v>0</v>
      </c>
      <c r="BU17" s="49">
        <v>0</v>
      </c>
      <c r="BV17" s="50">
        <v>0</v>
      </c>
      <c r="BW17" s="49">
        <v>12</v>
      </c>
      <c r="BX17" s="50">
        <v>57.142857142857146</v>
      </c>
      <c r="BY17" s="49">
        <v>21</v>
      </c>
      <c r="BZ17" s="49"/>
      <c r="CA17" s="49"/>
      <c r="CB17" s="49"/>
      <c r="CC17" s="49"/>
      <c r="CD17" s="49"/>
      <c r="CE17" s="49"/>
      <c r="CF17" s="116" t="s">
        <v>9905</v>
      </c>
      <c r="CG17" s="116" t="s">
        <v>9905</v>
      </c>
      <c r="CH17" s="116" t="s">
        <v>9975</v>
      </c>
      <c r="CI17" s="116" t="s">
        <v>9975</v>
      </c>
      <c r="CJ17" s="2"/>
      <c r="CK17" s="3"/>
      <c r="CL17" s="3"/>
      <c r="CM17" s="3"/>
      <c r="CN17" s="3"/>
    </row>
    <row r="18" spans="1:92" x14ac:dyDescent="0.25">
      <c r="A18" s="65" t="s">
        <v>304</v>
      </c>
      <c r="B18" s="66"/>
      <c r="C18" s="66" t="s">
        <v>64</v>
      </c>
      <c r="D18" s="67">
        <v>100.68627450980392</v>
      </c>
      <c r="E18" s="69"/>
      <c r="F18" s="104" t="str">
        <f>HYPERLINK("https://pbs.twimg.com/profile_images/1545128935477940225/brWstWwf_normal.png")</f>
        <v>https://pbs.twimg.com/profile_images/1545128935477940225/brWstWwf_normal.png</v>
      </c>
      <c r="G18" s="66"/>
      <c r="H18" s="70" t="s">
        <v>304</v>
      </c>
      <c r="I18" s="71"/>
      <c r="J18" s="71" t="s">
        <v>159</v>
      </c>
      <c r="K18" s="70" t="s">
        <v>1472</v>
      </c>
      <c r="L18" s="74">
        <v>2.0837000585315097</v>
      </c>
      <c r="M18" s="75">
        <v>8934.203125</v>
      </c>
      <c r="N18" s="75">
        <v>4066.7587890625</v>
      </c>
      <c r="O18" s="76"/>
      <c r="P18" s="77"/>
      <c r="Q18" s="77"/>
      <c r="R18" s="90"/>
      <c r="S18" s="49">
        <v>4</v>
      </c>
      <c r="T18" s="49">
        <v>2</v>
      </c>
      <c r="U18" s="50">
        <v>1</v>
      </c>
      <c r="V18" s="50">
        <v>0.232213</v>
      </c>
      <c r="W18" s="50">
        <v>1.4074E-2</v>
      </c>
      <c r="X18" s="50">
        <v>8.6160000000000004E-3</v>
      </c>
      <c r="Y18" s="50">
        <v>0.33333333333333331</v>
      </c>
      <c r="Z18" s="50">
        <v>0.33333333333333331</v>
      </c>
      <c r="AA18" s="72">
        <v>18</v>
      </c>
      <c r="AB18" s="72"/>
      <c r="AC18" s="73"/>
      <c r="AD18" s="80" t="s">
        <v>947</v>
      </c>
      <c r="AE18" s="87" t="s">
        <v>893</v>
      </c>
      <c r="AF18" s="80">
        <v>1567</v>
      </c>
      <c r="AG18" s="80">
        <v>370</v>
      </c>
      <c r="AH18" s="80">
        <v>2733</v>
      </c>
      <c r="AI18" s="80">
        <v>37</v>
      </c>
      <c r="AJ18" s="80">
        <v>3632</v>
      </c>
      <c r="AK18" s="80">
        <v>248</v>
      </c>
      <c r="AL18" s="80" t="b">
        <v>0</v>
      </c>
      <c r="AM18" s="82">
        <v>42642.687731481485</v>
      </c>
      <c r="AN18" s="80" t="s">
        <v>1170</v>
      </c>
      <c r="AO18" s="80" t="s">
        <v>1243</v>
      </c>
      <c r="AP18" s="85" t="str">
        <f>HYPERLINK("https://t.co/TgYB7PGonL")</f>
        <v>https://t.co/TgYB7PGonL</v>
      </c>
      <c r="AQ18" s="85" t="str">
        <f>HYPERLINK("https://www.bu.edu/igs")</f>
        <v>https://www.bu.edu/igs</v>
      </c>
      <c r="AR18" s="80" t="s">
        <v>1359</v>
      </c>
      <c r="AS18" s="80"/>
      <c r="AT18" s="80"/>
      <c r="AU18" s="80"/>
      <c r="AV18" s="80"/>
      <c r="AW18" s="85" t="str">
        <f>HYPERLINK("https://t.co/TgYB7PGonL")</f>
        <v>https://t.co/TgYB7PGonL</v>
      </c>
      <c r="AX18" s="80" t="b">
        <v>0</v>
      </c>
      <c r="AY18" s="80"/>
      <c r="AZ18" s="80"/>
      <c r="BA18" s="80" t="b">
        <v>0</v>
      </c>
      <c r="BB18" s="80" t="b">
        <v>1</v>
      </c>
      <c r="BC18" s="80" t="b">
        <v>0</v>
      </c>
      <c r="BD18" s="80" t="b">
        <v>0</v>
      </c>
      <c r="BE18" s="80" t="b">
        <v>1</v>
      </c>
      <c r="BF18" s="80" t="b">
        <v>0</v>
      </c>
      <c r="BG18" s="80" t="b">
        <v>0</v>
      </c>
      <c r="BH18" s="85" t="str">
        <f>HYPERLINK("https://pbs.twimg.com/profile_banners/781531567155998720/1657222421")</f>
        <v>https://pbs.twimg.com/profile_banners/781531567155998720/1657222421</v>
      </c>
      <c r="BI18" s="80"/>
      <c r="BJ18" s="80" t="s">
        <v>1455</v>
      </c>
      <c r="BK18" s="80" t="b">
        <v>0</v>
      </c>
      <c r="BL18" s="80"/>
      <c r="BM18" s="80" t="s">
        <v>66</v>
      </c>
      <c r="BN18" s="80" t="s">
        <v>1457</v>
      </c>
      <c r="BO18" s="85" t="str">
        <f>HYPERLINK("https://twitter.com/igs_bu")</f>
        <v>https://twitter.com/igs_bu</v>
      </c>
      <c r="BP18" s="80" t="str">
        <f>REPLACE(INDEX(GroupVertices[Group], MATCH("~"&amp;Vertices[[#This Row],[Vertex]],GroupVertices[Vertex],0)),1,1,"")</f>
        <v>8</v>
      </c>
      <c r="BQ18" s="49">
        <v>2</v>
      </c>
      <c r="BR18" s="50">
        <v>9.5238095238095237</v>
      </c>
      <c r="BS18" s="49">
        <v>0</v>
      </c>
      <c r="BT18" s="50">
        <v>0</v>
      </c>
      <c r="BU18" s="49">
        <v>0</v>
      </c>
      <c r="BV18" s="50">
        <v>0</v>
      </c>
      <c r="BW18" s="49">
        <v>12</v>
      </c>
      <c r="BX18" s="50">
        <v>57.142857142857146</v>
      </c>
      <c r="BY18" s="49">
        <v>21</v>
      </c>
      <c r="BZ18" s="49"/>
      <c r="CA18" s="49"/>
      <c r="CB18" s="49"/>
      <c r="CC18" s="49"/>
      <c r="CD18" s="49"/>
      <c r="CE18" s="49"/>
      <c r="CF18" s="116" t="s">
        <v>9905</v>
      </c>
      <c r="CG18" s="116" t="s">
        <v>9905</v>
      </c>
      <c r="CH18" s="116" t="s">
        <v>9975</v>
      </c>
      <c r="CI18" s="116" t="s">
        <v>9975</v>
      </c>
      <c r="CJ18" s="2"/>
      <c r="CK18" s="3"/>
      <c r="CL18" s="3"/>
      <c r="CM18" s="3"/>
      <c r="CN18" s="3"/>
    </row>
    <row r="19" spans="1:92" x14ac:dyDescent="0.25">
      <c r="A19" s="65" t="s">
        <v>302</v>
      </c>
      <c r="B19" s="66"/>
      <c r="C19" s="66" t="s">
        <v>64</v>
      </c>
      <c r="D19" s="67">
        <v>520.68627450980398</v>
      </c>
      <c r="E19" s="69"/>
      <c r="F19" s="104" t="str">
        <f>HYPERLINK("https://pbs.twimg.com/profile_images/1087808935480999936/VEiq4JjJ_normal.jpg")</f>
        <v>https://pbs.twimg.com/profile_images/1087808935480999936/VEiq4JjJ_normal.jpg</v>
      </c>
      <c r="G19" s="66"/>
      <c r="H19" s="70" t="s">
        <v>302</v>
      </c>
      <c r="I19" s="71"/>
      <c r="J19" s="71" t="s">
        <v>75</v>
      </c>
      <c r="K19" s="70" t="s">
        <v>1473</v>
      </c>
      <c r="L19" s="74">
        <v>665.30813587981538</v>
      </c>
      <c r="M19" s="75">
        <v>9479.3056640625</v>
      </c>
      <c r="N19" s="75">
        <v>5335.513671875</v>
      </c>
      <c r="O19" s="76"/>
      <c r="P19" s="77"/>
      <c r="Q19" s="77"/>
      <c r="R19" s="90"/>
      <c r="S19" s="49">
        <v>3</v>
      </c>
      <c r="T19" s="49">
        <v>2</v>
      </c>
      <c r="U19" s="50">
        <v>613</v>
      </c>
      <c r="V19" s="50">
        <v>0.31561299999999998</v>
      </c>
      <c r="W19" s="50">
        <v>7.8460000000000002E-2</v>
      </c>
      <c r="X19" s="50">
        <v>8.3850000000000001E-3</v>
      </c>
      <c r="Y19" s="50">
        <v>0.16666666666666666</v>
      </c>
      <c r="Z19" s="50">
        <v>0.25</v>
      </c>
      <c r="AA19" s="72">
        <v>19</v>
      </c>
      <c r="AB19" s="72"/>
      <c r="AC19" s="73"/>
      <c r="AD19" s="80" t="s">
        <v>948</v>
      </c>
      <c r="AE19" s="87" t="s">
        <v>1065</v>
      </c>
      <c r="AF19" s="80">
        <v>13590</v>
      </c>
      <c r="AG19" s="80">
        <v>3175</v>
      </c>
      <c r="AH19" s="80">
        <v>14367</v>
      </c>
      <c r="AI19" s="80">
        <v>242</v>
      </c>
      <c r="AJ19" s="80">
        <v>9695</v>
      </c>
      <c r="AK19" s="80">
        <v>2418</v>
      </c>
      <c r="AL19" s="80" t="b">
        <v>0</v>
      </c>
      <c r="AM19" s="82">
        <v>40077.655960648146</v>
      </c>
      <c r="AN19" s="80" t="s">
        <v>1170</v>
      </c>
      <c r="AO19" s="80" t="s">
        <v>1244</v>
      </c>
      <c r="AP19" s="85" t="str">
        <f>HYPERLINK("https://t.co/GQ9Ph7B02t")</f>
        <v>https://t.co/GQ9Ph7B02t</v>
      </c>
      <c r="AQ19" s="85" t="str">
        <f>HYPERLINK("http://www.bu.edu/com")</f>
        <v>http://www.bu.edu/com</v>
      </c>
      <c r="AR19" s="80" t="s">
        <v>1360</v>
      </c>
      <c r="AS19" s="80"/>
      <c r="AT19" s="80"/>
      <c r="AU19" s="80"/>
      <c r="AV19" s="80"/>
      <c r="AW19" s="85" t="str">
        <f>HYPERLINK("https://t.co/GQ9Ph7B02t")</f>
        <v>https://t.co/GQ9Ph7B02t</v>
      </c>
      <c r="AX19" s="80" t="b">
        <v>0</v>
      </c>
      <c r="AY19" s="80"/>
      <c r="AZ19" s="80"/>
      <c r="BA19" s="80" t="b">
        <v>1</v>
      </c>
      <c r="BB19" s="80" t="b">
        <v>1</v>
      </c>
      <c r="BC19" s="80" t="b">
        <v>0</v>
      </c>
      <c r="BD19" s="80" t="b">
        <v>0</v>
      </c>
      <c r="BE19" s="80" t="b">
        <v>0</v>
      </c>
      <c r="BF19" s="80" t="b">
        <v>0</v>
      </c>
      <c r="BG19" s="80" t="b">
        <v>0</v>
      </c>
      <c r="BH19" s="85" t="str">
        <f>HYPERLINK("https://pbs.twimg.com/profile_banners/76056609/1650912561")</f>
        <v>https://pbs.twimg.com/profile_banners/76056609/1650912561</v>
      </c>
      <c r="BI19" s="80"/>
      <c r="BJ19" s="80" t="s">
        <v>1455</v>
      </c>
      <c r="BK19" s="80" t="b">
        <v>0</v>
      </c>
      <c r="BL19" s="80"/>
      <c r="BM19" s="80" t="s">
        <v>66</v>
      </c>
      <c r="BN19" s="80" t="s">
        <v>1457</v>
      </c>
      <c r="BO19" s="85" t="str">
        <f>HYPERLINK("https://twitter.com/comatbu")</f>
        <v>https://twitter.com/comatbu</v>
      </c>
      <c r="BP19" s="80" t="str">
        <f>REPLACE(INDEX(GroupVertices[Group], MATCH("~"&amp;Vertices[[#This Row],[Vertex]],GroupVertices[Vertex],0)),1,1,"")</f>
        <v>8</v>
      </c>
      <c r="BQ19" s="49">
        <v>2</v>
      </c>
      <c r="BR19" s="50">
        <v>5.4054054054054053</v>
      </c>
      <c r="BS19" s="49">
        <v>0</v>
      </c>
      <c r="BT19" s="50">
        <v>0</v>
      </c>
      <c r="BU19" s="49">
        <v>0</v>
      </c>
      <c r="BV19" s="50">
        <v>0</v>
      </c>
      <c r="BW19" s="49">
        <v>23</v>
      </c>
      <c r="BX19" s="50">
        <v>62.162162162162161</v>
      </c>
      <c r="BY19" s="49">
        <v>37</v>
      </c>
      <c r="BZ19" s="49" t="s">
        <v>9600</v>
      </c>
      <c r="CA19" s="49" t="s">
        <v>9600</v>
      </c>
      <c r="CB19" s="49" t="s">
        <v>515</v>
      </c>
      <c r="CC19" s="49" t="s">
        <v>515</v>
      </c>
      <c r="CD19" s="49"/>
      <c r="CE19" s="49"/>
      <c r="CF19" s="116" t="s">
        <v>9906</v>
      </c>
      <c r="CG19" s="116" t="s">
        <v>9906</v>
      </c>
      <c r="CH19" s="116" t="s">
        <v>9976</v>
      </c>
      <c r="CI19" s="116" t="s">
        <v>9976</v>
      </c>
      <c r="CJ19" s="2"/>
      <c r="CK19" s="3"/>
      <c r="CL19" s="3"/>
      <c r="CM19" s="3"/>
      <c r="CN19" s="3"/>
    </row>
    <row r="20" spans="1:92" x14ac:dyDescent="0.25">
      <c r="A20" s="65" t="s">
        <v>247</v>
      </c>
      <c r="B20" s="66"/>
      <c r="C20" s="66" t="s">
        <v>64</v>
      </c>
      <c r="D20" s="67">
        <v>100</v>
      </c>
      <c r="E20" s="69"/>
      <c r="F20" s="104" t="str">
        <f>HYPERLINK("https://pbs.twimg.com/profile_images/1704325946344341504/RU7QjoX7_normal.jpg")</f>
        <v>https://pbs.twimg.com/profile_images/1704325946344341504/RU7QjoX7_normal.jpg</v>
      </c>
      <c r="G20" s="66"/>
      <c r="H20" s="70" t="s">
        <v>247</v>
      </c>
      <c r="I20" s="71"/>
      <c r="J20" s="71" t="s">
        <v>159</v>
      </c>
      <c r="K20" s="70" t="s">
        <v>1474</v>
      </c>
      <c r="L20" s="74">
        <v>1</v>
      </c>
      <c r="M20" s="75">
        <v>472.98300170898438</v>
      </c>
      <c r="N20" s="75">
        <v>5654.0126953125</v>
      </c>
      <c r="O20" s="76"/>
      <c r="P20" s="77"/>
      <c r="Q20" s="77"/>
      <c r="R20" s="90"/>
      <c r="S20" s="49">
        <v>0</v>
      </c>
      <c r="T20" s="49">
        <v>2</v>
      </c>
      <c r="U20" s="50">
        <v>0</v>
      </c>
      <c r="V20" s="50">
        <v>0.24423500000000001</v>
      </c>
      <c r="W20" s="50">
        <v>3.1330999999999998E-2</v>
      </c>
      <c r="X20" s="50">
        <v>7.2329999999999998E-3</v>
      </c>
      <c r="Y20" s="50">
        <v>0.5</v>
      </c>
      <c r="Z20" s="50">
        <v>0</v>
      </c>
      <c r="AA20" s="72">
        <v>20</v>
      </c>
      <c r="AB20" s="72"/>
      <c r="AC20" s="73"/>
      <c r="AD20" s="80" t="s">
        <v>949</v>
      </c>
      <c r="AE20" s="87" t="s">
        <v>1066</v>
      </c>
      <c r="AF20" s="80">
        <v>5518</v>
      </c>
      <c r="AG20" s="80">
        <v>2463</v>
      </c>
      <c r="AH20" s="80">
        <v>24647</v>
      </c>
      <c r="AI20" s="80">
        <v>57</v>
      </c>
      <c r="AJ20" s="80">
        <v>96445</v>
      </c>
      <c r="AK20" s="80">
        <v>2705</v>
      </c>
      <c r="AL20" s="80" t="b">
        <v>0</v>
      </c>
      <c r="AM20" s="82">
        <v>41130.87699074074</v>
      </c>
      <c r="AN20" s="80" t="s">
        <v>1171</v>
      </c>
      <c r="AO20" s="80" t="s">
        <v>1245</v>
      </c>
      <c r="AP20" s="85" t="str">
        <f>HYPERLINK("https://t.co/IZtouHwbUt")</f>
        <v>https://t.co/IZtouHwbUt</v>
      </c>
      <c r="AQ20" s="85" t="str">
        <f>HYPERLINK("https://theinternetuserexperience.substack.com/")</f>
        <v>https://theinternetuserexperience.substack.com/</v>
      </c>
      <c r="AR20" s="80" t="s">
        <v>1361</v>
      </c>
      <c r="AS20" s="80"/>
      <c r="AT20" s="80"/>
      <c r="AU20" s="80"/>
      <c r="AV20" s="80">
        <v>1.6229600889433101E+18</v>
      </c>
      <c r="AW20" s="85" t="str">
        <f>HYPERLINK("https://t.co/IZtouHwbUt")</f>
        <v>https://t.co/IZtouHwbUt</v>
      </c>
      <c r="AX20" s="80" t="b">
        <v>0</v>
      </c>
      <c r="AY20" s="80"/>
      <c r="AZ20" s="80"/>
      <c r="BA20" s="80" t="b">
        <v>1</v>
      </c>
      <c r="BB20" s="80" t="b">
        <v>0</v>
      </c>
      <c r="BC20" s="80" t="b">
        <v>0</v>
      </c>
      <c r="BD20" s="80" t="b">
        <v>0</v>
      </c>
      <c r="BE20" s="80" t="b">
        <v>1</v>
      </c>
      <c r="BF20" s="80" t="b">
        <v>0</v>
      </c>
      <c r="BG20" s="80" t="b">
        <v>0</v>
      </c>
      <c r="BH20" s="85" t="str">
        <f>HYPERLINK("https://pbs.twimg.com/profile_banners/747936457/1501079734")</f>
        <v>https://pbs.twimg.com/profile_banners/747936457/1501079734</v>
      </c>
      <c r="BI20" s="80"/>
      <c r="BJ20" s="80" t="s">
        <v>1455</v>
      </c>
      <c r="BK20" s="80" t="b">
        <v>0</v>
      </c>
      <c r="BL20" s="80"/>
      <c r="BM20" s="80" t="s">
        <v>66</v>
      </c>
      <c r="BN20" s="80" t="s">
        <v>1457</v>
      </c>
      <c r="BO20" s="85" t="str">
        <f>HYPERLINK("https://twitter.com/drjessmaddox")</f>
        <v>https://twitter.com/drjessmaddox</v>
      </c>
      <c r="BP20" s="80" t="str">
        <f>REPLACE(INDEX(GroupVertices[Group], MATCH("~"&amp;Vertices[[#This Row],[Vertex]],GroupVertices[Vertex],0)),1,1,"")</f>
        <v>2</v>
      </c>
      <c r="BQ20" s="49">
        <v>0</v>
      </c>
      <c r="BR20" s="50">
        <v>0</v>
      </c>
      <c r="BS20" s="49">
        <v>0</v>
      </c>
      <c r="BT20" s="50">
        <v>0</v>
      </c>
      <c r="BU20" s="49">
        <v>0</v>
      </c>
      <c r="BV20" s="50">
        <v>0</v>
      </c>
      <c r="BW20" s="49">
        <v>10</v>
      </c>
      <c r="BX20" s="50">
        <v>58.823529411764703</v>
      </c>
      <c r="BY20" s="49">
        <v>17</v>
      </c>
      <c r="BZ20" s="49"/>
      <c r="CA20" s="49"/>
      <c r="CB20" s="49"/>
      <c r="CC20" s="49"/>
      <c r="CD20" s="49"/>
      <c r="CE20" s="49"/>
      <c r="CF20" s="116" t="s">
        <v>9907</v>
      </c>
      <c r="CG20" s="116" t="s">
        <v>9907</v>
      </c>
      <c r="CH20" s="116" t="s">
        <v>9977</v>
      </c>
      <c r="CI20" s="116" t="s">
        <v>9977</v>
      </c>
      <c r="CJ20" s="2"/>
      <c r="CK20" s="3"/>
      <c r="CL20" s="3"/>
      <c r="CM20" s="3"/>
      <c r="CN20" s="3"/>
    </row>
    <row r="21" spans="1:92" x14ac:dyDescent="0.25">
      <c r="A21" s="65" t="s">
        <v>312</v>
      </c>
      <c r="B21" s="66"/>
      <c r="C21" s="66" t="s">
        <v>64</v>
      </c>
      <c r="D21" s="67">
        <v>106.86274509803921</v>
      </c>
      <c r="E21" s="69"/>
      <c r="F21" s="104" t="str">
        <f>HYPERLINK("https://pbs.twimg.com/profile_images/1645459657711046658/RGxWtGnP_normal.jpg")</f>
        <v>https://pbs.twimg.com/profile_images/1645459657711046658/RGxWtGnP_normal.jpg</v>
      </c>
      <c r="G21" s="66"/>
      <c r="H21" s="70" t="s">
        <v>312</v>
      </c>
      <c r="I21" s="71"/>
      <c r="J21" s="71" t="s">
        <v>75</v>
      </c>
      <c r="K21" s="70" t="s">
        <v>1475</v>
      </c>
      <c r="L21" s="74">
        <v>11.837000585315096</v>
      </c>
      <c r="M21" s="75">
        <v>499.64028930664063</v>
      </c>
      <c r="N21" s="75">
        <v>6672.5068359375</v>
      </c>
      <c r="O21" s="76"/>
      <c r="P21" s="77"/>
      <c r="Q21" s="77"/>
      <c r="R21" s="90"/>
      <c r="S21" s="49">
        <v>6</v>
      </c>
      <c r="T21" s="49">
        <v>0</v>
      </c>
      <c r="U21" s="50">
        <v>10</v>
      </c>
      <c r="V21" s="50">
        <v>0.24692600000000001</v>
      </c>
      <c r="W21" s="50">
        <v>4.4979999999999999E-2</v>
      </c>
      <c r="X21" s="50">
        <v>9.7029999999999998E-3</v>
      </c>
      <c r="Y21" s="50">
        <v>0.16666666666666666</v>
      </c>
      <c r="Z21" s="50">
        <v>0</v>
      </c>
      <c r="AA21" s="72">
        <v>21</v>
      </c>
      <c r="AB21" s="72"/>
      <c r="AC21" s="73"/>
      <c r="AD21" s="80" t="s">
        <v>950</v>
      </c>
      <c r="AE21" s="87" t="s">
        <v>1067</v>
      </c>
      <c r="AF21" s="80">
        <v>6674</v>
      </c>
      <c r="AG21" s="80">
        <v>2361</v>
      </c>
      <c r="AH21" s="80">
        <v>19622</v>
      </c>
      <c r="AI21" s="80">
        <v>142</v>
      </c>
      <c r="AJ21" s="80">
        <v>12417</v>
      </c>
      <c r="AK21" s="80">
        <v>3192</v>
      </c>
      <c r="AL21" s="80" t="b">
        <v>0</v>
      </c>
      <c r="AM21" s="82">
        <v>39863.017002314817</v>
      </c>
      <c r="AN21" s="80" t="s">
        <v>1172</v>
      </c>
      <c r="AO21" s="80" t="s">
        <v>1246</v>
      </c>
      <c r="AP21" s="85" t="str">
        <f>HYPERLINK("https://t.co/yaf5LVsXyc")</f>
        <v>https://t.co/yaf5LVsXyc</v>
      </c>
      <c r="AQ21" s="85" t="str">
        <f>HYPERLINK("http://manship.lsu.edu")</f>
        <v>http://manship.lsu.edu</v>
      </c>
      <c r="AR21" s="80" t="s">
        <v>1362</v>
      </c>
      <c r="AS21" s="80"/>
      <c r="AT21" s="80"/>
      <c r="AU21" s="80"/>
      <c r="AV21" s="80">
        <v>1.7128941146377101E+18</v>
      </c>
      <c r="AW21" s="85" t="str">
        <f>HYPERLINK("https://t.co/yaf5LVsXyc")</f>
        <v>https://t.co/yaf5LVsXyc</v>
      </c>
      <c r="AX21" s="80" t="b">
        <v>1</v>
      </c>
      <c r="AY21" s="80"/>
      <c r="AZ21" s="80"/>
      <c r="BA21" s="80" t="b">
        <v>1</v>
      </c>
      <c r="BB21" s="80" t="b">
        <v>1</v>
      </c>
      <c r="BC21" s="80" t="b">
        <v>0</v>
      </c>
      <c r="BD21" s="80" t="b">
        <v>0</v>
      </c>
      <c r="BE21" s="80" t="b">
        <v>1</v>
      </c>
      <c r="BF21" s="80" t="b">
        <v>0</v>
      </c>
      <c r="BG21" s="80" t="b">
        <v>0</v>
      </c>
      <c r="BH21" s="85" t="str">
        <f>HYPERLINK("https://pbs.twimg.com/profile_banners/21258885/1609858489")</f>
        <v>https://pbs.twimg.com/profile_banners/21258885/1609858489</v>
      </c>
      <c r="BI21" s="80"/>
      <c r="BJ21" s="80" t="s">
        <v>1455</v>
      </c>
      <c r="BK21" s="80" t="b">
        <v>0</v>
      </c>
      <c r="BL21" s="80"/>
      <c r="BM21" s="80" t="s">
        <v>65</v>
      </c>
      <c r="BN21" s="80" t="s">
        <v>1457</v>
      </c>
      <c r="BO21" s="85" t="str">
        <f>HYPERLINK("https://twitter.com/manshipschool")</f>
        <v>https://twitter.com/manshipschool</v>
      </c>
      <c r="BP21" s="80" t="str">
        <f>REPLACE(INDEX(GroupVertices[Group], MATCH("~"&amp;Vertices[[#This Row],[Vertex]],GroupVertices[Vertex],0)),1,1,"")</f>
        <v>2</v>
      </c>
      <c r="BQ21" s="49"/>
      <c r="BR21" s="50"/>
      <c r="BS21" s="49"/>
      <c r="BT21" s="50"/>
      <c r="BU21" s="49"/>
      <c r="BV21" s="50"/>
      <c r="BW21" s="49"/>
      <c r="BX21" s="50"/>
      <c r="BY21" s="49"/>
      <c r="BZ21" s="49"/>
      <c r="CA21" s="49"/>
      <c r="CB21" s="49"/>
      <c r="CC21" s="49"/>
      <c r="CD21" s="49"/>
      <c r="CE21" s="49"/>
      <c r="CF21" s="49"/>
      <c r="CG21" s="49"/>
      <c r="CH21" s="49"/>
      <c r="CI21" s="49"/>
      <c r="CJ21" s="2"/>
      <c r="CK21" s="3"/>
      <c r="CL21" s="3"/>
      <c r="CM21" s="3"/>
      <c r="CN21" s="3"/>
    </row>
    <row r="22" spans="1:92" x14ac:dyDescent="0.25">
      <c r="A22" s="65" t="s">
        <v>252</v>
      </c>
      <c r="B22" s="66"/>
      <c r="C22" s="66" t="s">
        <v>64</v>
      </c>
      <c r="D22" s="67">
        <v>800</v>
      </c>
      <c r="E22" s="69"/>
      <c r="F22" s="104" t="str">
        <f>HYPERLINK("https://pbs.twimg.com/profile_images/1331376273755664384/mF7tQg3B_normal.jpg")</f>
        <v>https://pbs.twimg.com/profile_images/1331376273755664384/mF7tQg3B_normal.jpg</v>
      </c>
      <c r="G22" s="66"/>
      <c r="H22" s="70" t="s">
        <v>252</v>
      </c>
      <c r="I22" s="71"/>
      <c r="J22" s="71" t="s">
        <v>75</v>
      </c>
      <c r="K22" s="70" t="s">
        <v>1476</v>
      </c>
      <c r="L22" s="74">
        <v>1810.9597147852762</v>
      </c>
      <c r="M22" s="75">
        <v>1120.90087890625</v>
      </c>
      <c r="N22" s="75">
        <v>6849.77099609375</v>
      </c>
      <c r="O22" s="76"/>
      <c r="P22" s="77"/>
      <c r="Q22" s="77"/>
      <c r="R22" s="90"/>
      <c r="S22" s="49">
        <v>9</v>
      </c>
      <c r="T22" s="49">
        <v>7</v>
      </c>
      <c r="U22" s="50">
        <v>1670.166667</v>
      </c>
      <c r="V22" s="50">
        <v>0.33952300000000002</v>
      </c>
      <c r="W22" s="50">
        <v>0.211363</v>
      </c>
      <c r="X22" s="50">
        <v>1.4467000000000001E-2</v>
      </c>
      <c r="Y22" s="50">
        <v>6.25E-2</v>
      </c>
      <c r="Z22" s="50">
        <v>0</v>
      </c>
      <c r="AA22" s="72">
        <v>22</v>
      </c>
      <c r="AB22" s="72"/>
      <c r="AC22" s="73"/>
      <c r="AD22" s="80" t="s">
        <v>951</v>
      </c>
      <c r="AE22" s="87" t="s">
        <v>1068</v>
      </c>
      <c r="AF22" s="80">
        <v>3731</v>
      </c>
      <c r="AG22" s="80">
        <v>4992</v>
      </c>
      <c r="AH22" s="80">
        <v>80089</v>
      </c>
      <c r="AI22" s="80">
        <v>85</v>
      </c>
      <c r="AJ22" s="80">
        <v>212715</v>
      </c>
      <c r="AK22" s="80">
        <v>6241</v>
      </c>
      <c r="AL22" s="80" t="b">
        <v>0</v>
      </c>
      <c r="AM22" s="82">
        <v>40863.780555555553</v>
      </c>
      <c r="AN22" s="80" t="s">
        <v>1173</v>
      </c>
      <c r="AO22" s="80" t="s">
        <v>1247</v>
      </c>
      <c r="AP22" s="85" t="str">
        <f>HYPERLINK("https://t.co/ivjshEptCG")</f>
        <v>https://t.co/ivjshEptCG</v>
      </c>
      <c r="AQ22" s="85" t="str">
        <f>HYPERLINK("https://www.lsu.edu/manship/people/faculty-staff/mari.php")</f>
        <v>https://www.lsu.edu/manship/people/faculty-staff/mari.php</v>
      </c>
      <c r="AR22" s="80" t="s">
        <v>1363</v>
      </c>
      <c r="AS22" s="80"/>
      <c r="AT22" s="80"/>
      <c r="AU22" s="80"/>
      <c r="AV22" s="80">
        <v>1.5864285387307E+18</v>
      </c>
      <c r="AW22" s="85" t="str">
        <f>HYPERLINK("https://t.co/ivjshEptCG")</f>
        <v>https://t.co/ivjshEptCG</v>
      </c>
      <c r="AX22" s="80" t="b">
        <v>0</v>
      </c>
      <c r="AY22" s="80" t="b">
        <v>1</v>
      </c>
      <c r="AZ22" s="80" t="b">
        <v>1</v>
      </c>
      <c r="BA22" s="80" t="b">
        <v>1</v>
      </c>
      <c r="BB22" s="80" t="b">
        <v>1</v>
      </c>
      <c r="BC22" s="80" t="b">
        <v>0</v>
      </c>
      <c r="BD22" s="80" t="b">
        <v>0</v>
      </c>
      <c r="BE22" s="80" t="b">
        <v>1</v>
      </c>
      <c r="BF22" s="80" t="b">
        <v>0</v>
      </c>
      <c r="BG22" s="80" t="b">
        <v>0</v>
      </c>
      <c r="BH22" s="85" t="str">
        <f>HYPERLINK("https://pbs.twimg.com/profile_banners/414179273/1411577603")</f>
        <v>https://pbs.twimg.com/profile_banners/414179273/1411577603</v>
      </c>
      <c r="BI22" s="80"/>
      <c r="BJ22" s="80" t="s">
        <v>1455</v>
      </c>
      <c r="BK22" s="80" t="b">
        <v>1</v>
      </c>
      <c r="BL22" s="80"/>
      <c r="BM22" s="80" t="s">
        <v>66</v>
      </c>
      <c r="BN22" s="80" t="s">
        <v>1457</v>
      </c>
      <c r="BO22" s="85" t="str">
        <f>HYPERLINK("https://twitter.com/willthewordguy")</f>
        <v>https://twitter.com/willthewordguy</v>
      </c>
      <c r="BP22" s="80" t="str">
        <f>REPLACE(INDEX(GroupVertices[Group], MATCH("~"&amp;Vertices[[#This Row],[Vertex]],GroupVertices[Vertex],0)),1,1,"")</f>
        <v>2</v>
      </c>
      <c r="BQ22" s="49">
        <v>1</v>
      </c>
      <c r="BR22" s="50">
        <v>1.0869565217391304</v>
      </c>
      <c r="BS22" s="49">
        <v>0</v>
      </c>
      <c r="BT22" s="50">
        <v>0</v>
      </c>
      <c r="BU22" s="49">
        <v>0</v>
      </c>
      <c r="BV22" s="50">
        <v>0</v>
      </c>
      <c r="BW22" s="49">
        <v>74</v>
      </c>
      <c r="BX22" s="50">
        <v>80.434782608695656</v>
      </c>
      <c r="BY22" s="49">
        <v>92</v>
      </c>
      <c r="BZ22" s="49" t="s">
        <v>9854</v>
      </c>
      <c r="CA22" s="49" t="s">
        <v>9864</v>
      </c>
      <c r="CB22" s="49" t="s">
        <v>9870</v>
      </c>
      <c r="CC22" s="49" t="s">
        <v>9875</v>
      </c>
      <c r="CD22" s="49" t="s">
        <v>9881</v>
      </c>
      <c r="CE22" s="49" t="s">
        <v>9889</v>
      </c>
      <c r="CF22" s="116" t="s">
        <v>9908</v>
      </c>
      <c r="CG22" s="116" t="s">
        <v>9958</v>
      </c>
      <c r="CH22" s="116" t="s">
        <v>9978</v>
      </c>
      <c r="CI22" s="116" t="s">
        <v>10025</v>
      </c>
      <c r="CJ22" s="2"/>
      <c r="CK22" s="3"/>
      <c r="CL22" s="3"/>
      <c r="CM22" s="3"/>
      <c r="CN22" s="3"/>
    </row>
    <row r="23" spans="1:92" x14ac:dyDescent="0.25">
      <c r="A23" s="65" t="s">
        <v>248</v>
      </c>
      <c r="B23" s="66"/>
      <c r="C23" s="66" t="s">
        <v>64</v>
      </c>
      <c r="D23" s="67">
        <v>729.67973833333326</v>
      </c>
      <c r="E23" s="69"/>
      <c r="F23" s="104" t="str">
        <f>HYPERLINK("https://pbs.twimg.com/profile_images/1499394758606671883/eX-QPowP_normal.jpg")</f>
        <v>https://pbs.twimg.com/profile_images/1499394758606671883/eX-QPowP_normal.jpg</v>
      </c>
      <c r="G23" s="66"/>
      <c r="H23" s="70" t="s">
        <v>248</v>
      </c>
      <c r="I23" s="71"/>
      <c r="J23" s="71" t="s">
        <v>75</v>
      </c>
      <c r="K23" s="70" t="s">
        <v>1477</v>
      </c>
      <c r="L23" s="74">
        <v>995.3309266767111</v>
      </c>
      <c r="M23" s="75">
        <v>6656.9794921875</v>
      </c>
      <c r="N23" s="75">
        <v>8957.1728515625</v>
      </c>
      <c r="O23" s="76"/>
      <c r="P23" s="77"/>
      <c r="Q23" s="77"/>
      <c r="R23" s="90"/>
      <c r="S23" s="49">
        <v>2</v>
      </c>
      <c r="T23" s="49">
        <v>8</v>
      </c>
      <c r="U23" s="50">
        <v>917.53333299999997</v>
      </c>
      <c r="V23" s="50">
        <v>0.33696999999999999</v>
      </c>
      <c r="W23" s="50">
        <v>0.14346</v>
      </c>
      <c r="X23" s="50">
        <v>1.2028E-2</v>
      </c>
      <c r="Y23" s="50">
        <v>8.9285714285714288E-2</v>
      </c>
      <c r="Z23" s="50">
        <v>0.25</v>
      </c>
      <c r="AA23" s="72">
        <v>23</v>
      </c>
      <c r="AB23" s="72"/>
      <c r="AC23" s="73"/>
      <c r="AD23" s="80" t="s">
        <v>952</v>
      </c>
      <c r="AE23" s="87" t="s">
        <v>882</v>
      </c>
      <c r="AF23" s="80">
        <v>488</v>
      </c>
      <c r="AG23" s="80">
        <v>413</v>
      </c>
      <c r="AH23" s="80">
        <v>288</v>
      </c>
      <c r="AI23" s="80">
        <v>4</v>
      </c>
      <c r="AJ23" s="80">
        <v>1418</v>
      </c>
      <c r="AK23" s="80">
        <v>20</v>
      </c>
      <c r="AL23" s="80" t="b">
        <v>0</v>
      </c>
      <c r="AM23" s="82">
        <v>44623.600057870368</v>
      </c>
      <c r="AN23" s="80" t="s">
        <v>1174</v>
      </c>
      <c r="AO23" s="80" t="s">
        <v>1248</v>
      </c>
      <c r="AP23" s="85" t="str">
        <f>HYPERLINK("https://t.co/BJIhxVOcxg")</f>
        <v>https://t.co/BJIhxVOcxg</v>
      </c>
      <c r="AQ23" s="85" t="str">
        <f>HYPERLINK("https://www.uibk.ac.at/medien-kommunikation/institut/team/index.html.en")</f>
        <v>https://www.uibk.ac.at/medien-kommunikation/institut/team/index.html.en</v>
      </c>
      <c r="AR23" s="80" t="s">
        <v>1364</v>
      </c>
      <c r="AS23" s="80"/>
      <c r="AT23" s="80"/>
      <c r="AU23" s="80"/>
      <c r="AV23" s="80"/>
      <c r="AW23" s="85" t="str">
        <f>HYPERLINK("https://t.co/BJIhxVOcxg")</f>
        <v>https://t.co/BJIhxVOcxg</v>
      </c>
      <c r="AX23" s="80" t="b">
        <v>0</v>
      </c>
      <c r="AY23" s="80"/>
      <c r="AZ23" s="80"/>
      <c r="BA23" s="80" t="b">
        <v>0</v>
      </c>
      <c r="BB23" s="80" t="b">
        <v>1</v>
      </c>
      <c r="BC23" s="80" t="b">
        <v>1</v>
      </c>
      <c r="BD23" s="80" t="b">
        <v>0</v>
      </c>
      <c r="BE23" s="80" t="b">
        <v>0</v>
      </c>
      <c r="BF23" s="80" t="b">
        <v>0</v>
      </c>
      <c r="BG23" s="80" t="b">
        <v>0</v>
      </c>
      <c r="BH23" s="80"/>
      <c r="BI23" s="80"/>
      <c r="BJ23" s="80" t="s">
        <v>1455</v>
      </c>
      <c r="BK23" s="80" t="b">
        <v>0</v>
      </c>
      <c r="BL23" s="80"/>
      <c r="BM23" s="80" t="s">
        <v>66</v>
      </c>
      <c r="BN23" s="80" t="s">
        <v>1457</v>
      </c>
      <c r="BO23" s="85" t="str">
        <f>HYPERLINK("https://twitter.com/vioreladan")</f>
        <v>https://twitter.com/vioreladan</v>
      </c>
      <c r="BP23" s="80" t="str">
        <f>REPLACE(INDEX(GroupVertices[Group], MATCH("~"&amp;Vertices[[#This Row],[Vertex]],GroupVertices[Vertex],0)),1,1,"")</f>
        <v>6</v>
      </c>
      <c r="BQ23" s="49">
        <v>2</v>
      </c>
      <c r="BR23" s="50">
        <v>5.1282051282051286</v>
      </c>
      <c r="BS23" s="49">
        <v>0</v>
      </c>
      <c r="BT23" s="50">
        <v>0</v>
      </c>
      <c r="BU23" s="49">
        <v>0</v>
      </c>
      <c r="BV23" s="50">
        <v>0</v>
      </c>
      <c r="BW23" s="49">
        <v>25</v>
      </c>
      <c r="BX23" s="50">
        <v>64.102564102564102</v>
      </c>
      <c r="BY23" s="49">
        <v>39</v>
      </c>
      <c r="BZ23" s="49"/>
      <c r="CA23" s="49"/>
      <c r="CB23" s="49"/>
      <c r="CC23" s="49"/>
      <c r="CD23" s="49" t="s">
        <v>472</v>
      </c>
      <c r="CE23" s="49" t="s">
        <v>472</v>
      </c>
      <c r="CF23" s="116" t="s">
        <v>9909</v>
      </c>
      <c r="CG23" s="116" t="s">
        <v>9909</v>
      </c>
      <c r="CH23" s="116" t="s">
        <v>9979</v>
      </c>
      <c r="CI23" s="116" t="s">
        <v>9979</v>
      </c>
      <c r="CJ23" s="2"/>
      <c r="CK23" s="3"/>
      <c r="CL23" s="3"/>
      <c r="CM23" s="3"/>
      <c r="CN23" s="3"/>
    </row>
    <row r="24" spans="1:92" x14ac:dyDescent="0.25">
      <c r="A24" s="65" t="s">
        <v>313</v>
      </c>
      <c r="B24" s="66"/>
      <c r="C24" s="66" t="s">
        <v>64</v>
      </c>
      <c r="D24" s="67">
        <v>100</v>
      </c>
      <c r="E24" s="69"/>
      <c r="F24" s="104" t="str">
        <f>HYPERLINK("https://pbs.twimg.com/profile_images/1439634546849427462/bykSX9O2_normal.jpg")</f>
        <v>https://pbs.twimg.com/profile_images/1439634546849427462/bykSX9O2_normal.jpg</v>
      </c>
      <c r="G24" s="66"/>
      <c r="H24" s="70" t="s">
        <v>313</v>
      </c>
      <c r="I24" s="71"/>
      <c r="J24" s="71" t="s">
        <v>159</v>
      </c>
      <c r="K24" s="70" t="s">
        <v>1478</v>
      </c>
      <c r="L24" s="74">
        <v>1</v>
      </c>
      <c r="M24" s="75">
        <v>7576.7060546875</v>
      </c>
      <c r="N24" s="75">
        <v>9145.7705078125</v>
      </c>
      <c r="O24" s="76"/>
      <c r="P24" s="77"/>
      <c r="Q24" s="77"/>
      <c r="R24" s="90"/>
      <c r="S24" s="49">
        <v>1</v>
      </c>
      <c r="T24" s="49">
        <v>0</v>
      </c>
      <c r="U24" s="50">
        <v>0</v>
      </c>
      <c r="V24" s="50">
        <v>0.242254</v>
      </c>
      <c r="W24" s="50">
        <v>1.7534000000000001E-2</v>
      </c>
      <c r="X24" s="50">
        <v>7.0800000000000004E-3</v>
      </c>
      <c r="Y24" s="50">
        <v>0</v>
      </c>
      <c r="Z24" s="50">
        <v>0</v>
      </c>
      <c r="AA24" s="72">
        <v>24</v>
      </c>
      <c r="AB24" s="72"/>
      <c r="AC24" s="73"/>
      <c r="AD24" s="80" t="s">
        <v>953</v>
      </c>
      <c r="AE24" s="87" t="s">
        <v>1069</v>
      </c>
      <c r="AF24" s="80">
        <v>1089</v>
      </c>
      <c r="AG24" s="80">
        <v>769</v>
      </c>
      <c r="AH24" s="80">
        <v>1419</v>
      </c>
      <c r="AI24" s="80">
        <v>6</v>
      </c>
      <c r="AJ24" s="80">
        <v>597</v>
      </c>
      <c r="AK24" s="80">
        <v>127</v>
      </c>
      <c r="AL24" s="80" t="b">
        <v>0</v>
      </c>
      <c r="AM24" s="82">
        <v>43630.610798611109</v>
      </c>
      <c r="AN24" s="80" t="s">
        <v>1175</v>
      </c>
      <c r="AO24" s="80" t="s">
        <v>1249</v>
      </c>
      <c r="AP24" s="85" t="str">
        <f>HYPERLINK("https://t.co/zP15XnTVON")</f>
        <v>https://t.co/zP15XnTVON</v>
      </c>
      <c r="AQ24" s="85" t="str">
        <f>HYPERLINK("https://ica-gcsc.org")</f>
        <v>https://ica-gcsc.org</v>
      </c>
      <c r="AR24" s="80" t="s">
        <v>1365</v>
      </c>
      <c r="AS24" s="80"/>
      <c r="AT24" s="80"/>
      <c r="AU24" s="80"/>
      <c r="AV24" s="80"/>
      <c r="AW24" s="85" t="str">
        <f>HYPERLINK("https://t.co/zP15XnTVON")</f>
        <v>https://t.co/zP15XnTVON</v>
      </c>
      <c r="AX24" s="80" t="b">
        <v>0</v>
      </c>
      <c r="AY24" s="80"/>
      <c r="AZ24" s="80"/>
      <c r="BA24" s="80" t="b">
        <v>0</v>
      </c>
      <c r="BB24" s="80" t="b">
        <v>1</v>
      </c>
      <c r="BC24" s="80" t="b">
        <v>1</v>
      </c>
      <c r="BD24" s="80" t="b">
        <v>0</v>
      </c>
      <c r="BE24" s="80" t="b">
        <v>0</v>
      </c>
      <c r="BF24" s="80" t="b">
        <v>0</v>
      </c>
      <c r="BG24" s="80" t="b">
        <v>0</v>
      </c>
      <c r="BH24" s="85" t="str">
        <f>HYPERLINK("https://pbs.twimg.com/profile_banners/1139542899882958848/1632070599")</f>
        <v>https://pbs.twimg.com/profile_banners/1139542899882958848/1632070599</v>
      </c>
      <c r="BI24" s="80"/>
      <c r="BJ24" s="80" t="s">
        <v>1455</v>
      </c>
      <c r="BK24" s="80" t="b">
        <v>0</v>
      </c>
      <c r="BL24" s="80"/>
      <c r="BM24" s="80" t="s">
        <v>65</v>
      </c>
      <c r="BN24" s="80" t="s">
        <v>1457</v>
      </c>
      <c r="BO24" s="85" t="str">
        <f>HYPERLINK("https://twitter.com/gcsc2020")</f>
        <v>https://twitter.com/gcsc2020</v>
      </c>
      <c r="BP24" s="80" t="str">
        <f>REPLACE(INDEX(GroupVertices[Group], MATCH("~"&amp;Vertices[[#This Row],[Vertex]],GroupVertices[Vertex],0)),1,1,"")</f>
        <v>6</v>
      </c>
      <c r="BQ24" s="49"/>
      <c r="BR24" s="50"/>
      <c r="BS24" s="49"/>
      <c r="BT24" s="50"/>
      <c r="BU24" s="49"/>
      <c r="BV24" s="50"/>
      <c r="BW24" s="49"/>
      <c r="BX24" s="50"/>
      <c r="BY24" s="49"/>
      <c r="BZ24" s="49"/>
      <c r="CA24" s="49"/>
      <c r="CB24" s="49"/>
      <c r="CC24" s="49"/>
      <c r="CD24" s="49"/>
      <c r="CE24" s="49"/>
      <c r="CF24" s="49"/>
      <c r="CG24" s="49"/>
      <c r="CH24" s="49"/>
      <c r="CI24" s="49"/>
      <c r="CJ24" s="2"/>
      <c r="CK24" s="3"/>
      <c r="CL24" s="3"/>
      <c r="CM24" s="3"/>
      <c r="CN24" s="3"/>
    </row>
    <row r="25" spans="1:92" x14ac:dyDescent="0.25">
      <c r="A25" s="65" t="s">
        <v>314</v>
      </c>
      <c r="B25" s="66"/>
      <c r="C25" s="66" t="s">
        <v>64</v>
      </c>
      <c r="D25" s="67">
        <v>100</v>
      </c>
      <c r="E25" s="69"/>
      <c r="F25" s="104" t="str">
        <f>HYPERLINK("https://pbs.twimg.com/profile_images/1382392317911400455/BN1-APcf_normal.jpg")</f>
        <v>https://pbs.twimg.com/profile_images/1382392317911400455/BN1-APcf_normal.jpg</v>
      </c>
      <c r="G25" s="66"/>
      <c r="H25" s="70" t="s">
        <v>314</v>
      </c>
      <c r="I25" s="71"/>
      <c r="J25" s="71" t="s">
        <v>159</v>
      </c>
      <c r="K25" s="70" t="s">
        <v>1479</v>
      </c>
      <c r="L25" s="74">
        <v>1</v>
      </c>
      <c r="M25" s="75">
        <v>7120.90576171875</v>
      </c>
      <c r="N25" s="75">
        <v>9691.591796875</v>
      </c>
      <c r="O25" s="76"/>
      <c r="P25" s="77"/>
      <c r="Q25" s="77"/>
      <c r="R25" s="90"/>
      <c r="S25" s="49">
        <v>1</v>
      </c>
      <c r="T25" s="49">
        <v>0</v>
      </c>
      <c r="U25" s="50">
        <v>0</v>
      </c>
      <c r="V25" s="50">
        <v>0.242254</v>
      </c>
      <c r="W25" s="50">
        <v>1.7534000000000001E-2</v>
      </c>
      <c r="X25" s="50">
        <v>7.0800000000000004E-3</v>
      </c>
      <c r="Y25" s="50">
        <v>0</v>
      </c>
      <c r="Z25" s="50">
        <v>0</v>
      </c>
      <c r="AA25" s="72">
        <v>25</v>
      </c>
      <c r="AB25" s="72"/>
      <c r="AC25" s="73"/>
      <c r="AD25" s="80" t="s">
        <v>954</v>
      </c>
      <c r="AE25" s="87" t="s">
        <v>1070</v>
      </c>
      <c r="AF25" s="80">
        <v>1294</v>
      </c>
      <c r="AG25" s="80">
        <v>1378</v>
      </c>
      <c r="AH25" s="80">
        <v>906</v>
      </c>
      <c r="AI25" s="80">
        <v>24</v>
      </c>
      <c r="AJ25" s="80">
        <v>1113</v>
      </c>
      <c r="AK25" s="80">
        <v>79</v>
      </c>
      <c r="AL25" s="80" t="b">
        <v>0</v>
      </c>
      <c r="AM25" s="82">
        <v>42649.489027777781</v>
      </c>
      <c r="AN25" s="80"/>
      <c r="AO25" s="80" t="s">
        <v>1250</v>
      </c>
      <c r="AP25" s="85" t="str">
        <f>HYPERLINK("https://t.co/1AaiHeFk0e")</f>
        <v>https://t.co/1AaiHeFk0e</v>
      </c>
      <c r="AQ25" s="85" t="str">
        <f>HYPERLINK("https://www.icahdq.org/group/public")</f>
        <v>https://www.icahdq.org/group/public</v>
      </c>
      <c r="AR25" s="80" t="s">
        <v>1366</v>
      </c>
      <c r="AS25" s="80"/>
      <c r="AT25" s="80"/>
      <c r="AU25" s="80"/>
      <c r="AV25" s="80"/>
      <c r="AW25" s="85" t="str">
        <f>HYPERLINK("https://t.co/1AaiHeFk0e")</f>
        <v>https://t.co/1AaiHeFk0e</v>
      </c>
      <c r="AX25" s="80" t="b">
        <v>0</v>
      </c>
      <c r="AY25" s="80"/>
      <c r="AZ25" s="80"/>
      <c r="BA25" s="80" t="b">
        <v>1</v>
      </c>
      <c r="BB25" s="80" t="b">
        <v>1</v>
      </c>
      <c r="BC25" s="80" t="b">
        <v>0</v>
      </c>
      <c r="BD25" s="80" t="b">
        <v>0</v>
      </c>
      <c r="BE25" s="80" t="b">
        <v>0</v>
      </c>
      <c r="BF25" s="80" t="b">
        <v>0</v>
      </c>
      <c r="BG25" s="80" t="b">
        <v>0</v>
      </c>
      <c r="BH25" s="85" t="str">
        <f>HYPERLINK("https://pbs.twimg.com/profile_banners/783996272567017472/1665120248")</f>
        <v>https://pbs.twimg.com/profile_banners/783996272567017472/1665120248</v>
      </c>
      <c r="BI25" s="80"/>
      <c r="BJ25" s="80" t="s">
        <v>1455</v>
      </c>
      <c r="BK25" s="80" t="b">
        <v>0</v>
      </c>
      <c r="BL25" s="80"/>
      <c r="BM25" s="80" t="s">
        <v>65</v>
      </c>
      <c r="BN25" s="80" t="s">
        <v>1457</v>
      </c>
      <c r="BO25" s="85" t="str">
        <f>HYPERLINK("https://twitter.com/ica_prd")</f>
        <v>https://twitter.com/ica_prd</v>
      </c>
      <c r="BP25" s="80" t="str">
        <f>REPLACE(INDEX(GroupVertices[Group], MATCH("~"&amp;Vertices[[#This Row],[Vertex]],GroupVertices[Vertex],0)),1,1,"")</f>
        <v>6</v>
      </c>
      <c r="BQ25" s="49"/>
      <c r="BR25" s="50"/>
      <c r="BS25" s="49"/>
      <c r="BT25" s="50"/>
      <c r="BU25" s="49"/>
      <c r="BV25" s="50"/>
      <c r="BW25" s="49"/>
      <c r="BX25" s="50"/>
      <c r="BY25" s="49"/>
      <c r="BZ25" s="49"/>
      <c r="CA25" s="49"/>
      <c r="CB25" s="49"/>
      <c r="CC25" s="49"/>
      <c r="CD25" s="49"/>
      <c r="CE25" s="49"/>
      <c r="CF25" s="49"/>
      <c r="CG25" s="49"/>
      <c r="CH25" s="49"/>
      <c r="CI25" s="49"/>
      <c r="CJ25" s="2"/>
      <c r="CK25" s="3"/>
      <c r="CL25" s="3"/>
      <c r="CM25" s="3"/>
      <c r="CN25" s="3"/>
    </row>
    <row r="26" spans="1:92" x14ac:dyDescent="0.25">
      <c r="A26" s="65" t="s">
        <v>315</v>
      </c>
      <c r="B26" s="66"/>
      <c r="C26" s="66" t="s">
        <v>64</v>
      </c>
      <c r="D26" s="67">
        <v>100</v>
      </c>
      <c r="E26" s="69"/>
      <c r="F26" s="104" t="str">
        <f>HYPERLINK("https://pbs.twimg.com/profile_images/1263043234693070848/Nz2I5PWh_normal.jpg")</f>
        <v>https://pbs.twimg.com/profile_images/1263043234693070848/Nz2I5PWh_normal.jpg</v>
      </c>
      <c r="G26" s="66"/>
      <c r="H26" s="70" t="s">
        <v>315</v>
      </c>
      <c r="I26" s="71"/>
      <c r="J26" s="71" t="s">
        <v>159</v>
      </c>
      <c r="K26" s="70" t="s">
        <v>1480</v>
      </c>
      <c r="L26" s="74">
        <v>1</v>
      </c>
      <c r="M26" s="75">
        <v>6375.931640625</v>
      </c>
      <c r="N26" s="75">
        <v>9726.392578125</v>
      </c>
      <c r="O26" s="76"/>
      <c r="P26" s="77"/>
      <c r="Q26" s="77"/>
      <c r="R26" s="90"/>
      <c r="S26" s="49">
        <v>1</v>
      </c>
      <c r="T26" s="49">
        <v>0</v>
      </c>
      <c r="U26" s="50">
        <v>0</v>
      </c>
      <c r="V26" s="50">
        <v>0.242254</v>
      </c>
      <c r="W26" s="50">
        <v>1.7534000000000001E-2</v>
      </c>
      <c r="X26" s="50">
        <v>7.0800000000000004E-3</v>
      </c>
      <c r="Y26" s="50">
        <v>0</v>
      </c>
      <c r="Z26" s="50">
        <v>0</v>
      </c>
      <c r="AA26" s="72">
        <v>26</v>
      </c>
      <c r="AB26" s="72"/>
      <c r="AC26" s="73"/>
      <c r="AD26" s="80" t="s">
        <v>955</v>
      </c>
      <c r="AE26" s="87" t="s">
        <v>1071</v>
      </c>
      <c r="AF26" s="80">
        <v>2452</v>
      </c>
      <c r="AG26" s="80">
        <v>600</v>
      </c>
      <c r="AH26" s="80">
        <v>558</v>
      </c>
      <c r="AI26" s="80">
        <v>36</v>
      </c>
      <c r="AJ26" s="80">
        <v>232</v>
      </c>
      <c r="AK26" s="80">
        <v>214</v>
      </c>
      <c r="AL26" s="80" t="b">
        <v>0</v>
      </c>
      <c r="AM26" s="82">
        <v>43971.405798611115</v>
      </c>
      <c r="AN26" s="80" t="s">
        <v>1176</v>
      </c>
      <c r="AO26" s="80" t="s">
        <v>1251</v>
      </c>
      <c r="AP26" s="85" t="str">
        <f>HYPERLINK("https://t.co/qa3AodY5hd")</f>
        <v>https://t.co/qa3AodY5hd</v>
      </c>
      <c r="AQ26" s="85" t="str">
        <f>HYPERLINK("https://www.icahdq.org/group/journalism")</f>
        <v>https://www.icahdq.org/group/journalism</v>
      </c>
      <c r="AR26" s="80" t="s">
        <v>1367</v>
      </c>
      <c r="AS26" s="80"/>
      <c r="AT26" s="80"/>
      <c r="AU26" s="80"/>
      <c r="AV26" s="80">
        <v>1.6610847601717399E+18</v>
      </c>
      <c r="AW26" s="85" t="str">
        <f>HYPERLINK("https://t.co/qa3AodY5hd")</f>
        <v>https://t.co/qa3AodY5hd</v>
      </c>
      <c r="AX26" s="80" t="b">
        <v>0</v>
      </c>
      <c r="AY26" s="80"/>
      <c r="AZ26" s="80"/>
      <c r="BA26" s="80" t="b">
        <v>0</v>
      </c>
      <c r="BB26" s="80" t="b">
        <v>1</v>
      </c>
      <c r="BC26" s="80" t="b">
        <v>1</v>
      </c>
      <c r="BD26" s="80" t="b">
        <v>0</v>
      </c>
      <c r="BE26" s="80" t="b">
        <v>0</v>
      </c>
      <c r="BF26" s="80" t="b">
        <v>0</v>
      </c>
      <c r="BG26" s="80" t="b">
        <v>0</v>
      </c>
      <c r="BH26" s="80"/>
      <c r="BI26" s="80"/>
      <c r="BJ26" s="80" t="s">
        <v>1455</v>
      </c>
      <c r="BK26" s="80" t="b">
        <v>0</v>
      </c>
      <c r="BL26" s="80"/>
      <c r="BM26" s="80" t="s">
        <v>65</v>
      </c>
      <c r="BN26" s="80" t="s">
        <v>1457</v>
      </c>
      <c r="BO26" s="85" t="str">
        <f>HYPERLINK("https://twitter.com/journalism_ica")</f>
        <v>https://twitter.com/journalism_ica</v>
      </c>
      <c r="BP26" s="80" t="str">
        <f>REPLACE(INDEX(GroupVertices[Group], MATCH("~"&amp;Vertices[[#This Row],[Vertex]],GroupVertices[Vertex],0)),1,1,"")</f>
        <v>6</v>
      </c>
      <c r="BQ26" s="49"/>
      <c r="BR26" s="50"/>
      <c r="BS26" s="49"/>
      <c r="BT26" s="50"/>
      <c r="BU26" s="49"/>
      <c r="BV26" s="50"/>
      <c r="BW26" s="49"/>
      <c r="BX26" s="50"/>
      <c r="BY26" s="49"/>
      <c r="BZ26" s="49"/>
      <c r="CA26" s="49"/>
      <c r="CB26" s="49"/>
      <c r="CC26" s="49"/>
      <c r="CD26" s="49"/>
      <c r="CE26" s="49"/>
      <c r="CF26" s="49"/>
      <c r="CG26" s="49"/>
      <c r="CH26" s="49"/>
      <c r="CI26" s="49"/>
      <c r="CJ26" s="2"/>
      <c r="CK26" s="3"/>
      <c r="CL26" s="3"/>
      <c r="CM26" s="3"/>
      <c r="CN26" s="3"/>
    </row>
    <row r="27" spans="1:92" x14ac:dyDescent="0.25">
      <c r="A27" s="65" t="s">
        <v>316</v>
      </c>
      <c r="B27" s="66"/>
      <c r="C27" s="66" t="s">
        <v>64</v>
      </c>
      <c r="D27" s="67">
        <v>100</v>
      </c>
      <c r="E27" s="69"/>
      <c r="F27" s="104" t="str">
        <f>HYPERLINK("https://pbs.twimg.com/profile_images/2241810406/j0427655_normal.jpg")</f>
        <v>https://pbs.twimg.com/profile_images/2241810406/j0427655_normal.jpg</v>
      </c>
      <c r="G27" s="66"/>
      <c r="H27" s="70" t="s">
        <v>316</v>
      </c>
      <c r="I27" s="71"/>
      <c r="J27" s="71" t="s">
        <v>159</v>
      </c>
      <c r="K27" s="70" t="s">
        <v>1481</v>
      </c>
      <c r="L27" s="74">
        <v>1</v>
      </c>
      <c r="M27" s="75">
        <v>5801.77685546875</v>
      </c>
      <c r="N27" s="75">
        <v>9391.392578125</v>
      </c>
      <c r="O27" s="76"/>
      <c r="P27" s="77"/>
      <c r="Q27" s="77"/>
      <c r="R27" s="90"/>
      <c r="S27" s="49">
        <v>1</v>
      </c>
      <c r="T27" s="49">
        <v>0</v>
      </c>
      <c r="U27" s="50">
        <v>0</v>
      </c>
      <c r="V27" s="50">
        <v>0.242254</v>
      </c>
      <c r="W27" s="50">
        <v>1.7534000000000001E-2</v>
      </c>
      <c r="X27" s="50">
        <v>7.0800000000000004E-3</v>
      </c>
      <c r="Y27" s="50">
        <v>0</v>
      </c>
      <c r="Z27" s="50">
        <v>0</v>
      </c>
      <c r="AA27" s="72">
        <v>27</v>
      </c>
      <c r="AB27" s="72"/>
      <c r="AC27" s="73"/>
      <c r="AD27" s="80" t="s">
        <v>956</v>
      </c>
      <c r="AE27" s="87" t="s">
        <v>1072</v>
      </c>
      <c r="AF27" s="80">
        <v>4732</v>
      </c>
      <c r="AG27" s="80">
        <v>113</v>
      </c>
      <c r="AH27" s="80">
        <v>13237</v>
      </c>
      <c r="AI27" s="80">
        <v>103</v>
      </c>
      <c r="AJ27" s="80">
        <v>1367</v>
      </c>
      <c r="AK27" s="80">
        <v>1631</v>
      </c>
      <c r="AL27" s="80" t="b">
        <v>0</v>
      </c>
      <c r="AM27" s="82">
        <v>40341.229328703703</v>
      </c>
      <c r="AN27" s="80"/>
      <c r="AO27" s="80" t="s">
        <v>1252</v>
      </c>
      <c r="AP27" s="80"/>
      <c r="AQ27" s="80"/>
      <c r="AR27" s="80"/>
      <c r="AS27" s="80"/>
      <c r="AT27" s="80"/>
      <c r="AU27" s="80"/>
      <c r="AV27" s="80"/>
      <c r="AW27" s="80"/>
      <c r="AX27" s="80" t="b">
        <v>0</v>
      </c>
      <c r="AY27" s="80"/>
      <c r="AZ27" s="80"/>
      <c r="BA27" s="80" t="b">
        <v>0</v>
      </c>
      <c r="BB27" s="80" t="b">
        <v>1</v>
      </c>
      <c r="BC27" s="80" t="b">
        <v>0</v>
      </c>
      <c r="BD27" s="80" t="b">
        <v>0</v>
      </c>
      <c r="BE27" s="80" t="b">
        <v>1</v>
      </c>
      <c r="BF27" s="80" t="b">
        <v>0</v>
      </c>
      <c r="BG27" s="80" t="b">
        <v>0</v>
      </c>
      <c r="BH27" s="85" t="str">
        <f>HYPERLINK("https://pbs.twimg.com/profile_banners/154785018/1578357654")</f>
        <v>https://pbs.twimg.com/profile_banners/154785018/1578357654</v>
      </c>
      <c r="BI27" s="80"/>
      <c r="BJ27" s="80" t="s">
        <v>1455</v>
      </c>
      <c r="BK27" s="80" t="b">
        <v>0</v>
      </c>
      <c r="BL27" s="80"/>
      <c r="BM27" s="80" t="s">
        <v>65</v>
      </c>
      <c r="BN27" s="80" t="s">
        <v>1457</v>
      </c>
      <c r="BO27" s="85" t="str">
        <f>HYPERLINK("https://twitter.com/ica_cat")</f>
        <v>https://twitter.com/ica_cat</v>
      </c>
      <c r="BP27" s="80" t="str">
        <f>REPLACE(INDEX(GroupVertices[Group], MATCH("~"&amp;Vertices[[#This Row],[Vertex]],GroupVertices[Vertex],0)),1,1,"")</f>
        <v>6</v>
      </c>
      <c r="BQ27" s="49"/>
      <c r="BR27" s="50"/>
      <c r="BS27" s="49"/>
      <c r="BT27" s="50"/>
      <c r="BU27" s="49"/>
      <c r="BV27" s="50"/>
      <c r="BW27" s="49"/>
      <c r="BX27" s="50"/>
      <c r="BY27" s="49"/>
      <c r="BZ27" s="49"/>
      <c r="CA27" s="49"/>
      <c r="CB27" s="49"/>
      <c r="CC27" s="49"/>
      <c r="CD27" s="49"/>
      <c r="CE27" s="49"/>
      <c r="CF27" s="49"/>
      <c r="CG27" s="49"/>
      <c r="CH27" s="49"/>
      <c r="CI27" s="49"/>
      <c r="CJ27" s="2"/>
      <c r="CK27" s="3"/>
      <c r="CL27" s="3"/>
      <c r="CM27" s="3"/>
      <c r="CN27" s="3"/>
    </row>
    <row r="28" spans="1:92" x14ac:dyDescent="0.25">
      <c r="A28" s="65" t="s">
        <v>317</v>
      </c>
      <c r="B28" s="66"/>
      <c r="C28" s="66" t="s">
        <v>64</v>
      </c>
      <c r="D28" s="67">
        <v>100</v>
      </c>
      <c r="E28" s="69"/>
      <c r="F28" s="104" t="str">
        <f>HYPERLINK("https://pbs.twimg.com/profile_images/1146095726838947840/VdCbPW5F_normal.png")</f>
        <v>https://pbs.twimg.com/profile_images/1146095726838947840/VdCbPW5F_normal.png</v>
      </c>
      <c r="G28" s="66"/>
      <c r="H28" s="70" t="s">
        <v>317</v>
      </c>
      <c r="I28" s="71"/>
      <c r="J28" s="71" t="s">
        <v>159</v>
      </c>
      <c r="K28" s="70" t="s">
        <v>1482</v>
      </c>
      <c r="L28" s="74">
        <v>1</v>
      </c>
      <c r="M28" s="75">
        <v>5123.28076171875</v>
      </c>
      <c r="N28" s="75">
        <v>9446.658203125</v>
      </c>
      <c r="O28" s="76"/>
      <c r="P28" s="77"/>
      <c r="Q28" s="77"/>
      <c r="R28" s="90"/>
      <c r="S28" s="49">
        <v>1</v>
      </c>
      <c r="T28" s="49">
        <v>0</v>
      </c>
      <c r="U28" s="50">
        <v>0</v>
      </c>
      <c r="V28" s="50">
        <v>0.25249100000000002</v>
      </c>
      <c r="W28" s="50">
        <v>3.3702999999999997E-2</v>
      </c>
      <c r="X28" s="50">
        <v>6.9810000000000002E-3</v>
      </c>
      <c r="Y28" s="50">
        <v>0</v>
      </c>
      <c r="Z28" s="50">
        <v>0</v>
      </c>
      <c r="AA28" s="72">
        <v>28</v>
      </c>
      <c r="AB28" s="72"/>
      <c r="AC28" s="73"/>
      <c r="AD28" s="80" t="s">
        <v>957</v>
      </c>
      <c r="AE28" s="87" t="s">
        <v>1073</v>
      </c>
      <c r="AF28" s="80">
        <v>21492</v>
      </c>
      <c r="AG28" s="80">
        <v>72</v>
      </c>
      <c r="AH28" s="80">
        <v>6440</v>
      </c>
      <c r="AI28" s="80">
        <v>397</v>
      </c>
      <c r="AJ28" s="80">
        <v>958</v>
      </c>
      <c r="AK28" s="80">
        <v>781</v>
      </c>
      <c r="AL28" s="80" t="b">
        <v>0</v>
      </c>
      <c r="AM28" s="82">
        <v>39918.980196759258</v>
      </c>
      <c r="AN28" s="80" t="s">
        <v>1175</v>
      </c>
      <c r="AO28" s="80" t="s">
        <v>1253</v>
      </c>
      <c r="AP28" s="85" t="str">
        <f>HYPERLINK("https://t.co/U9HNZT0hCY")</f>
        <v>https://t.co/U9HNZT0hCY</v>
      </c>
      <c r="AQ28" s="85" t="str">
        <f>HYPERLINK("http://www.icahdq.org")</f>
        <v>http://www.icahdq.org</v>
      </c>
      <c r="AR28" s="80" t="s">
        <v>1368</v>
      </c>
      <c r="AS28" s="80"/>
      <c r="AT28" s="80"/>
      <c r="AU28" s="80"/>
      <c r="AV28" s="80"/>
      <c r="AW28" s="85" t="str">
        <f>HYPERLINK("https://t.co/U9HNZT0hCY")</f>
        <v>https://t.co/U9HNZT0hCY</v>
      </c>
      <c r="AX28" s="80" t="b">
        <v>0</v>
      </c>
      <c r="AY28" s="80"/>
      <c r="AZ28" s="80"/>
      <c r="BA28" s="80" t="b">
        <v>0</v>
      </c>
      <c r="BB28" s="80" t="b">
        <v>1</v>
      </c>
      <c r="BC28" s="80" t="b">
        <v>0</v>
      </c>
      <c r="BD28" s="80" t="b">
        <v>0</v>
      </c>
      <c r="BE28" s="80" t="b">
        <v>0</v>
      </c>
      <c r="BF28" s="80" t="b">
        <v>0</v>
      </c>
      <c r="BG28" s="80" t="b">
        <v>0</v>
      </c>
      <c r="BH28" s="85" t="str">
        <f>HYPERLINK("https://pbs.twimg.com/profile_banners/31560768/1562341955")</f>
        <v>https://pbs.twimg.com/profile_banners/31560768/1562341955</v>
      </c>
      <c r="BI28" s="80"/>
      <c r="BJ28" s="80" t="s">
        <v>1455</v>
      </c>
      <c r="BK28" s="80" t="b">
        <v>0</v>
      </c>
      <c r="BL28" s="80"/>
      <c r="BM28" s="80" t="s">
        <v>65</v>
      </c>
      <c r="BN28" s="80" t="s">
        <v>1457</v>
      </c>
      <c r="BO28" s="85" t="str">
        <f>HYPERLINK("https://twitter.com/icahdq")</f>
        <v>https://twitter.com/icahdq</v>
      </c>
      <c r="BP28" s="80" t="str">
        <f>REPLACE(INDEX(GroupVertices[Group], MATCH("~"&amp;Vertices[[#This Row],[Vertex]],GroupVertices[Vertex],0)),1,1,"")</f>
        <v>3</v>
      </c>
      <c r="BQ28" s="49"/>
      <c r="BR28" s="50"/>
      <c r="BS28" s="49"/>
      <c r="BT28" s="50"/>
      <c r="BU28" s="49"/>
      <c r="BV28" s="50"/>
      <c r="BW28" s="49"/>
      <c r="BX28" s="50"/>
      <c r="BY28" s="49"/>
      <c r="BZ28" s="49"/>
      <c r="CA28" s="49"/>
      <c r="CB28" s="49"/>
      <c r="CC28" s="49"/>
      <c r="CD28" s="49"/>
      <c r="CE28" s="49"/>
      <c r="CF28" s="49"/>
      <c r="CG28" s="49"/>
      <c r="CH28" s="49"/>
      <c r="CI28" s="49"/>
      <c r="CJ28" s="2"/>
      <c r="CK28" s="3"/>
      <c r="CL28" s="3"/>
      <c r="CM28" s="3"/>
      <c r="CN28" s="3"/>
    </row>
    <row r="29" spans="1:92" x14ac:dyDescent="0.25">
      <c r="A29" s="65" t="s">
        <v>250</v>
      </c>
      <c r="B29" s="66"/>
      <c r="C29" s="66" t="s">
        <v>64</v>
      </c>
      <c r="D29" s="67">
        <v>100</v>
      </c>
      <c r="E29" s="69"/>
      <c r="F29" s="104" t="str">
        <f>HYPERLINK("https://pbs.twimg.com/profile_images/1307781872748048384/FEcShCls_normal.jpg")</f>
        <v>https://pbs.twimg.com/profile_images/1307781872748048384/FEcShCls_normal.jpg</v>
      </c>
      <c r="G29" s="66"/>
      <c r="H29" s="70" t="s">
        <v>250</v>
      </c>
      <c r="I29" s="71"/>
      <c r="J29" s="71" t="s">
        <v>159</v>
      </c>
      <c r="K29" s="70" t="s">
        <v>1483</v>
      </c>
      <c r="L29" s="74">
        <v>1</v>
      </c>
      <c r="M29" s="75">
        <v>6420.2822265625</v>
      </c>
      <c r="N29" s="75">
        <v>5678.4443359375</v>
      </c>
      <c r="O29" s="76"/>
      <c r="P29" s="77"/>
      <c r="Q29" s="77"/>
      <c r="R29" s="90"/>
      <c r="S29" s="49">
        <v>0</v>
      </c>
      <c r="T29" s="49">
        <v>1</v>
      </c>
      <c r="U29" s="50">
        <v>0</v>
      </c>
      <c r="V29" s="50">
        <v>3.0644000000000001E-2</v>
      </c>
      <c r="W29" s="50">
        <v>0</v>
      </c>
      <c r="X29" s="50">
        <v>7.1630000000000001E-3</v>
      </c>
      <c r="Y29" s="50">
        <v>0</v>
      </c>
      <c r="Z29" s="50">
        <v>0</v>
      </c>
      <c r="AA29" s="72">
        <v>29</v>
      </c>
      <c r="AB29" s="72"/>
      <c r="AC29" s="73"/>
      <c r="AD29" s="80" t="s">
        <v>958</v>
      </c>
      <c r="AE29" s="87" t="s">
        <v>1074</v>
      </c>
      <c r="AF29" s="80">
        <v>956</v>
      </c>
      <c r="AG29" s="80">
        <v>814</v>
      </c>
      <c r="AH29" s="80">
        <v>1291</v>
      </c>
      <c r="AI29" s="80">
        <v>35</v>
      </c>
      <c r="AJ29" s="80">
        <v>3287</v>
      </c>
      <c r="AK29" s="80">
        <v>48</v>
      </c>
      <c r="AL29" s="80" t="b">
        <v>0</v>
      </c>
      <c r="AM29" s="82">
        <v>40802.738622685189</v>
      </c>
      <c r="AN29" s="80" t="s">
        <v>1177</v>
      </c>
      <c r="AO29" s="80" t="s">
        <v>1254</v>
      </c>
      <c r="AP29" s="85" t="str">
        <f>HYPERLINK("https://t.co/q5Dmjudcj8")</f>
        <v>https://t.co/q5Dmjudcj8</v>
      </c>
      <c r="AQ29" s="85" t="str">
        <f>HYPERLINK("http://www.plymouth.ac.uk/staff/aanderson")</f>
        <v>http://www.plymouth.ac.uk/staff/aanderson</v>
      </c>
      <c r="AR29" s="80" t="s">
        <v>1369</v>
      </c>
      <c r="AS29" s="85" t="str">
        <f>HYPERLINK("https://t.co/zzpxnp3fBo")</f>
        <v>https://t.co/zzpxnp3fBo</v>
      </c>
      <c r="AT29" s="85" t="str">
        <f>HYPERLINK("https://link.springer.com/book/10.1057/9781137314086")</f>
        <v>https://link.springer.com/book/10.1057/9781137314086</v>
      </c>
      <c r="AU29" s="80" t="s">
        <v>1443</v>
      </c>
      <c r="AV29" s="80">
        <v>1.58018214633279E+18</v>
      </c>
      <c r="AW29" s="85" t="str">
        <f>HYPERLINK("https://t.co/q5Dmjudcj8")</f>
        <v>https://t.co/q5Dmjudcj8</v>
      </c>
      <c r="AX29" s="80" t="b">
        <v>0</v>
      </c>
      <c r="AY29" s="80"/>
      <c r="AZ29" s="80"/>
      <c r="BA29" s="80" t="b">
        <v>0</v>
      </c>
      <c r="BB29" s="80" t="b">
        <v>1</v>
      </c>
      <c r="BC29" s="80" t="b">
        <v>0</v>
      </c>
      <c r="BD29" s="80" t="b">
        <v>0</v>
      </c>
      <c r="BE29" s="80" t="b">
        <v>1</v>
      </c>
      <c r="BF29" s="80" t="b">
        <v>0</v>
      </c>
      <c r="BG29" s="80" t="b">
        <v>0</v>
      </c>
      <c r="BH29" s="85" t="str">
        <f>HYPERLINK("https://pbs.twimg.com/profile_banners/374648509/1667406197")</f>
        <v>https://pbs.twimg.com/profile_banners/374648509/1667406197</v>
      </c>
      <c r="BI29" s="80"/>
      <c r="BJ29" s="80" t="s">
        <v>1455</v>
      </c>
      <c r="BK29" s="80" t="b">
        <v>0</v>
      </c>
      <c r="BL29" s="80"/>
      <c r="BM29" s="80" t="s">
        <v>66</v>
      </c>
      <c r="BN29" s="80" t="s">
        <v>1457</v>
      </c>
      <c r="BO29" s="85" t="str">
        <f>HYPERLINK("https://twitter.com/profaanderson")</f>
        <v>https://twitter.com/profaanderson</v>
      </c>
      <c r="BP29" s="80" t="str">
        <f>REPLACE(INDEX(GroupVertices[Group], MATCH("~"&amp;Vertices[[#This Row],[Vertex]],GroupVertices[Vertex],0)),1,1,"")</f>
        <v>7</v>
      </c>
      <c r="BQ29" s="49">
        <v>1</v>
      </c>
      <c r="BR29" s="50">
        <v>4.5454545454545459</v>
      </c>
      <c r="BS29" s="49">
        <v>0</v>
      </c>
      <c r="BT29" s="50">
        <v>0</v>
      </c>
      <c r="BU29" s="49">
        <v>0</v>
      </c>
      <c r="BV29" s="50">
        <v>0</v>
      </c>
      <c r="BW29" s="49">
        <v>14</v>
      </c>
      <c r="BX29" s="50">
        <v>63.636363636363633</v>
      </c>
      <c r="BY29" s="49">
        <v>22</v>
      </c>
      <c r="BZ29" s="49"/>
      <c r="CA29" s="49"/>
      <c r="CB29" s="49"/>
      <c r="CC29" s="49"/>
      <c r="CD29" s="49"/>
      <c r="CE29" s="49"/>
      <c r="CF29" s="116" t="s">
        <v>9910</v>
      </c>
      <c r="CG29" s="116" t="s">
        <v>9910</v>
      </c>
      <c r="CH29" s="116" t="s">
        <v>9980</v>
      </c>
      <c r="CI29" s="116" t="s">
        <v>9980</v>
      </c>
      <c r="CJ29" s="2"/>
      <c r="CK29" s="3"/>
      <c r="CL29" s="3"/>
      <c r="CM29" s="3"/>
      <c r="CN29" s="3"/>
    </row>
    <row r="30" spans="1:92" x14ac:dyDescent="0.25">
      <c r="A30" s="65" t="s">
        <v>306</v>
      </c>
      <c r="B30" s="66"/>
      <c r="C30" s="66" t="s">
        <v>64</v>
      </c>
      <c r="D30" s="67">
        <v>128.8235294117647</v>
      </c>
      <c r="E30" s="69"/>
      <c r="F30" s="104" t="str">
        <f>HYPERLINK("https://pbs.twimg.com/profile_images/668944064755179520/mealRoFg_normal.jpg")</f>
        <v>https://pbs.twimg.com/profile_images/668944064755179520/mealRoFg_normal.jpg</v>
      </c>
      <c r="G30" s="66"/>
      <c r="H30" s="70" t="s">
        <v>306</v>
      </c>
      <c r="I30" s="71"/>
      <c r="J30" s="71" t="s">
        <v>75</v>
      </c>
      <c r="K30" s="70" t="s">
        <v>1484</v>
      </c>
      <c r="L30" s="74">
        <v>46.5154024583234</v>
      </c>
      <c r="M30" s="75">
        <v>6258.1357421875</v>
      </c>
      <c r="N30" s="75">
        <v>3880.806640625</v>
      </c>
      <c r="O30" s="76"/>
      <c r="P30" s="77"/>
      <c r="Q30" s="77"/>
      <c r="R30" s="90"/>
      <c r="S30" s="49">
        <v>4</v>
      </c>
      <c r="T30" s="49">
        <v>3</v>
      </c>
      <c r="U30" s="50">
        <v>42</v>
      </c>
      <c r="V30" s="50">
        <v>5.6911000000000003E-2</v>
      </c>
      <c r="W30" s="50">
        <v>0</v>
      </c>
      <c r="X30" s="50">
        <v>1.4376E-2</v>
      </c>
      <c r="Y30" s="50">
        <v>0</v>
      </c>
      <c r="Z30" s="50">
        <v>0</v>
      </c>
      <c r="AA30" s="72">
        <v>30</v>
      </c>
      <c r="AB30" s="72"/>
      <c r="AC30" s="73"/>
      <c r="AD30" s="80" t="s">
        <v>959</v>
      </c>
      <c r="AE30" s="87" t="s">
        <v>1075</v>
      </c>
      <c r="AF30" s="80">
        <v>1667</v>
      </c>
      <c r="AG30" s="80">
        <v>4864</v>
      </c>
      <c r="AH30" s="80">
        <v>29493</v>
      </c>
      <c r="AI30" s="80">
        <v>42</v>
      </c>
      <c r="AJ30" s="80">
        <v>27867</v>
      </c>
      <c r="AK30" s="80">
        <v>137</v>
      </c>
      <c r="AL30" s="80" t="b">
        <v>0</v>
      </c>
      <c r="AM30" s="82">
        <v>40415.187476851854</v>
      </c>
      <c r="AN30" s="80"/>
      <c r="AO30" s="80" t="s">
        <v>1255</v>
      </c>
      <c r="AP30" s="80"/>
      <c r="AQ30" s="80"/>
      <c r="AR30" s="80"/>
      <c r="AS30" s="85" t="str">
        <f>HYPERLINK("https://t.co/naEHwyAqOn")</f>
        <v>https://t.co/naEHwyAqOn</v>
      </c>
      <c r="AT30" s="85" t="str">
        <f>HYPERLINK("http://cliftonumc.com")</f>
        <v>http://cliftonumc.com</v>
      </c>
      <c r="AU30" s="80" t="s">
        <v>1444</v>
      </c>
      <c r="AV30" s="80">
        <v>1.4598609157892101E+18</v>
      </c>
      <c r="AW30" s="80"/>
      <c r="AX30" s="80" t="b">
        <v>0</v>
      </c>
      <c r="AY30" s="80"/>
      <c r="AZ30" s="80"/>
      <c r="BA30" s="80" t="b">
        <v>0</v>
      </c>
      <c r="BB30" s="80" t="b">
        <v>1</v>
      </c>
      <c r="BC30" s="80" t="b">
        <v>1</v>
      </c>
      <c r="BD30" s="80" t="b">
        <v>0</v>
      </c>
      <c r="BE30" s="80" t="b">
        <v>0</v>
      </c>
      <c r="BF30" s="80" t="b">
        <v>0</v>
      </c>
      <c r="BG30" s="80" t="b">
        <v>0</v>
      </c>
      <c r="BH30" s="80"/>
      <c r="BI30" s="80"/>
      <c r="BJ30" s="80" t="s">
        <v>1455</v>
      </c>
      <c r="BK30" s="80" t="b">
        <v>0</v>
      </c>
      <c r="BL30" s="80"/>
      <c r="BM30" s="80" t="s">
        <v>66</v>
      </c>
      <c r="BN30" s="80" t="s">
        <v>1457</v>
      </c>
      <c r="BO30" s="85" t="str">
        <f>HYPERLINK("https://twitter.com/stevedepo")</f>
        <v>https://twitter.com/stevedepo</v>
      </c>
      <c r="BP30" s="80" t="str">
        <f>REPLACE(INDEX(GroupVertices[Group], MATCH("~"&amp;Vertices[[#This Row],[Vertex]],GroupVertices[Vertex],0)),1,1,"")</f>
        <v>7</v>
      </c>
      <c r="BQ30" s="49">
        <v>1</v>
      </c>
      <c r="BR30" s="50">
        <v>2.9411764705882355</v>
      </c>
      <c r="BS30" s="49">
        <v>0</v>
      </c>
      <c r="BT30" s="50">
        <v>0</v>
      </c>
      <c r="BU30" s="49">
        <v>0</v>
      </c>
      <c r="BV30" s="50">
        <v>0</v>
      </c>
      <c r="BW30" s="49">
        <v>22</v>
      </c>
      <c r="BX30" s="50">
        <v>64.705882352941174</v>
      </c>
      <c r="BY30" s="49">
        <v>34</v>
      </c>
      <c r="BZ30" s="49" t="s">
        <v>9564</v>
      </c>
      <c r="CA30" s="49" t="s">
        <v>9564</v>
      </c>
      <c r="CB30" s="49" t="s">
        <v>516</v>
      </c>
      <c r="CC30" s="49" t="s">
        <v>516</v>
      </c>
      <c r="CD30" s="49" t="s">
        <v>495</v>
      </c>
      <c r="CE30" s="49" t="s">
        <v>495</v>
      </c>
      <c r="CF30" s="116" t="s">
        <v>9911</v>
      </c>
      <c r="CG30" s="116" t="s">
        <v>9911</v>
      </c>
      <c r="CH30" s="116" t="s">
        <v>9981</v>
      </c>
      <c r="CI30" s="116" t="s">
        <v>9981</v>
      </c>
      <c r="CJ30" s="2"/>
      <c r="CK30" s="3"/>
      <c r="CL30" s="3"/>
      <c r="CM30" s="3"/>
      <c r="CN30" s="3"/>
    </row>
    <row r="31" spans="1:92" x14ac:dyDescent="0.25">
      <c r="A31" s="65" t="s">
        <v>251</v>
      </c>
      <c r="B31" s="66"/>
      <c r="C31" s="66" t="s">
        <v>64</v>
      </c>
      <c r="D31" s="67">
        <v>100</v>
      </c>
      <c r="E31" s="69"/>
      <c r="F31" s="104" t="str">
        <f>HYPERLINK("https://abs.twimg.com/sticky/default_profile_images/default_profile_normal.png")</f>
        <v>https://abs.twimg.com/sticky/default_profile_images/default_profile_normal.png</v>
      </c>
      <c r="G31" s="66"/>
      <c r="H31" s="70" t="s">
        <v>251</v>
      </c>
      <c r="I31" s="71"/>
      <c r="J31" s="71" t="s">
        <v>159</v>
      </c>
      <c r="K31" s="70" t="s">
        <v>1485</v>
      </c>
      <c r="L31" s="74">
        <v>1</v>
      </c>
      <c r="M31" s="75">
        <v>7413.87548828125</v>
      </c>
      <c r="N31" s="75">
        <v>2345.4443359375</v>
      </c>
      <c r="O31" s="76"/>
      <c r="P31" s="77"/>
      <c r="Q31" s="77"/>
      <c r="R31" s="90"/>
      <c r="S31" s="49">
        <v>1</v>
      </c>
      <c r="T31" s="49">
        <v>1</v>
      </c>
      <c r="U31" s="50">
        <v>0</v>
      </c>
      <c r="V31" s="50">
        <v>0</v>
      </c>
      <c r="W31" s="50">
        <v>0</v>
      </c>
      <c r="X31" s="50">
        <v>8.0649999999999993E-3</v>
      </c>
      <c r="Y31" s="50">
        <v>0</v>
      </c>
      <c r="Z31" s="50">
        <v>0</v>
      </c>
      <c r="AA31" s="72">
        <v>31</v>
      </c>
      <c r="AB31" s="72"/>
      <c r="AC31" s="73"/>
      <c r="AD31" s="80" t="s">
        <v>960</v>
      </c>
      <c r="AE31" s="87" t="s">
        <v>883</v>
      </c>
      <c r="AF31" s="80">
        <v>58</v>
      </c>
      <c r="AG31" s="80">
        <v>1440</v>
      </c>
      <c r="AH31" s="80">
        <v>786</v>
      </c>
      <c r="AI31" s="80">
        <v>0</v>
      </c>
      <c r="AJ31" s="80">
        <v>647</v>
      </c>
      <c r="AK31" s="80">
        <v>108</v>
      </c>
      <c r="AL31" s="80" t="b">
        <v>0</v>
      </c>
      <c r="AM31" s="82">
        <v>44807.14880787037</v>
      </c>
      <c r="AN31" s="80"/>
      <c r="AO31" s="80"/>
      <c r="AP31" s="80"/>
      <c r="AQ31" s="80"/>
      <c r="AR31" s="80"/>
      <c r="AS31" s="80"/>
      <c r="AT31" s="80"/>
      <c r="AU31" s="80"/>
      <c r="AV31" s="80"/>
      <c r="AW31" s="80"/>
      <c r="AX31" s="80" t="b">
        <v>0</v>
      </c>
      <c r="AY31" s="80"/>
      <c r="AZ31" s="80"/>
      <c r="BA31" s="80" t="b">
        <v>0</v>
      </c>
      <c r="BB31" s="80" t="b">
        <v>1</v>
      </c>
      <c r="BC31" s="80" t="b">
        <v>1</v>
      </c>
      <c r="BD31" s="80" t="b">
        <v>1</v>
      </c>
      <c r="BE31" s="80" t="b">
        <v>0</v>
      </c>
      <c r="BF31" s="80" t="b">
        <v>0</v>
      </c>
      <c r="BG31" s="80" t="b">
        <v>0</v>
      </c>
      <c r="BH31" s="80"/>
      <c r="BI31" s="80"/>
      <c r="BJ31" s="80" t="s">
        <v>1455</v>
      </c>
      <c r="BK31" s="80" t="b">
        <v>0</v>
      </c>
      <c r="BL31" s="80"/>
      <c r="BM31" s="80" t="s">
        <v>66</v>
      </c>
      <c r="BN31" s="80" t="s">
        <v>1457</v>
      </c>
      <c r="BO31" s="85" t="str">
        <f>HYPERLINK("https://twitter.com/suzie_bell")</f>
        <v>https://twitter.com/suzie_bell</v>
      </c>
      <c r="BP31" s="80" t="str">
        <f>REPLACE(INDEX(GroupVertices[Group], MATCH("~"&amp;Vertices[[#This Row],[Vertex]],GroupVertices[Vertex],0)),1,1,"")</f>
        <v>13</v>
      </c>
      <c r="BQ31" s="49">
        <v>0</v>
      </c>
      <c r="BR31" s="50">
        <v>0</v>
      </c>
      <c r="BS31" s="49">
        <v>0</v>
      </c>
      <c r="BT31" s="50">
        <v>0</v>
      </c>
      <c r="BU31" s="49">
        <v>0</v>
      </c>
      <c r="BV31" s="50">
        <v>0</v>
      </c>
      <c r="BW31" s="49">
        <v>25</v>
      </c>
      <c r="BX31" s="50">
        <v>62.5</v>
      </c>
      <c r="BY31" s="49">
        <v>40</v>
      </c>
      <c r="BZ31" s="49"/>
      <c r="CA31" s="49"/>
      <c r="CB31" s="49"/>
      <c r="CC31" s="49"/>
      <c r="CD31" s="49"/>
      <c r="CE31" s="49"/>
      <c r="CF31" s="116" t="s">
        <v>9912</v>
      </c>
      <c r="CG31" s="116" t="s">
        <v>9912</v>
      </c>
      <c r="CH31" s="116" t="s">
        <v>9982</v>
      </c>
      <c r="CI31" s="116" t="s">
        <v>9982</v>
      </c>
      <c r="CJ31" s="2"/>
      <c r="CK31" s="3"/>
      <c r="CL31" s="3"/>
      <c r="CM31" s="3"/>
      <c r="CN31" s="3"/>
    </row>
    <row r="32" spans="1:92" x14ac:dyDescent="0.25">
      <c r="A32" s="65" t="s">
        <v>318</v>
      </c>
      <c r="B32" s="66"/>
      <c r="C32" s="66" t="s">
        <v>64</v>
      </c>
      <c r="D32" s="67">
        <v>100</v>
      </c>
      <c r="E32" s="69"/>
      <c r="F32" s="104" t="str">
        <f>HYPERLINK("https://pbs.twimg.com/profile_images/1686782743454138377/I0pqLgPc_normal.jpg")</f>
        <v>https://pbs.twimg.com/profile_images/1686782743454138377/I0pqLgPc_normal.jpg</v>
      </c>
      <c r="G32" s="66"/>
      <c r="H32" s="70" t="s">
        <v>318</v>
      </c>
      <c r="I32" s="71"/>
      <c r="J32" s="71" t="s">
        <v>159</v>
      </c>
      <c r="K32" s="70" t="s">
        <v>1486</v>
      </c>
      <c r="L32" s="74">
        <v>1</v>
      </c>
      <c r="M32" s="75">
        <v>1520.038818359375</v>
      </c>
      <c r="N32" s="75">
        <v>5319.67138671875</v>
      </c>
      <c r="O32" s="76"/>
      <c r="P32" s="77"/>
      <c r="Q32" s="77"/>
      <c r="R32" s="90"/>
      <c r="S32" s="49">
        <v>1</v>
      </c>
      <c r="T32" s="49">
        <v>0</v>
      </c>
      <c r="U32" s="50">
        <v>0</v>
      </c>
      <c r="V32" s="50">
        <v>0.24357100000000001</v>
      </c>
      <c r="W32" s="50">
        <v>2.5832999999999998E-2</v>
      </c>
      <c r="X32" s="50">
        <v>6.9899999999999997E-3</v>
      </c>
      <c r="Y32" s="50">
        <v>0</v>
      </c>
      <c r="Z32" s="50">
        <v>0</v>
      </c>
      <c r="AA32" s="72">
        <v>32</v>
      </c>
      <c r="AB32" s="72"/>
      <c r="AC32" s="73"/>
      <c r="AD32" s="80" t="s">
        <v>961</v>
      </c>
      <c r="AE32" s="87" t="s">
        <v>1076</v>
      </c>
      <c r="AF32" s="80">
        <v>690950</v>
      </c>
      <c r="AG32" s="80">
        <v>25761</v>
      </c>
      <c r="AH32" s="80">
        <v>153977</v>
      </c>
      <c r="AI32" s="80">
        <v>15768</v>
      </c>
      <c r="AJ32" s="80">
        <v>90424</v>
      </c>
      <c r="AK32" s="80">
        <v>65371</v>
      </c>
      <c r="AL32" s="80" t="b">
        <v>0</v>
      </c>
      <c r="AM32" s="82">
        <v>39913.514409722222</v>
      </c>
      <c r="AN32" s="80" t="s">
        <v>1178</v>
      </c>
      <c r="AO32" s="80" t="s">
        <v>1256</v>
      </c>
      <c r="AP32" s="85" t="str">
        <f>HYPERLINK("https://t.co/5GsyiFiwln")</f>
        <v>https://t.co/5GsyiFiwln</v>
      </c>
      <c r="AQ32" s="85" t="str">
        <f>HYPERLINK("http://adweek.com/")</f>
        <v>http://adweek.com/</v>
      </c>
      <c r="AR32" s="80" t="s">
        <v>1370</v>
      </c>
      <c r="AS32" s="80"/>
      <c r="AT32" s="80"/>
      <c r="AU32" s="80"/>
      <c r="AV32" s="80">
        <v>1.71934636449934E+18</v>
      </c>
      <c r="AW32" s="85" t="str">
        <f>HYPERLINK("https://t.co/5GsyiFiwln")</f>
        <v>https://t.co/5GsyiFiwln</v>
      </c>
      <c r="AX32" s="80" t="b">
        <v>0</v>
      </c>
      <c r="AY32" s="80"/>
      <c r="AZ32" s="80"/>
      <c r="BA32" s="80" t="b">
        <v>0</v>
      </c>
      <c r="BB32" s="80" t="b">
        <v>0</v>
      </c>
      <c r="BC32" s="80" t="b">
        <v>0</v>
      </c>
      <c r="BD32" s="80" t="b">
        <v>0</v>
      </c>
      <c r="BE32" s="80" t="b">
        <v>1</v>
      </c>
      <c r="BF32" s="80" t="b">
        <v>0</v>
      </c>
      <c r="BG32" s="80" t="b">
        <v>0</v>
      </c>
      <c r="BH32" s="85" t="str">
        <f>HYPERLINK("https://pbs.twimg.com/profile_banners/30205586/1698759110")</f>
        <v>https://pbs.twimg.com/profile_banners/30205586/1698759110</v>
      </c>
      <c r="BI32" s="80"/>
      <c r="BJ32" s="80" t="s">
        <v>1455</v>
      </c>
      <c r="BK32" s="80" t="b">
        <v>0</v>
      </c>
      <c r="BL32" s="80"/>
      <c r="BM32" s="80" t="s">
        <v>65</v>
      </c>
      <c r="BN32" s="80" t="s">
        <v>1457</v>
      </c>
      <c r="BO32" s="85" t="str">
        <f>HYPERLINK("https://twitter.com/adweek")</f>
        <v>https://twitter.com/adweek</v>
      </c>
      <c r="BP32" s="80" t="str">
        <f>REPLACE(INDEX(GroupVertices[Group], MATCH("~"&amp;Vertices[[#This Row],[Vertex]],GroupVertices[Vertex],0)),1,1,"")</f>
        <v>2</v>
      </c>
      <c r="BQ32" s="49"/>
      <c r="BR32" s="50"/>
      <c r="BS32" s="49"/>
      <c r="BT32" s="50"/>
      <c r="BU32" s="49"/>
      <c r="BV32" s="50"/>
      <c r="BW32" s="49"/>
      <c r="BX32" s="50"/>
      <c r="BY32" s="49"/>
      <c r="BZ32" s="49"/>
      <c r="CA32" s="49"/>
      <c r="CB32" s="49"/>
      <c r="CC32" s="49"/>
      <c r="CD32" s="49"/>
      <c r="CE32" s="49"/>
      <c r="CF32" s="49"/>
      <c r="CG32" s="49"/>
      <c r="CH32" s="49"/>
      <c r="CI32" s="49"/>
      <c r="CJ32" s="2"/>
      <c r="CK32" s="3"/>
      <c r="CL32" s="3"/>
      <c r="CM32" s="3"/>
      <c r="CN32" s="3"/>
    </row>
    <row r="33" spans="1:92" x14ac:dyDescent="0.25">
      <c r="A33" s="65" t="s">
        <v>319</v>
      </c>
      <c r="B33" s="66"/>
      <c r="C33" s="66" t="s">
        <v>64</v>
      </c>
      <c r="D33" s="67">
        <v>100</v>
      </c>
      <c r="E33" s="69"/>
      <c r="F33" s="104" t="str">
        <f>HYPERLINK("https://pbs.twimg.com/profile_images/912682094308012032/9QkafiSn_normal.jpg")</f>
        <v>https://pbs.twimg.com/profile_images/912682094308012032/9QkafiSn_normal.jpg</v>
      </c>
      <c r="G33" s="66"/>
      <c r="H33" s="70" t="s">
        <v>319</v>
      </c>
      <c r="I33" s="71"/>
      <c r="J33" s="71" t="s">
        <v>159</v>
      </c>
      <c r="K33" s="70" t="s">
        <v>1487</v>
      </c>
      <c r="L33" s="74">
        <v>1</v>
      </c>
      <c r="M33" s="75">
        <v>229.40960693359375</v>
      </c>
      <c r="N33" s="75">
        <v>7997.82958984375</v>
      </c>
      <c r="O33" s="76"/>
      <c r="P33" s="77"/>
      <c r="Q33" s="77"/>
      <c r="R33" s="90"/>
      <c r="S33" s="49">
        <v>1</v>
      </c>
      <c r="T33" s="49">
        <v>0</v>
      </c>
      <c r="U33" s="50">
        <v>0</v>
      </c>
      <c r="V33" s="50">
        <v>0.24357100000000001</v>
      </c>
      <c r="W33" s="50">
        <v>2.5832999999999998E-2</v>
      </c>
      <c r="X33" s="50">
        <v>6.9899999999999997E-3</v>
      </c>
      <c r="Y33" s="50">
        <v>0</v>
      </c>
      <c r="Z33" s="50">
        <v>0</v>
      </c>
      <c r="AA33" s="72">
        <v>33</v>
      </c>
      <c r="AB33" s="72"/>
      <c r="AC33" s="73"/>
      <c r="AD33" s="80" t="s">
        <v>962</v>
      </c>
      <c r="AE33" s="87" t="s">
        <v>1077</v>
      </c>
      <c r="AF33" s="80">
        <v>981901</v>
      </c>
      <c r="AG33" s="80">
        <v>70119</v>
      </c>
      <c r="AH33" s="80">
        <v>181751</v>
      </c>
      <c r="AI33" s="80">
        <v>24749</v>
      </c>
      <c r="AJ33" s="80">
        <v>7170</v>
      </c>
      <c r="AK33" s="80">
        <v>107623</v>
      </c>
      <c r="AL33" s="80" t="b">
        <v>0</v>
      </c>
      <c r="AM33" s="82">
        <v>39468.176493055558</v>
      </c>
      <c r="AN33" s="80" t="s">
        <v>1179</v>
      </c>
      <c r="AO33" s="80" t="s">
        <v>1257</v>
      </c>
      <c r="AP33" s="85" t="str">
        <f>HYPERLINK("http://t.co/sy4FPwsQ56")</f>
        <v>http://t.co/sy4FPwsQ56</v>
      </c>
      <c r="AQ33" s="85" t="str">
        <f>HYPERLINK("http://adage.com")</f>
        <v>http://adage.com</v>
      </c>
      <c r="AR33" s="80" t="s">
        <v>1371</v>
      </c>
      <c r="AS33" s="80"/>
      <c r="AT33" s="80"/>
      <c r="AU33" s="80"/>
      <c r="AV33" s="80"/>
      <c r="AW33" s="85" t="str">
        <f>HYPERLINK("http://t.co/sy4FPwsQ56")</f>
        <v>http://t.co/sy4FPwsQ56</v>
      </c>
      <c r="AX33" s="80" t="b">
        <v>0</v>
      </c>
      <c r="AY33" s="80"/>
      <c r="AZ33" s="80"/>
      <c r="BA33" s="80" t="b">
        <v>1</v>
      </c>
      <c r="BB33" s="80" t="b">
        <v>1</v>
      </c>
      <c r="BC33" s="80" t="b">
        <v>0</v>
      </c>
      <c r="BD33" s="80" t="b">
        <v>0</v>
      </c>
      <c r="BE33" s="80" t="b">
        <v>1</v>
      </c>
      <c r="BF33" s="80" t="b">
        <v>0</v>
      </c>
      <c r="BG33" s="80" t="b">
        <v>0</v>
      </c>
      <c r="BH33" s="85" t="str">
        <f>HYPERLINK("https://pbs.twimg.com/profile_banners/12480582/1506359488")</f>
        <v>https://pbs.twimg.com/profile_banners/12480582/1506359488</v>
      </c>
      <c r="BI33" s="80"/>
      <c r="BJ33" s="80" t="s">
        <v>1456</v>
      </c>
      <c r="BK33" s="80" t="b">
        <v>0</v>
      </c>
      <c r="BL33" s="80"/>
      <c r="BM33" s="80" t="s">
        <v>65</v>
      </c>
      <c r="BN33" s="80" t="s">
        <v>1457</v>
      </c>
      <c r="BO33" s="85" t="str">
        <f>HYPERLINK("https://twitter.com/adage")</f>
        <v>https://twitter.com/adage</v>
      </c>
      <c r="BP33" s="80" t="str">
        <f>REPLACE(INDEX(GroupVertices[Group], MATCH("~"&amp;Vertices[[#This Row],[Vertex]],GroupVertices[Vertex],0)),1,1,"")</f>
        <v>2</v>
      </c>
      <c r="BQ33" s="49"/>
      <c r="BR33" s="50"/>
      <c r="BS33" s="49"/>
      <c r="BT33" s="50"/>
      <c r="BU33" s="49"/>
      <c r="BV33" s="50"/>
      <c r="BW33" s="49"/>
      <c r="BX33" s="50"/>
      <c r="BY33" s="49"/>
      <c r="BZ33" s="49"/>
      <c r="CA33" s="49"/>
      <c r="CB33" s="49"/>
      <c r="CC33" s="49"/>
      <c r="CD33" s="49"/>
      <c r="CE33" s="49"/>
      <c r="CF33" s="49"/>
      <c r="CG33" s="49"/>
      <c r="CH33" s="49"/>
      <c r="CI33" s="49"/>
      <c r="CJ33" s="2"/>
      <c r="CK33" s="3"/>
      <c r="CL33" s="3"/>
      <c r="CM33" s="3"/>
      <c r="CN33" s="3"/>
    </row>
    <row r="34" spans="1:92" x14ac:dyDescent="0.25">
      <c r="A34" s="65" t="s">
        <v>253</v>
      </c>
      <c r="B34" s="66"/>
      <c r="C34" s="66" t="s">
        <v>64</v>
      </c>
      <c r="D34" s="67">
        <v>104.11764705882354</v>
      </c>
      <c r="E34" s="69"/>
      <c r="F34" s="104" t="str">
        <f>HYPERLINK("https://pbs.twimg.com/profile_images/1641843825688838144/sHCTtMet_normal.jpg")</f>
        <v>https://pbs.twimg.com/profile_images/1641843825688838144/sHCTtMet_normal.jpg</v>
      </c>
      <c r="G34" s="66"/>
      <c r="H34" s="70" t="s">
        <v>253</v>
      </c>
      <c r="I34" s="71"/>
      <c r="J34" s="71" t="s">
        <v>75</v>
      </c>
      <c r="K34" s="70" t="s">
        <v>1488</v>
      </c>
      <c r="L34" s="74">
        <v>7.5022003511890576</v>
      </c>
      <c r="M34" s="75">
        <v>5842.99462890625</v>
      </c>
      <c r="N34" s="75">
        <v>627.50927734375</v>
      </c>
      <c r="O34" s="76"/>
      <c r="P34" s="77"/>
      <c r="Q34" s="77"/>
      <c r="R34" s="90"/>
      <c r="S34" s="49">
        <v>0</v>
      </c>
      <c r="T34" s="49">
        <v>2</v>
      </c>
      <c r="U34" s="50">
        <v>6</v>
      </c>
      <c r="V34" s="50">
        <v>0.25037500000000001</v>
      </c>
      <c r="W34" s="50">
        <v>3.7182E-2</v>
      </c>
      <c r="X34" s="50">
        <v>7.2890000000000003E-3</v>
      </c>
      <c r="Y34" s="50">
        <v>0</v>
      </c>
      <c r="Z34" s="50">
        <v>0</v>
      </c>
      <c r="AA34" s="72">
        <v>34</v>
      </c>
      <c r="AB34" s="72"/>
      <c r="AC34" s="73"/>
      <c r="AD34" s="80" t="s">
        <v>963</v>
      </c>
      <c r="AE34" s="87" t="s">
        <v>1078</v>
      </c>
      <c r="AF34" s="80">
        <v>1567</v>
      </c>
      <c r="AG34" s="80">
        <v>1398</v>
      </c>
      <c r="AH34" s="80">
        <v>31213</v>
      </c>
      <c r="AI34" s="80">
        <v>79</v>
      </c>
      <c r="AJ34" s="80">
        <v>49340</v>
      </c>
      <c r="AK34" s="80">
        <v>965</v>
      </c>
      <c r="AL34" s="80" t="b">
        <v>0</v>
      </c>
      <c r="AM34" s="82">
        <v>39757.127569444441</v>
      </c>
      <c r="AN34" s="80" t="s">
        <v>1180</v>
      </c>
      <c r="AO34" s="80" t="s">
        <v>1258</v>
      </c>
      <c r="AP34" s="85" t="str">
        <f>HYPERLINK("https://t.co/FxHXuXxlIE")</f>
        <v>https://t.co/FxHXuXxlIE</v>
      </c>
      <c r="AQ34" s="85" t="str">
        <f>HYPERLINK("http://www.carabyrd.us")</f>
        <v>http://www.carabyrd.us</v>
      </c>
      <c r="AR34" s="80" t="s">
        <v>1372</v>
      </c>
      <c r="AS34" s="80"/>
      <c r="AT34" s="80"/>
      <c r="AU34" s="80"/>
      <c r="AV34" s="80"/>
      <c r="AW34" s="85" t="str">
        <f>HYPERLINK("https://t.co/FxHXuXxlIE")</f>
        <v>https://t.co/FxHXuXxlIE</v>
      </c>
      <c r="AX34" s="80" t="b">
        <v>0</v>
      </c>
      <c r="AY34" s="80"/>
      <c r="AZ34" s="80"/>
      <c r="BA34" s="80" t="b">
        <v>0</v>
      </c>
      <c r="BB34" s="80" t="b">
        <v>1</v>
      </c>
      <c r="BC34" s="80" t="b">
        <v>0</v>
      </c>
      <c r="BD34" s="80" t="b">
        <v>0</v>
      </c>
      <c r="BE34" s="80" t="b">
        <v>1</v>
      </c>
      <c r="BF34" s="80" t="b">
        <v>0</v>
      </c>
      <c r="BG34" s="80" t="b">
        <v>0</v>
      </c>
      <c r="BH34" s="85" t="str">
        <f>HYPERLINK("https://pbs.twimg.com/profile_banners/17179241/1680281074")</f>
        <v>https://pbs.twimg.com/profile_banners/17179241/1680281074</v>
      </c>
      <c r="BI34" s="80"/>
      <c r="BJ34" s="80" t="s">
        <v>1455</v>
      </c>
      <c r="BK34" s="80" t="b">
        <v>0</v>
      </c>
      <c r="BL34" s="80"/>
      <c r="BM34" s="80" t="s">
        <v>66</v>
      </c>
      <c r="BN34" s="80" t="s">
        <v>1457</v>
      </c>
      <c r="BO34" s="85" t="str">
        <f>HYPERLINK("https://twitter.com/carabyrd")</f>
        <v>https://twitter.com/carabyrd</v>
      </c>
      <c r="BP34" s="80" t="str">
        <f>REPLACE(INDEX(GroupVertices[Group], MATCH("~"&amp;Vertices[[#This Row],[Vertex]],GroupVertices[Vertex],0)),1,1,"")</f>
        <v>10</v>
      </c>
      <c r="BQ34" s="49">
        <v>0</v>
      </c>
      <c r="BR34" s="50">
        <v>0</v>
      </c>
      <c r="BS34" s="49">
        <v>0</v>
      </c>
      <c r="BT34" s="50">
        <v>0</v>
      </c>
      <c r="BU34" s="49">
        <v>0</v>
      </c>
      <c r="BV34" s="50">
        <v>0</v>
      </c>
      <c r="BW34" s="49">
        <v>24</v>
      </c>
      <c r="BX34" s="50">
        <v>51.063829787234042</v>
      </c>
      <c r="BY34" s="49">
        <v>47</v>
      </c>
      <c r="BZ34" s="49"/>
      <c r="CA34" s="49"/>
      <c r="CB34" s="49"/>
      <c r="CC34" s="49"/>
      <c r="CD34" s="49" t="s">
        <v>475</v>
      </c>
      <c r="CE34" s="49" t="s">
        <v>475</v>
      </c>
      <c r="CF34" s="116" t="s">
        <v>9913</v>
      </c>
      <c r="CG34" s="116" t="s">
        <v>9913</v>
      </c>
      <c r="CH34" s="116" t="s">
        <v>9983</v>
      </c>
      <c r="CI34" s="116" t="s">
        <v>9983</v>
      </c>
      <c r="CJ34" s="2"/>
      <c r="CK34" s="3"/>
      <c r="CL34" s="3"/>
      <c r="CM34" s="3"/>
      <c r="CN34" s="3"/>
    </row>
    <row r="35" spans="1:92" x14ac:dyDescent="0.25">
      <c r="A35" s="65" t="s">
        <v>261</v>
      </c>
      <c r="B35" s="66"/>
      <c r="C35" s="66" t="s">
        <v>64</v>
      </c>
      <c r="D35" s="67">
        <v>414.88562068627448</v>
      </c>
      <c r="E35" s="69"/>
      <c r="F35" s="104" t="str">
        <f>HYPERLINK("https://pbs.twimg.com/profile_images/621042585432264704/4y_Sk4nM_normal.png")</f>
        <v>https://pbs.twimg.com/profile_images/621042585432264704/4y_Sk4nM_normal.png</v>
      </c>
      <c r="G35" s="66"/>
      <c r="H35" s="70" t="s">
        <v>261</v>
      </c>
      <c r="I35" s="71"/>
      <c r="J35" s="71" t="s">
        <v>75</v>
      </c>
      <c r="K35" s="70" t="s">
        <v>1489</v>
      </c>
      <c r="L35" s="74">
        <v>498.23770982830763</v>
      </c>
      <c r="M35" s="75">
        <v>1563.863037109375</v>
      </c>
      <c r="N35" s="75">
        <v>8277.2431640625</v>
      </c>
      <c r="O35" s="76"/>
      <c r="P35" s="77"/>
      <c r="Q35" s="77"/>
      <c r="R35" s="90"/>
      <c r="S35" s="49">
        <v>7</v>
      </c>
      <c r="T35" s="49">
        <v>2</v>
      </c>
      <c r="U35" s="50">
        <v>458.83333299999998</v>
      </c>
      <c r="V35" s="50">
        <v>0.34342600000000001</v>
      </c>
      <c r="W35" s="50">
        <v>0.201653</v>
      </c>
      <c r="X35" s="50">
        <v>9.4710000000000003E-3</v>
      </c>
      <c r="Y35" s="50">
        <v>0.16666666666666666</v>
      </c>
      <c r="Z35" s="50">
        <v>0</v>
      </c>
      <c r="AA35" s="72">
        <v>35</v>
      </c>
      <c r="AB35" s="72"/>
      <c r="AC35" s="73"/>
      <c r="AD35" s="80" t="s">
        <v>964</v>
      </c>
      <c r="AE35" s="87" t="s">
        <v>1079</v>
      </c>
      <c r="AF35" s="80">
        <v>2579</v>
      </c>
      <c r="AG35" s="80">
        <v>1238</v>
      </c>
      <c r="AH35" s="80">
        <v>8225</v>
      </c>
      <c r="AI35" s="80">
        <v>107</v>
      </c>
      <c r="AJ35" s="80">
        <v>5031</v>
      </c>
      <c r="AK35" s="80">
        <v>1751</v>
      </c>
      <c r="AL35" s="80" t="b">
        <v>0</v>
      </c>
      <c r="AM35" s="82">
        <v>39983.580567129633</v>
      </c>
      <c r="AN35" s="80" t="s">
        <v>1181</v>
      </c>
      <c r="AO35" s="80" t="s">
        <v>1259</v>
      </c>
      <c r="AP35" s="85" t="str">
        <f>HYPERLINK("https://t.co/CVpP20GaPU")</f>
        <v>https://t.co/CVpP20GaPU</v>
      </c>
      <c r="AQ35" s="85" t="str">
        <f>HYPERLINK("http://www.aejmc.us/PRD/")</f>
        <v>http://www.aejmc.us/PRD/</v>
      </c>
      <c r="AR35" s="80" t="s">
        <v>1373</v>
      </c>
      <c r="AS35" s="80"/>
      <c r="AT35" s="80"/>
      <c r="AU35" s="80"/>
      <c r="AV35" s="80"/>
      <c r="AW35" s="85" t="str">
        <f>HYPERLINK("https://t.co/CVpP20GaPU")</f>
        <v>https://t.co/CVpP20GaPU</v>
      </c>
      <c r="AX35" s="80" t="b">
        <v>0</v>
      </c>
      <c r="AY35" s="80" t="b">
        <v>1</v>
      </c>
      <c r="AZ35" s="80" t="b">
        <v>1</v>
      </c>
      <c r="BA35" s="80" t="b">
        <v>1</v>
      </c>
      <c r="BB35" s="80" t="b">
        <v>1</v>
      </c>
      <c r="BC35" s="80" t="b">
        <v>0</v>
      </c>
      <c r="BD35" s="80" t="b">
        <v>0</v>
      </c>
      <c r="BE35" s="80" t="b">
        <v>1</v>
      </c>
      <c r="BF35" s="80" t="b">
        <v>0</v>
      </c>
      <c r="BG35" s="80" t="b">
        <v>0</v>
      </c>
      <c r="BH35" s="85" t="str">
        <f>HYPERLINK("https://pbs.twimg.com/profile_banners/48711250/1685665313")</f>
        <v>https://pbs.twimg.com/profile_banners/48711250/1685665313</v>
      </c>
      <c r="BI35" s="80"/>
      <c r="BJ35" s="80" t="s">
        <v>1455</v>
      </c>
      <c r="BK35" s="80" t="b">
        <v>1</v>
      </c>
      <c r="BL35" s="80"/>
      <c r="BM35" s="80" t="s">
        <v>66</v>
      </c>
      <c r="BN35" s="80" t="s">
        <v>1457</v>
      </c>
      <c r="BO35" s="85" t="str">
        <f>HYPERLINK("https://twitter.com/aejmc_prd")</f>
        <v>https://twitter.com/aejmc_prd</v>
      </c>
      <c r="BP35" s="80" t="str">
        <f>REPLACE(INDEX(GroupVertices[Group], MATCH("~"&amp;Vertices[[#This Row],[Vertex]],GroupVertices[Vertex],0)),1,1,"")</f>
        <v>2</v>
      </c>
      <c r="BQ35" s="49">
        <v>5</v>
      </c>
      <c r="BR35" s="50">
        <v>3.4246575342465753</v>
      </c>
      <c r="BS35" s="49">
        <v>1</v>
      </c>
      <c r="BT35" s="50">
        <v>0.68493150684931503</v>
      </c>
      <c r="BU35" s="49">
        <v>0</v>
      </c>
      <c r="BV35" s="50">
        <v>0</v>
      </c>
      <c r="BW35" s="49">
        <v>86</v>
      </c>
      <c r="BX35" s="50">
        <v>58.904109589041099</v>
      </c>
      <c r="BY35" s="49">
        <v>146</v>
      </c>
      <c r="BZ35" s="49" t="s">
        <v>9855</v>
      </c>
      <c r="CA35" s="49" t="s">
        <v>9865</v>
      </c>
      <c r="CB35" s="49" t="s">
        <v>9871</v>
      </c>
      <c r="CC35" s="49" t="s">
        <v>9876</v>
      </c>
      <c r="CD35" s="49" t="s">
        <v>9882</v>
      </c>
      <c r="CE35" s="49" t="s">
        <v>9890</v>
      </c>
      <c r="CF35" s="116" t="s">
        <v>9914</v>
      </c>
      <c r="CG35" s="116" t="s">
        <v>9959</v>
      </c>
      <c r="CH35" s="116" t="s">
        <v>9984</v>
      </c>
      <c r="CI35" s="116" t="s">
        <v>9984</v>
      </c>
      <c r="CJ35" s="2"/>
      <c r="CK35" s="3"/>
      <c r="CL35" s="3"/>
      <c r="CM35" s="3"/>
      <c r="CN35" s="3"/>
    </row>
    <row r="36" spans="1:92" x14ac:dyDescent="0.25">
      <c r="A36" s="65" t="s">
        <v>254</v>
      </c>
      <c r="B36" s="66"/>
      <c r="C36" s="66" t="s">
        <v>64</v>
      </c>
      <c r="D36" s="67">
        <v>140.26143813725491</v>
      </c>
      <c r="E36" s="69"/>
      <c r="F36" s="104" t="str">
        <f>HYPERLINK("https://pbs.twimg.com/profile_images/1380239699550298115/81rHaRRe_normal.jpg")</f>
        <v>https://pbs.twimg.com/profile_images/1380239699550298115/81rHaRRe_normal.jpg</v>
      </c>
      <c r="G36" s="66"/>
      <c r="H36" s="70" t="s">
        <v>254</v>
      </c>
      <c r="I36" s="71"/>
      <c r="J36" s="71" t="s">
        <v>75</v>
      </c>
      <c r="K36" s="70" t="s">
        <v>1490</v>
      </c>
      <c r="L36" s="74">
        <v>64.577070461748576</v>
      </c>
      <c r="M36" s="75">
        <v>1246.6392822265625</v>
      </c>
      <c r="N36" s="75">
        <v>7935.55859375</v>
      </c>
      <c r="O36" s="76"/>
      <c r="P36" s="77"/>
      <c r="Q36" s="77"/>
      <c r="R36" s="90"/>
      <c r="S36" s="49">
        <v>0</v>
      </c>
      <c r="T36" s="49">
        <v>4</v>
      </c>
      <c r="U36" s="50">
        <v>58.666666999999997</v>
      </c>
      <c r="V36" s="50">
        <v>0.32476100000000002</v>
      </c>
      <c r="W36" s="50">
        <v>0.13200500000000001</v>
      </c>
      <c r="X36" s="50">
        <v>7.6249999999999998E-3</v>
      </c>
      <c r="Y36" s="50">
        <v>0.33333333333333331</v>
      </c>
      <c r="Z36" s="50">
        <v>0</v>
      </c>
      <c r="AA36" s="72">
        <v>36</v>
      </c>
      <c r="AB36" s="72"/>
      <c r="AC36" s="73"/>
      <c r="AD36" s="80" t="s">
        <v>965</v>
      </c>
      <c r="AE36" s="87" t="s">
        <v>1080</v>
      </c>
      <c r="AF36" s="80">
        <v>769</v>
      </c>
      <c r="AG36" s="80">
        <v>877</v>
      </c>
      <c r="AH36" s="80">
        <v>3871</v>
      </c>
      <c r="AI36" s="80">
        <v>4</v>
      </c>
      <c r="AJ36" s="80">
        <v>19772</v>
      </c>
      <c r="AK36" s="80">
        <v>702</v>
      </c>
      <c r="AL36" s="80" t="b">
        <v>0</v>
      </c>
      <c r="AM36" s="82">
        <v>40902.128530092596</v>
      </c>
      <c r="AN36" s="80" t="s">
        <v>1182</v>
      </c>
      <c r="AO36" s="80" t="s">
        <v>1260</v>
      </c>
      <c r="AP36" s="80"/>
      <c r="AQ36" s="80"/>
      <c r="AR36" s="80"/>
      <c r="AS36" s="85" t="str">
        <f>HYPERLINK("https://t.co/9wRf55Hw7J")</f>
        <v>https://t.co/9wRf55Hw7J</v>
      </c>
      <c r="AT36" s="85" t="str">
        <f>HYPERLINK("http://bit.ly/43QVOa4")</f>
        <v>http://bit.ly/43QVOa4</v>
      </c>
      <c r="AU36" s="80" t="s">
        <v>1445</v>
      </c>
      <c r="AV36" s="80">
        <v>1.66645437490882E+18</v>
      </c>
      <c r="AW36" s="80"/>
      <c r="AX36" s="80" t="b">
        <v>0</v>
      </c>
      <c r="AY36" s="80"/>
      <c r="AZ36" s="80"/>
      <c r="BA36" s="80" t="b">
        <v>0</v>
      </c>
      <c r="BB36" s="80" t="b">
        <v>0</v>
      </c>
      <c r="BC36" s="80" t="b">
        <v>0</v>
      </c>
      <c r="BD36" s="80" t="b">
        <v>0</v>
      </c>
      <c r="BE36" s="80" t="b">
        <v>1</v>
      </c>
      <c r="BF36" s="80" t="b">
        <v>0</v>
      </c>
      <c r="BG36" s="80" t="b">
        <v>0</v>
      </c>
      <c r="BH36" s="85" t="str">
        <f>HYPERLINK("https://pbs.twimg.com/profile_banners/445932915/1686245207")</f>
        <v>https://pbs.twimg.com/profile_banners/445932915/1686245207</v>
      </c>
      <c r="BI36" s="80"/>
      <c r="BJ36" s="80" t="s">
        <v>1455</v>
      </c>
      <c r="BK36" s="80" t="b">
        <v>0</v>
      </c>
      <c r="BL36" s="80"/>
      <c r="BM36" s="80" t="s">
        <v>66</v>
      </c>
      <c r="BN36" s="80" t="s">
        <v>1457</v>
      </c>
      <c r="BO36" s="85" t="str">
        <f>HYPERLINK("https://twitter.com/j_o_rawlins")</f>
        <v>https://twitter.com/j_o_rawlins</v>
      </c>
      <c r="BP36" s="80" t="str">
        <f>REPLACE(INDEX(GroupVertices[Group], MATCH("~"&amp;Vertices[[#This Row],[Vertex]],GroupVertices[Vertex],0)),1,1,"")</f>
        <v>2</v>
      </c>
      <c r="BQ36" s="49">
        <v>0</v>
      </c>
      <c r="BR36" s="50">
        <v>0</v>
      </c>
      <c r="BS36" s="49">
        <v>0</v>
      </c>
      <c r="BT36" s="50">
        <v>0</v>
      </c>
      <c r="BU36" s="49">
        <v>0</v>
      </c>
      <c r="BV36" s="50">
        <v>0</v>
      </c>
      <c r="BW36" s="49">
        <v>10</v>
      </c>
      <c r="BX36" s="50">
        <v>76.92307692307692</v>
      </c>
      <c r="BY36" s="49">
        <v>13</v>
      </c>
      <c r="BZ36" s="49" t="s">
        <v>9557</v>
      </c>
      <c r="CA36" s="49" t="s">
        <v>9557</v>
      </c>
      <c r="CB36" s="49" t="s">
        <v>499</v>
      </c>
      <c r="CC36" s="49" t="s">
        <v>499</v>
      </c>
      <c r="CD36" s="49" t="s">
        <v>476</v>
      </c>
      <c r="CE36" s="49" t="s">
        <v>476</v>
      </c>
      <c r="CF36" s="116" t="s">
        <v>9915</v>
      </c>
      <c r="CG36" s="116" t="s">
        <v>9915</v>
      </c>
      <c r="CH36" s="116" t="s">
        <v>9985</v>
      </c>
      <c r="CI36" s="116" t="s">
        <v>9985</v>
      </c>
      <c r="CJ36" s="2"/>
      <c r="CK36" s="3"/>
      <c r="CL36" s="3"/>
      <c r="CM36" s="3"/>
      <c r="CN36" s="3"/>
    </row>
    <row r="37" spans="1:92" x14ac:dyDescent="0.25">
      <c r="A37" s="65" t="s">
        <v>320</v>
      </c>
      <c r="B37" s="66"/>
      <c r="C37" s="66" t="s">
        <v>64</v>
      </c>
      <c r="D37" s="67">
        <v>100.34313725490196</v>
      </c>
      <c r="E37" s="69"/>
      <c r="F37" s="104" t="str">
        <f>HYPERLINK("https://pbs.twimg.com/profile_images/1516846895934672903/vLrStfhS_normal.jpg")</f>
        <v>https://pbs.twimg.com/profile_images/1516846895934672903/vLrStfhS_normal.jpg</v>
      </c>
      <c r="G37" s="66"/>
      <c r="H37" s="70" t="s">
        <v>320</v>
      </c>
      <c r="I37" s="71"/>
      <c r="J37" s="71" t="s">
        <v>159</v>
      </c>
      <c r="K37" s="70" t="s">
        <v>1491</v>
      </c>
      <c r="L37" s="74">
        <v>1.5418500292657549</v>
      </c>
      <c r="M37" s="75">
        <v>1755.3194580078125</v>
      </c>
      <c r="N37" s="75">
        <v>6922.3759765625</v>
      </c>
      <c r="O37" s="76"/>
      <c r="P37" s="77"/>
      <c r="Q37" s="77"/>
      <c r="R37" s="90"/>
      <c r="S37" s="49">
        <v>3</v>
      </c>
      <c r="T37" s="49">
        <v>0</v>
      </c>
      <c r="U37" s="50">
        <v>0.5</v>
      </c>
      <c r="V37" s="50">
        <v>0.24624799999999999</v>
      </c>
      <c r="W37" s="50">
        <v>6.1771E-2</v>
      </c>
      <c r="X37" s="50">
        <v>7.4819999999999999E-3</v>
      </c>
      <c r="Y37" s="50">
        <v>0.33333333333333331</v>
      </c>
      <c r="Z37" s="50">
        <v>0</v>
      </c>
      <c r="AA37" s="72">
        <v>37</v>
      </c>
      <c r="AB37" s="72"/>
      <c r="AC37" s="73"/>
      <c r="AD37" s="80" t="s">
        <v>966</v>
      </c>
      <c r="AE37" s="87" t="s">
        <v>1081</v>
      </c>
      <c r="AF37" s="80">
        <v>43482</v>
      </c>
      <c r="AG37" s="80">
        <v>955</v>
      </c>
      <c r="AH37" s="80">
        <v>29678</v>
      </c>
      <c r="AI37" s="80">
        <v>283</v>
      </c>
      <c r="AJ37" s="80">
        <v>24455</v>
      </c>
      <c r="AK37" s="80">
        <v>7245</v>
      </c>
      <c r="AL37" s="80" t="b">
        <v>0</v>
      </c>
      <c r="AM37" s="82">
        <v>39766.63076388889</v>
      </c>
      <c r="AN37" s="80" t="s">
        <v>1183</v>
      </c>
      <c r="AO37" s="80" t="s">
        <v>1261</v>
      </c>
      <c r="AP37" s="85" t="str">
        <f>HYPERLINK("https://t.co/FDRx28qnaa")</f>
        <v>https://t.co/FDRx28qnaa</v>
      </c>
      <c r="AQ37" s="85" t="str">
        <f>HYPERLINK("http://bgsu.edu")</f>
        <v>http://bgsu.edu</v>
      </c>
      <c r="AR37" s="80" t="s">
        <v>1374</v>
      </c>
      <c r="AS37" s="80"/>
      <c r="AT37" s="80"/>
      <c r="AU37" s="80"/>
      <c r="AV37" s="80">
        <v>1.6999670596211899E+18</v>
      </c>
      <c r="AW37" s="85" t="str">
        <f>HYPERLINK("https://t.co/FDRx28qnaa")</f>
        <v>https://t.co/FDRx28qnaa</v>
      </c>
      <c r="AX37" s="80" t="b">
        <v>0</v>
      </c>
      <c r="AY37" s="80"/>
      <c r="AZ37" s="80"/>
      <c r="BA37" s="80" t="b">
        <v>1</v>
      </c>
      <c r="BB37" s="80" t="b">
        <v>1</v>
      </c>
      <c r="BC37" s="80" t="b">
        <v>0</v>
      </c>
      <c r="BD37" s="80" t="b">
        <v>0</v>
      </c>
      <c r="BE37" s="80" t="b">
        <v>1</v>
      </c>
      <c r="BF37" s="80" t="b">
        <v>0</v>
      </c>
      <c r="BG37" s="80" t="b">
        <v>0</v>
      </c>
      <c r="BH37" s="85" t="str">
        <f>HYPERLINK("https://pbs.twimg.com/profile_banners/17388662/1669301951")</f>
        <v>https://pbs.twimg.com/profile_banners/17388662/1669301951</v>
      </c>
      <c r="BI37" s="80"/>
      <c r="BJ37" s="80" t="s">
        <v>1455</v>
      </c>
      <c r="BK37" s="80" t="b">
        <v>0</v>
      </c>
      <c r="BL37" s="80"/>
      <c r="BM37" s="80" t="s">
        <v>65</v>
      </c>
      <c r="BN37" s="80" t="s">
        <v>1457</v>
      </c>
      <c r="BO37" s="85" t="str">
        <f>HYPERLINK("https://twitter.com/bgsu")</f>
        <v>https://twitter.com/bgsu</v>
      </c>
      <c r="BP37" s="80" t="str">
        <f>REPLACE(INDEX(GroupVertices[Group], MATCH("~"&amp;Vertices[[#This Row],[Vertex]],GroupVertices[Vertex],0)),1,1,"")</f>
        <v>2</v>
      </c>
      <c r="BQ37" s="49"/>
      <c r="BR37" s="50"/>
      <c r="BS37" s="49"/>
      <c r="BT37" s="50"/>
      <c r="BU37" s="49"/>
      <c r="BV37" s="50"/>
      <c r="BW37" s="49"/>
      <c r="BX37" s="50"/>
      <c r="BY37" s="49"/>
      <c r="BZ37" s="49"/>
      <c r="CA37" s="49"/>
      <c r="CB37" s="49"/>
      <c r="CC37" s="49"/>
      <c r="CD37" s="49"/>
      <c r="CE37" s="49"/>
      <c r="CF37" s="49"/>
      <c r="CG37" s="49"/>
      <c r="CH37" s="49"/>
      <c r="CI37" s="49"/>
      <c r="CJ37" s="2"/>
      <c r="CK37" s="3"/>
      <c r="CL37" s="3"/>
      <c r="CM37" s="3"/>
      <c r="CN37" s="3"/>
    </row>
    <row r="38" spans="1:92" x14ac:dyDescent="0.25">
      <c r="A38" s="65" t="s">
        <v>255</v>
      </c>
      <c r="B38" s="66"/>
      <c r="C38" s="66" t="s">
        <v>64</v>
      </c>
      <c r="D38" s="67">
        <v>100</v>
      </c>
      <c r="E38" s="69"/>
      <c r="F38" s="104" t="str">
        <f>HYPERLINK("https://pbs.twimg.com/profile_images/1311339449926598657/wnL-4fEN_normal.jpg")</f>
        <v>https://pbs.twimg.com/profile_images/1311339449926598657/wnL-4fEN_normal.jpg</v>
      </c>
      <c r="G38" s="66"/>
      <c r="H38" s="70" t="s">
        <v>255</v>
      </c>
      <c r="I38" s="71"/>
      <c r="J38" s="71" t="s">
        <v>159</v>
      </c>
      <c r="K38" s="70" t="s">
        <v>1492</v>
      </c>
      <c r="L38" s="74">
        <v>1</v>
      </c>
      <c r="M38" s="75">
        <v>1912.54052734375</v>
      </c>
      <c r="N38" s="75">
        <v>1753.6485595703125</v>
      </c>
      <c r="O38" s="76"/>
      <c r="P38" s="77"/>
      <c r="Q38" s="77"/>
      <c r="R38" s="90"/>
      <c r="S38" s="49">
        <v>0</v>
      </c>
      <c r="T38" s="49">
        <v>2</v>
      </c>
      <c r="U38" s="50">
        <v>0</v>
      </c>
      <c r="V38" s="50">
        <v>0.32012200000000002</v>
      </c>
      <c r="W38" s="50">
        <v>9.9807999999999994E-2</v>
      </c>
      <c r="X38" s="50">
        <v>7.0730000000000003E-3</v>
      </c>
      <c r="Y38" s="50">
        <v>0.5</v>
      </c>
      <c r="Z38" s="50">
        <v>0</v>
      </c>
      <c r="AA38" s="72">
        <v>38</v>
      </c>
      <c r="AB38" s="72"/>
      <c r="AC38" s="73"/>
      <c r="AD38" s="80" t="s">
        <v>967</v>
      </c>
      <c r="AE38" s="87" t="s">
        <v>884</v>
      </c>
      <c r="AF38" s="80">
        <v>2062</v>
      </c>
      <c r="AG38" s="80">
        <v>67</v>
      </c>
      <c r="AH38" s="80">
        <v>78161</v>
      </c>
      <c r="AI38" s="80">
        <v>13</v>
      </c>
      <c r="AJ38" s="80">
        <v>46</v>
      </c>
      <c r="AK38" s="80">
        <v>1</v>
      </c>
      <c r="AL38" s="80" t="b">
        <v>0</v>
      </c>
      <c r="AM38" s="82">
        <v>44104.674768518518</v>
      </c>
      <c r="AN38" s="80"/>
      <c r="AO38" s="80" t="s">
        <v>1262</v>
      </c>
      <c r="AP38" s="80"/>
      <c r="AQ38" s="80"/>
      <c r="AR38" s="80"/>
      <c r="AS38" s="80"/>
      <c r="AT38" s="80"/>
      <c r="AU38" s="80"/>
      <c r="AV38" s="80">
        <v>1.5753421995205199E+18</v>
      </c>
      <c r="AW38" s="80"/>
      <c r="AX38" s="80" t="b">
        <v>0</v>
      </c>
      <c r="AY38" s="80"/>
      <c r="AZ38" s="80"/>
      <c r="BA38" s="80" t="b">
        <v>0</v>
      </c>
      <c r="BB38" s="80" t="b">
        <v>1</v>
      </c>
      <c r="BC38" s="80" t="b">
        <v>1</v>
      </c>
      <c r="BD38" s="80" t="b">
        <v>0</v>
      </c>
      <c r="BE38" s="80" t="b">
        <v>0</v>
      </c>
      <c r="BF38" s="80" t="b">
        <v>0</v>
      </c>
      <c r="BG38" s="80" t="b">
        <v>0</v>
      </c>
      <c r="BH38" s="85" t="str">
        <f>HYPERLINK("https://pbs.twimg.com/profile_banners/1311337818518556672/1601482896")</f>
        <v>https://pbs.twimg.com/profile_banners/1311337818518556672/1601482896</v>
      </c>
      <c r="BI38" s="80"/>
      <c r="BJ38" s="80" t="s">
        <v>1455</v>
      </c>
      <c r="BK38" s="80" t="b">
        <v>0</v>
      </c>
      <c r="BL38" s="80"/>
      <c r="BM38" s="80" t="s">
        <v>66</v>
      </c>
      <c r="BN38" s="80" t="s">
        <v>1457</v>
      </c>
      <c r="BO38" s="85" t="str">
        <f>HYPERLINK("https://twitter.com/workacademic")</f>
        <v>https://twitter.com/workacademic</v>
      </c>
      <c r="BP38" s="80" t="str">
        <f>REPLACE(INDEX(GroupVertices[Group], MATCH("~"&amp;Vertices[[#This Row],[Vertex]],GroupVertices[Vertex],0)),1,1,"")</f>
        <v>1</v>
      </c>
      <c r="BQ38" s="49">
        <v>0</v>
      </c>
      <c r="BR38" s="50">
        <v>0</v>
      </c>
      <c r="BS38" s="49">
        <v>0</v>
      </c>
      <c r="BT38" s="50">
        <v>0</v>
      </c>
      <c r="BU38" s="49">
        <v>0</v>
      </c>
      <c r="BV38" s="50">
        <v>0</v>
      </c>
      <c r="BW38" s="49">
        <v>10</v>
      </c>
      <c r="BX38" s="50">
        <v>83.333333333333329</v>
      </c>
      <c r="BY38" s="49">
        <v>12</v>
      </c>
      <c r="BZ38" s="49" t="s">
        <v>9558</v>
      </c>
      <c r="CA38" s="49" t="s">
        <v>9558</v>
      </c>
      <c r="CB38" s="49" t="s">
        <v>500</v>
      </c>
      <c r="CC38" s="49" t="s">
        <v>500</v>
      </c>
      <c r="CD38" s="49" t="s">
        <v>476</v>
      </c>
      <c r="CE38" s="49" t="s">
        <v>476</v>
      </c>
      <c r="CF38" s="116" t="s">
        <v>9916</v>
      </c>
      <c r="CG38" s="116" t="s">
        <v>9916</v>
      </c>
      <c r="CH38" s="116" t="s">
        <v>9986</v>
      </c>
      <c r="CI38" s="116" t="s">
        <v>9986</v>
      </c>
      <c r="CJ38" s="2"/>
      <c r="CK38" s="3"/>
      <c r="CL38" s="3"/>
      <c r="CM38" s="3"/>
      <c r="CN38" s="3"/>
    </row>
    <row r="39" spans="1:92" x14ac:dyDescent="0.25">
      <c r="A39" s="65" t="s">
        <v>256</v>
      </c>
      <c r="B39" s="66"/>
      <c r="C39" s="66" t="s">
        <v>64</v>
      </c>
      <c r="D39" s="67">
        <v>100</v>
      </c>
      <c r="E39" s="69"/>
      <c r="F39" s="104" t="str">
        <f>HYPERLINK("https://pbs.twimg.com/profile_images/1702778522324946944/SRV3oyhE_normal.jpg")</f>
        <v>https://pbs.twimg.com/profile_images/1702778522324946944/SRV3oyhE_normal.jpg</v>
      </c>
      <c r="G39" s="66"/>
      <c r="H39" s="70" t="s">
        <v>256</v>
      </c>
      <c r="I39" s="71"/>
      <c r="J39" s="71" t="s">
        <v>159</v>
      </c>
      <c r="K39" s="70" t="s">
        <v>1493</v>
      </c>
      <c r="L39" s="74">
        <v>1</v>
      </c>
      <c r="M39" s="75">
        <v>913.07965087890625</v>
      </c>
      <c r="N39" s="75">
        <v>5914.97021484375</v>
      </c>
      <c r="O39" s="76"/>
      <c r="P39" s="77"/>
      <c r="Q39" s="77"/>
      <c r="R39" s="90"/>
      <c r="S39" s="49">
        <v>0</v>
      </c>
      <c r="T39" s="49">
        <v>2</v>
      </c>
      <c r="U39" s="50">
        <v>0</v>
      </c>
      <c r="V39" s="50">
        <v>0.24423500000000001</v>
      </c>
      <c r="W39" s="50">
        <v>3.1330999999999998E-2</v>
      </c>
      <c r="X39" s="50">
        <v>7.2329999999999998E-3</v>
      </c>
      <c r="Y39" s="50">
        <v>0.5</v>
      </c>
      <c r="Z39" s="50">
        <v>0</v>
      </c>
      <c r="AA39" s="72">
        <v>39</v>
      </c>
      <c r="AB39" s="72"/>
      <c r="AC39" s="73"/>
      <c r="AD39" s="80" t="s">
        <v>968</v>
      </c>
      <c r="AE39" s="87" t="s">
        <v>1082</v>
      </c>
      <c r="AF39" s="80">
        <v>507</v>
      </c>
      <c r="AG39" s="80">
        <v>1201</v>
      </c>
      <c r="AH39" s="80">
        <v>1938</v>
      </c>
      <c r="AI39" s="80">
        <v>3</v>
      </c>
      <c r="AJ39" s="80">
        <v>600</v>
      </c>
      <c r="AK39" s="80">
        <v>53</v>
      </c>
      <c r="AL39" s="80" t="b">
        <v>0</v>
      </c>
      <c r="AM39" s="82">
        <v>41201.497395833336</v>
      </c>
      <c r="AN39" s="80" t="s">
        <v>1184</v>
      </c>
      <c r="AO39" s="80" t="s">
        <v>1263</v>
      </c>
      <c r="AP39" s="80"/>
      <c r="AQ39" s="80"/>
      <c r="AR39" s="80"/>
      <c r="AS39" s="80"/>
      <c r="AT39" s="80"/>
      <c r="AU39" s="80"/>
      <c r="AV39" s="80"/>
      <c r="AW39" s="80"/>
      <c r="AX39" s="80" t="b">
        <v>0</v>
      </c>
      <c r="AY39" s="80"/>
      <c r="AZ39" s="80"/>
      <c r="BA39" s="80" t="b">
        <v>0</v>
      </c>
      <c r="BB39" s="80" t="b">
        <v>1</v>
      </c>
      <c r="BC39" s="80" t="b">
        <v>1</v>
      </c>
      <c r="BD39" s="80" t="b">
        <v>0</v>
      </c>
      <c r="BE39" s="80" t="b">
        <v>1</v>
      </c>
      <c r="BF39" s="80" t="b">
        <v>0</v>
      </c>
      <c r="BG39" s="80" t="b">
        <v>0</v>
      </c>
      <c r="BH39" s="85" t="str">
        <f>HYPERLINK("https://pbs.twimg.com/profile_banners/890840216/1452366551")</f>
        <v>https://pbs.twimg.com/profile_banners/890840216/1452366551</v>
      </c>
      <c r="BI39" s="80"/>
      <c r="BJ39" s="80" t="s">
        <v>1455</v>
      </c>
      <c r="BK39" s="80" t="b">
        <v>0</v>
      </c>
      <c r="BL39" s="80"/>
      <c r="BM39" s="80" t="s">
        <v>66</v>
      </c>
      <c r="BN39" s="80" t="s">
        <v>1457</v>
      </c>
      <c r="BO39" s="85" t="str">
        <f>HYPERLINK("https://twitter.com/princeadugyamf6")</f>
        <v>https://twitter.com/princeadugyamf6</v>
      </c>
      <c r="BP39" s="80" t="str">
        <f>REPLACE(INDEX(GroupVertices[Group], MATCH("~"&amp;Vertices[[#This Row],[Vertex]],GroupVertices[Vertex],0)),1,1,"")</f>
        <v>2</v>
      </c>
      <c r="BQ39" s="49">
        <v>0</v>
      </c>
      <c r="BR39" s="50">
        <v>0</v>
      </c>
      <c r="BS39" s="49">
        <v>0</v>
      </c>
      <c r="BT39" s="50">
        <v>0</v>
      </c>
      <c r="BU39" s="49">
        <v>0</v>
      </c>
      <c r="BV39" s="50">
        <v>0</v>
      </c>
      <c r="BW39" s="49">
        <v>10</v>
      </c>
      <c r="BX39" s="50">
        <v>58.823529411764703</v>
      </c>
      <c r="BY39" s="49">
        <v>17</v>
      </c>
      <c r="BZ39" s="49"/>
      <c r="CA39" s="49"/>
      <c r="CB39" s="49"/>
      <c r="CC39" s="49"/>
      <c r="CD39" s="49"/>
      <c r="CE39" s="49"/>
      <c r="CF39" s="116" t="s">
        <v>9907</v>
      </c>
      <c r="CG39" s="116" t="s">
        <v>9907</v>
      </c>
      <c r="CH39" s="116" t="s">
        <v>9977</v>
      </c>
      <c r="CI39" s="116" t="s">
        <v>9977</v>
      </c>
      <c r="CJ39" s="2"/>
      <c r="CK39" s="3"/>
      <c r="CL39" s="3"/>
      <c r="CM39" s="3"/>
      <c r="CN39" s="3"/>
    </row>
    <row r="40" spans="1:92" x14ac:dyDescent="0.25">
      <c r="A40" s="65" t="s">
        <v>257</v>
      </c>
      <c r="B40" s="66"/>
      <c r="C40" s="66" t="s">
        <v>64</v>
      </c>
      <c r="D40" s="67">
        <v>100</v>
      </c>
      <c r="E40" s="69"/>
      <c r="F40" s="104" t="str">
        <f>HYPERLINK("https://pbs.twimg.com/profile_images/1662608670343962627/AZ_wcehv_normal.jpg")</f>
        <v>https://pbs.twimg.com/profile_images/1662608670343962627/AZ_wcehv_normal.jpg</v>
      </c>
      <c r="G40" s="66"/>
      <c r="H40" s="70" t="s">
        <v>257</v>
      </c>
      <c r="I40" s="71"/>
      <c r="J40" s="71" t="s">
        <v>159</v>
      </c>
      <c r="K40" s="70" t="s">
        <v>1494</v>
      </c>
      <c r="L40" s="74">
        <v>1</v>
      </c>
      <c r="M40" s="75">
        <v>2755.500244140625</v>
      </c>
      <c r="N40" s="75">
        <v>8067.41015625</v>
      </c>
      <c r="O40" s="76"/>
      <c r="P40" s="77"/>
      <c r="Q40" s="77"/>
      <c r="R40" s="90"/>
      <c r="S40" s="49">
        <v>2</v>
      </c>
      <c r="T40" s="49">
        <v>2</v>
      </c>
      <c r="U40" s="50">
        <v>0</v>
      </c>
      <c r="V40" s="50">
        <v>0.31231399999999998</v>
      </c>
      <c r="W40" s="50">
        <v>0.110328</v>
      </c>
      <c r="X40" s="50">
        <v>7.3860000000000002E-3</v>
      </c>
      <c r="Y40" s="50">
        <v>0.5</v>
      </c>
      <c r="Z40" s="50">
        <v>0.33333333333333331</v>
      </c>
      <c r="AA40" s="72">
        <v>40</v>
      </c>
      <c r="AB40" s="72"/>
      <c r="AC40" s="73"/>
      <c r="AD40" s="80" t="s">
        <v>969</v>
      </c>
      <c r="AE40" s="87" t="s">
        <v>1083</v>
      </c>
      <c r="AF40" s="80">
        <v>1943</v>
      </c>
      <c r="AG40" s="80">
        <v>926</v>
      </c>
      <c r="AH40" s="80">
        <v>6544</v>
      </c>
      <c r="AI40" s="80">
        <v>83</v>
      </c>
      <c r="AJ40" s="80">
        <v>10571</v>
      </c>
      <c r="AK40" s="80">
        <v>323</v>
      </c>
      <c r="AL40" s="80" t="b">
        <v>0</v>
      </c>
      <c r="AM40" s="82">
        <v>39900.719884259262</v>
      </c>
      <c r="AN40" s="80" t="s">
        <v>1185</v>
      </c>
      <c r="AO40" s="80" t="s">
        <v>1264</v>
      </c>
      <c r="AP40" s="85" t="str">
        <f>HYPERLINK("https://t.co/HlbhFimwtE")</f>
        <v>https://t.co/HlbhFimwtE</v>
      </c>
      <c r="AQ40" s="85" t="str">
        <f>HYPERLINK("http://janlaurenboyles.com")</f>
        <v>http://janlaurenboyles.com</v>
      </c>
      <c r="AR40" s="80" t="s">
        <v>1375</v>
      </c>
      <c r="AS40" s="80"/>
      <c r="AT40" s="80"/>
      <c r="AU40" s="80"/>
      <c r="AV40" s="80"/>
      <c r="AW40" s="85" t="str">
        <f>HYPERLINK("https://t.co/HlbhFimwtE")</f>
        <v>https://t.co/HlbhFimwtE</v>
      </c>
      <c r="AX40" s="80" t="b">
        <v>0</v>
      </c>
      <c r="AY40" s="80"/>
      <c r="AZ40" s="80"/>
      <c r="BA40" s="80" t="b">
        <v>0</v>
      </c>
      <c r="BB40" s="80" t="b">
        <v>0</v>
      </c>
      <c r="BC40" s="80" t="b">
        <v>0</v>
      </c>
      <c r="BD40" s="80" t="b">
        <v>0</v>
      </c>
      <c r="BE40" s="80" t="b">
        <v>1</v>
      </c>
      <c r="BF40" s="80" t="b">
        <v>0</v>
      </c>
      <c r="BG40" s="80" t="b">
        <v>0</v>
      </c>
      <c r="BH40" s="85" t="str">
        <f>HYPERLINK("https://pbs.twimg.com/profile_banners/27266818/1683477302")</f>
        <v>https://pbs.twimg.com/profile_banners/27266818/1683477302</v>
      </c>
      <c r="BI40" s="80"/>
      <c r="BJ40" s="80" t="s">
        <v>1455</v>
      </c>
      <c r="BK40" s="80" t="b">
        <v>0</v>
      </c>
      <c r="BL40" s="80"/>
      <c r="BM40" s="80" t="s">
        <v>66</v>
      </c>
      <c r="BN40" s="80" t="s">
        <v>1457</v>
      </c>
      <c r="BO40" s="85" t="str">
        <f>HYPERLINK("https://twitter.com/janlaurenb")</f>
        <v>https://twitter.com/janlaurenb</v>
      </c>
      <c r="BP40" s="80" t="str">
        <f>REPLACE(INDEX(GroupVertices[Group], MATCH("~"&amp;Vertices[[#This Row],[Vertex]],GroupVertices[Vertex],0)),1,1,"")</f>
        <v>2</v>
      </c>
      <c r="BQ40" s="49">
        <v>0</v>
      </c>
      <c r="BR40" s="50">
        <v>0</v>
      </c>
      <c r="BS40" s="49">
        <v>0</v>
      </c>
      <c r="BT40" s="50">
        <v>0</v>
      </c>
      <c r="BU40" s="49">
        <v>0</v>
      </c>
      <c r="BV40" s="50">
        <v>0</v>
      </c>
      <c r="BW40" s="49">
        <v>26</v>
      </c>
      <c r="BX40" s="50">
        <v>60.465116279069768</v>
      </c>
      <c r="BY40" s="49">
        <v>43</v>
      </c>
      <c r="BZ40" s="49" t="s">
        <v>9856</v>
      </c>
      <c r="CA40" s="49" t="s">
        <v>9856</v>
      </c>
      <c r="CB40" s="49" t="s">
        <v>501</v>
      </c>
      <c r="CC40" s="49" t="s">
        <v>501</v>
      </c>
      <c r="CD40" s="49"/>
      <c r="CE40" s="49"/>
      <c r="CF40" s="116" t="s">
        <v>9917</v>
      </c>
      <c r="CG40" s="116" t="s">
        <v>9917</v>
      </c>
      <c r="CH40" s="116" t="s">
        <v>9987</v>
      </c>
      <c r="CI40" s="116" t="s">
        <v>9987</v>
      </c>
      <c r="CJ40" s="2"/>
      <c r="CK40" s="3"/>
      <c r="CL40" s="3"/>
      <c r="CM40" s="3"/>
      <c r="CN40" s="3"/>
    </row>
    <row r="41" spans="1:92" x14ac:dyDescent="0.25">
      <c r="A41" s="65" t="s">
        <v>258</v>
      </c>
      <c r="B41" s="66"/>
      <c r="C41" s="66" t="s">
        <v>64</v>
      </c>
      <c r="D41" s="67">
        <v>106.86274509803921</v>
      </c>
      <c r="E41" s="69"/>
      <c r="F41" s="104" t="str">
        <f>HYPERLINK("https://pbs.twimg.com/profile_images/1222976911833321472/d_rRF3Kl_normal.jpg")</f>
        <v>https://pbs.twimg.com/profile_images/1222976911833321472/d_rRF3Kl_normal.jpg</v>
      </c>
      <c r="G41" s="66"/>
      <c r="H41" s="70" t="s">
        <v>258</v>
      </c>
      <c r="I41" s="71"/>
      <c r="J41" s="71" t="s">
        <v>75</v>
      </c>
      <c r="K41" s="70" t="s">
        <v>1495</v>
      </c>
      <c r="L41" s="74">
        <v>11.837000585315096</v>
      </c>
      <c r="M41" s="75">
        <v>2868.565673828125</v>
      </c>
      <c r="N41" s="75">
        <v>7174.41650390625</v>
      </c>
      <c r="O41" s="76"/>
      <c r="P41" s="77"/>
      <c r="Q41" s="77"/>
      <c r="R41" s="90"/>
      <c r="S41" s="49">
        <v>4</v>
      </c>
      <c r="T41" s="49">
        <v>3</v>
      </c>
      <c r="U41" s="50">
        <v>10</v>
      </c>
      <c r="V41" s="50">
        <v>0.31672800000000001</v>
      </c>
      <c r="W41" s="50">
        <v>0.13539499999999999</v>
      </c>
      <c r="X41" s="50">
        <v>8.0669999999999995E-3</v>
      </c>
      <c r="Y41" s="50">
        <v>0.33333333333333331</v>
      </c>
      <c r="Z41" s="50">
        <v>0.25</v>
      </c>
      <c r="AA41" s="72">
        <v>41</v>
      </c>
      <c r="AB41" s="72"/>
      <c r="AC41" s="73"/>
      <c r="AD41" s="80" t="s">
        <v>970</v>
      </c>
      <c r="AE41" s="87" t="s">
        <v>1084</v>
      </c>
      <c r="AF41" s="80">
        <v>1421</v>
      </c>
      <c r="AG41" s="80">
        <v>916</v>
      </c>
      <c r="AH41" s="80">
        <v>5191</v>
      </c>
      <c r="AI41" s="80">
        <v>45</v>
      </c>
      <c r="AJ41" s="80">
        <v>3315</v>
      </c>
      <c r="AK41" s="80">
        <v>1108</v>
      </c>
      <c r="AL41" s="80" t="b">
        <v>0</v>
      </c>
      <c r="AM41" s="82">
        <v>41792.841678240744</v>
      </c>
      <c r="AN41" s="80" t="s">
        <v>1186</v>
      </c>
      <c r="AO41" s="80" t="s">
        <v>1265</v>
      </c>
      <c r="AP41" s="85" t="str">
        <f>HYPERLINK("https://t.co/seuDBtXryl")</f>
        <v>https://t.co/seuDBtXryl</v>
      </c>
      <c r="AQ41" s="85" t="str">
        <f>HYPERLINK("https://greenlee.iastate.edu/")</f>
        <v>https://greenlee.iastate.edu/</v>
      </c>
      <c r="AR41" s="80" t="s">
        <v>1376</v>
      </c>
      <c r="AS41" s="80"/>
      <c r="AT41" s="80"/>
      <c r="AU41" s="80"/>
      <c r="AV41" s="80"/>
      <c r="AW41" s="85" t="str">
        <f>HYPERLINK("https://t.co/seuDBtXryl")</f>
        <v>https://t.co/seuDBtXryl</v>
      </c>
      <c r="AX41" s="80" t="b">
        <v>0</v>
      </c>
      <c r="AY41" s="80"/>
      <c r="AZ41" s="80"/>
      <c r="BA41" s="80" t="b">
        <v>0</v>
      </c>
      <c r="BB41" s="80" t="b">
        <v>1</v>
      </c>
      <c r="BC41" s="80" t="b">
        <v>0</v>
      </c>
      <c r="BD41" s="80" t="b">
        <v>0</v>
      </c>
      <c r="BE41" s="80" t="b">
        <v>0</v>
      </c>
      <c r="BF41" s="80" t="b">
        <v>0</v>
      </c>
      <c r="BG41" s="80" t="b">
        <v>0</v>
      </c>
      <c r="BH41" s="85" t="str">
        <f>HYPERLINK("https://pbs.twimg.com/profile_banners/2542104865/1582299524")</f>
        <v>https://pbs.twimg.com/profile_banners/2542104865/1582299524</v>
      </c>
      <c r="BI41" s="80"/>
      <c r="BJ41" s="80" t="s">
        <v>1455</v>
      </c>
      <c r="BK41" s="80" t="b">
        <v>0</v>
      </c>
      <c r="BL41" s="80"/>
      <c r="BM41" s="80" t="s">
        <v>66</v>
      </c>
      <c r="BN41" s="80" t="s">
        <v>1457</v>
      </c>
      <c r="BO41" s="85" t="str">
        <f>HYPERLINK("https://twitter.com/isu_gsjc")</f>
        <v>https://twitter.com/isu_gsjc</v>
      </c>
      <c r="BP41" s="80" t="str">
        <f>REPLACE(INDEX(GroupVertices[Group], MATCH("~"&amp;Vertices[[#This Row],[Vertex]],GroupVertices[Vertex],0)),1,1,"")</f>
        <v>2</v>
      </c>
      <c r="BQ41" s="49">
        <v>0</v>
      </c>
      <c r="BR41" s="50">
        <v>0</v>
      </c>
      <c r="BS41" s="49">
        <v>0</v>
      </c>
      <c r="BT41" s="50">
        <v>0</v>
      </c>
      <c r="BU41" s="49">
        <v>0</v>
      </c>
      <c r="BV41" s="50">
        <v>0</v>
      </c>
      <c r="BW41" s="49">
        <v>14</v>
      </c>
      <c r="BX41" s="50">
        <v>63.636363636363633</v>
      </c>
      <c r="BY41" s="49">
        <v>22</v>
      </c>
      <c r="BZ41" s="49"/>
      <c r="CA41" s="49"/>
      <c r="CB41" s="49"/>
      <c r="CC41" s="49"/>
      <c r="CD41" s="49"/>
      <c r="CE41" s="49"/>
      <c r="CF41" s="116" t="s">
        <v>9918</v>
      </c>
      <c r="CG41" s="116" t="s">
        <v>9918</v>
      </c>
      <c r="CH41" s="116" t="s">
        <v>9988</v>
      </c>
      <c r="CI41" s="116" t="s">
        <v>9988</v>
      </c>
      <c r="CJ41" s="2"/>
      <c r="CK41" s="3"/>
      <c r="CL41" s="3"/>
      <c r="CM41" s="3"/>
      <c r="CN41" s="3"/>
    </row>
    <row r="42" spans="1:92" x14ac:dyDescent="0.25">
      <c r="A42" s="65" t="s">
        <v>259</v>
      </c>
      <c r="B42" s="66"/>
      <c r="C42" s="66" t="s">
        <v>64</v>
      </c>
      <c r="D42" s="67">
        <v>160.39215686274508</v>
      </c>
      <c r="E42" s="69"/>
      <c r="F42" s="104" t="str">
        <f>HYPERLINK("https://pbs.twimg.com/profile_images/605544839652843521/bJuIHXNl_normal.jpg")</f>
        <v>https://pbs.twimg.com/profile_images/605544839652843521/bJuIHXNl_normal.jpg</v>
      </c>
      <c r="G42" s="66"/>
      <c r="H42" s="70" t="s">
        <v>259</v>
      </c>
      <c r="I42" s="71"/>
      <c r="J42" s="71" t="s">
        <v>75</v>
      </c>
      <c r="K42" s="70" t="s">
        <v>1496</v>
      </c>
      <c r="L42" s="74">
        <v>96.365605150772836</v>
      </c>
      <c r="M42" s="75">
        <v>2001.9945068359375</v>
      </c>
      <c r="N42" s="75">
        <v>7475.22412109375</v>
      </c>
      <c r="O42" s="76"/>
      <c r="P42" s="77"/>
      <c r="Q42" s="77"/>
      <c r="R42" s="90"/>
      <c r="S42" s="49">
        <v>0</v>
      </c>
      <c r="T42" s="49">
        <v>6</v>
      </c>
      <c r="U42" s="50">
        <v>88</v>
      </c>
      <c r="V42" s="50">
        <v>0.32713199999999998</v>
      </c>
      <c r="W42" s="50">
        <v>0.16203699999999999</v>
      </c>
      <c r="X42" s="50">
        <v>8.2360000000000003E-3</v>
      </c>
      <c r="Y42" s="50">
        <v>0.26666666666666666</v>
      </c>
      <c r="Z42" s="50">
        <v>0</v>
      </c>
      <c r="AA42" s="72">
        <v>42</v>
      </c>
      <c r="AB42" s="72"/>
      <c r="AC42" s="73"/>
      <c r="AD42" s="80" t="s">
        <v>971</v>
      </c>
      <c r="AE42" s="87" t="s">
        <v>1085</v>
      </c>
      <c r="AF42" s="80">
        <v>3516</v>
      </c>
      <c r="AG42" s="80">
        <v>3903</v>
      </c>
      <c r="AH42" s="80">
        <v>6625</v>
      </c>
      <c r="AI42" s="80">
        <v>42</v>
      </c>
      <c r="AJ42" s="80">
        <v>22239</v>
      </c>
      <c r="AK42" s="80">
        <v>559</v>
      </c>
      <c r="AL42" s="80" t="b">
        <v>0</v>
      </c>
      <c r="AM42" s="82">
        <v>42156.851006944446</v>
      </c>
      <c r="AN42" s="80" t="s">
        <v>722</v>
      </c>
      <c r="AO42" s="80" t="s">
        <v>1266</v>
      </c>
      <c r="AP42" s="80"/>
      <c r="AQ42" s="80"/>
      <c r="AR42" s="80"/>
      <c r="AS42" s="80"/>
      <c r="AT42" s="80"/>
      <c r="AU42" s="80"/>
      <c r="AV42" s="80"/>
      <c r="AW42" s="80"/>
      <c r="AX42" s="80" t="b">
        <v>0</v>
      </c>
      <c r="AY42" s="80"/>
      <c r="AZ42" s="80"/>
      <c r="BA42" s="80" t="b">
        <v>0</v>
      </c>
      <c r="BB42" s="80" t="b">
        <v>1</v>
      </c>
      <c r="BC42" s="80" t="b">
        <v>0</v>
      </c>
      <c r="BD42" s="80" t="b">
        <v>0</v>
      </c>
      <c r="BE42" s="80" t="b">
        <v>1</v>
      </c>
      <c r="BF42" s="80" t="b">
        <v>0</v>
      </c>
      <c r="BG42" s="80" t="b">
        <v>0</v>
      </c>
      <c r="BH42" s="85" t="str">
        <f>HYPERLINK("https://pbs.twimg.com/profile_banners/3306005770/1433208103")</f>
        <v>https://pbs.twimg.com/profile_banners/3306005770/1433208103</v>
      </c>
      <c r="BI42" s="80"/>
      <c r="BJ42" s="80" t="s">
        <v>1455</v>
      </c>
      <c r="BK42" s="80" t="b">
        <v>0</v>
      </c>
      <c r="BL42" s="80"/>
      <c r="BM42" s="80" t="s">
        <v>66</v>
      </c>
      <c r="BN42" s="80" t="s">
        <v>1457</v>
      </c>
      <c r="BO42" s="85" t="str">
        <f>HYPERLINK("https://twitter.com/annefmaclennan")</f>
        <v>https://twitter.com/annefmaclennan</v>
      </c>
      <c r="BP42" s="80" t="str">
        <f>REPLACE(INDEX(GroupVertices[Group], MATCH("~"&amp;Vertices[[#This Row],[Vertex]],GroupVertices[Vertex],0)),1,1,"")</f>
        <v>2</v>
      </c>
      <c r="BQ42" s="49">
        <v>0</v>
      </c>
      <c r="BR42" s="50">
        <v>0</v>
      </c>
      <c r="BS42" s="49">
        <v>0</v>
      </c>
      <c r="BT42" s="50">
        <v>0</v>
      </c>
      <c r="BU42" s="49">
        <v>0</v>
      </c>
      <c r="BV42" s="50">
        <v>0</v>
      </c>
      <c r="BW42" s="49">
        <v>34</v>
      </c>
      <c r="BX42" s="50">
        <v>72.340425531914889</v>
      </c>
      <c r="BY42" s="49">
        <v>47</v>
      </c>
      <c r="BZ42" s="49" t="s">
        <v>9857</v>
      </c>
      <c r="CA42" s="49" t="s">
        <v>9866</v>
      </c>
      <c r="CB42" s="49" t="s">
        <v>9872</v>
      </c>
      <c r="CC42" s="49" t="s">
        <v>9877</v>
      </c>
      <c r="CD42" s="49" t="s">
        <v>476</v>
      </c>
      <c r="CE42" s="49" t="s">
        <v>476</v>
      </c>
      <c r="CF42" s="116" t="s">
        <v>9919</v>
      </c>
      <c r="CG42" s="116" t="s">
        <v>9960</v>
      </c>
      <c r="CH42" s="116" t="s">
        <v>9989</v>
      </c>
      <c r="CI42" s="116" t="s">
        <v>9989</v>
      </c>
      <c r="CJ42" s="2"/>
      <c r="CK42" s="3"/>
      <c r="CL42" s="3"/>
      <c r="CM42" s="3"/>
      <c r="CN42" s="3"/>
    </row>
    <row r="43" spans="1:92" x14ac:dyDescent="0.25">
      <c r="A43" s="65" t="s">
        <v>260</v>
      </c>
      <c r="B43" s="66"/>
      <c r="C43" s="66" t="s">
        <v>64</v>
      </c>
      <c r="D43" s="67">
        <v>100</v>
      </c>
      <c r="E43" s="69"/>
      <c r="F43" s="104" t="str">
        <f>HYPERLINK("https://pbs.twimg.com/profile_images/1422692606962716672/vssCrcL1_normal.jpg")</f>
        <v>https://pbs.twimg.com/profile_images/1422692606962716672/vssCrcL1_normal.jpg</v>
      </c>
      <c r="G43" s="66"/>
      <c r="H43" s="70" t="s">
        <v>260</v>
      </c>
      <c r="I43" s="71"/>
      <c r="J43" s="71" t="s">
        <v>159</v>
      </c>
      <c r="K43" s="70" t="s">
        <v>1497</v>
      </c>
      <c r="L43" s="74">
        <v>1</v>
      </c>
      <c r="M43" s="75">
        <v>8762.78515625</v>
      </c>
      <c r="N43" s="75">
        <v>1548.1990966796875</v>
      </c>
      <c r="O43" s="76"/>
      <c r="P43" s="77"/>
      <c r="Q43" s="77"/>
      <c r="R43" s="90"/>
      <c r="S43" s="49">
        <v>0</v>
      </c>
      <c r="T43" s="49">
        <v>1</v>
      </c>
      <c r="U43" s="50">
        <v>0</v>
      </c>
      <c r="V43" s="50">
        <v>8.1300000000000001E-3</v>
      </c>
      <c r="W43" s="50">
        <v>0</v>
      </c>
      <c r="X43" s="50">
        <v>7.502E-3</v>
      </c>
      <c r="Y43" s="50">
        <v>0</v>
      </c>
      <c r="Z43" s="50">
        <v>0</v>
      </c>
      <c r="AA43" s="72">
        <v>43</v>
      </c>
      <c r="AB43" s="72"/>
      <c r="AC43" s="73"/>
      <c r="AD43" s="80" t="s">
        <v>972</v>
      </c>
      <c r="AE43" s="87" t="s">
        <v>885</v>
      </c>
      <c r="AF43" s="80">
        <v>130</v>
      </c>
      <c r="AG43" s="80">
        <v>129</v>
      </c>
      <c r="AH43" s="80">
        <v>63</v>
      </c>
      <c r="AI43" s="80">
        <v>1</v>
      </c>
      <c r="AJ43" s="80">
        <v>73</v>
      </c>
      <c r="AK43" s="80">
        <v>11</v>
      </c>
      <c r="AL43" s="80" t="b">
        <v>0</v>
      </c>
      <c r="AM43" s="82">
        <v>44411.949687499997</v>
      </c>
      <c r="AN43" s="80" t="s">
        <v>1187</v>
      </c>
      <c r="AO43" s="80" t="s">
        <v>1267</v>
      </c>
      <c r="AP43" s="85" t="str">
        <f>HYPERLINK("https://t.co/KOEbcWUhbP")</f>
        <v>https://t.co/KOEbcWUhbP</v>
      </c>
      <c r="AQ43" s="85" t="str">
        <f>HYPERLINK("https://community.aejmc.org/religionmediainterestgroup/home")</f>
        <v>https://community.aejmc.org/religionmediainterestgroup/home</v>
      </c>
      <c r="AR43" s="80" t="s">
        <v>1377</v>
      </c>
      <c r="AS43" s="80"/>
      <c r="AT43" s="80"/>
      <c r="AU43" s="80"/>
      <c r="AV43" s="80">
        <v>1.7160857715918799E+18</v>
      </c>
      <c r="AW43" s="85" t="str">
        <f>HYPERLINK("https://t.co/KOEbcWUhbP")</f>
        <v>https://t.co/KOEbcWUhbP</v>
      </c>
      <c r="AX43" s="80" t="b">
        <v>0</v>
      </c>
      <c r="AY43" s="80"/>
      <c r="AZ43" s="80"/>
      <c r="BA43" s="80" t="b">
        <v>0</v>
      </c>
      <c r="BB43" s="80" t="b">
        <v>1</v>
      </c>
      <c r="BC43" s="80" t="b">
        <v>1</v>
      </c>
      <c r="BD43" s="80" t="b">
        <v>0</v>
      </c>
      <c r="BE43" s="80" t="b">
        <v>0</v>
      </c>
      <c r="BF43" s="80" t="b">
        <v>0</v>
      </c>
      <c r="BG43" s="80" t="b">
        <v>0</v>
      </c>
      <c r="BH43" s="85" t="str">
        <f>HYPERLINK("https://pbs.twimg.com/profile_banners/1422690579964645379/1628031325")</f>
        <v>https://pbs.twimg.com/profile_banners/1422690579964645379/1628031325</v>
      </c>
      <c r="BI43" s="80"/>
      <c r="BJ43" s="80" t="s">
        <v>1455</v>
      </c>
      <c r="BK43" s="80" t="b">
        <v>0</v>
      </c>
      <c r="BL43" s="80"/>
      <c r="BM43" s="80" t="s">
        <v>66</v>
      </c>
      <c r="BN43" s="80" t="s">
        <v>1457</v>
      </c>
      <c r="BO43" s="85" t="str">
        <f>HYPERLINK("https://twitter.com/aejmc_rmig")</f>
        <v>https://twitter.com/aejmc_rmig</v>
      </c>
      <c r="BP43" s="80" t="str">
        <f>REPLACE(INDEX(GroupVertices[Group], MATCH("~"&amp;Vertices[[#This Row],[Vertex]],GroupVertices[Vertex],0)),1,1,"")</f>
        <v>15</v>
      </c>
      <c r="BQ43" s="49">
        <v>2</v>
      </c>
      <c r="BR43" s="50">
        <v>9.0909090909090917</v>
      </c>
      <c r="BS43" s="49">
        <v>0</v>
      </c>
      <c r="BT43" s="50">
        <v>0</v>
      </c>
      <c r="BU43" s="49">
        <v>0</v>
      </c>
      <c r="BV43" s="50">
        <v>0</v>
      </c>
      <c r="BW43" s="49">
        <v>10</v>
      </c>
      <c r="BX43" s="50">
        <v>45.454545454545453</v>
      </c>
      <c r="BY43" s="49">
        <v>22</v>
      </c>
      <c r="BZ43" s="49"/>
      <c r="CA43" s="49"/>
      <c r="CB43" s="49"/>
      <c r="CC43" s="49"/>
      <c r="CD43" s="49"/>
      <c r="CE43" s="49"/>
      <c r="CF43" s="116" t="s">
        <v>9920</v>
      </c>
      <c r="CG43" s="116" t="s">
        <v>9920</v>
      </c>
      <c r="CH43" s="116" t="s">
        <v>9990</v>
      </c>
      <c r="CI43" s="116" t="s">
        <v>9990</v>
      </c>
      <c r="CJ43" s="2"/>
      <c r="CK43" s="3"/>
      <c r="CL43" s="3"/>
      <c r="CM43" s="3"/>
      <c r="CN43" s="3"/>
    </row>
    <row r="44" spans="1:92" x14ac:dyDescent="0.25">
      <c r="A44" s="65" t="s">
        <v>292</v>
      </c>
      <c r="B44" s="66"/>
      <c r="C44" s="66" t="s">
        <v>64</v>
      </c>
      <c r="D44" s="67">
        <v>100</v>
      </c>
      <c r="E44" s="69"/>
      <c r="F44" s="104" t="str">
        <f>HYPERLINK("https://pbs.twimg.com/profile_images/1663604849907228674/2moG0Zkp_normal.png")</f>
        <v>https://pbs.twimg.com/profile_images/1663604849907228674/2moG0Zkp_normal.png</v>
      </c>
      <c r="G44" s="66"/>
      <c r="H44" s="70" t="s">
        <v>292</v>
      </c>
      <c r="I44" s="71"/>
      <c r="J44" s="71" t="s">
        <v>159</v>
      </c>
      <c r="K44" s="70" t="s">
        <v>1498</v>
      </c>
      <c r="L44" s="74">
        <v>1</v>
      </c>
      <c r="M44" s="75">
        <v>8762.78515625</v>
      </c>
      <c r="N44" s="75">
        <v>653.22686767578125</v>
      </c>
      <c r="O44" s="76"/>
      <c r="P44" s="77"/>
      <c r="Q44" s="77"/>
      <c r="R44" s="90"/>
      <c r="S44" s="49">
        <v>2</v>
      </c>
      <c r="T44" s="49">
        <v>1</v>
      </c>
      <c r="U44" s="50">
        <v>0</v>
      </c>
      <c r="V44" s="50">
        <v>8.1300000000000001E-3</v>
      </c>
      <c r="W44" s="50">
        <v>0</v>
      </c>
      <c r="X44" s="50">
        <v>8.6269999999999993E-3</v>
      </c>
      <c r="Y44" s="50">
        <v>0</v>
      </c>
      <c r="Z44" s="50">
        <v>0</v>
      </c>
      <c r="AA44" s="72">
        <v>44</v>
      </c>
      <c r="AB44" s="72"/>
      <c r="AC44" s="73"/>
      <c r="AD44" s="80" t="s">
        <v>973</v>
      </c>
      <c r="AE44" s="87" t="s">
        <v>1086</v>
      </c>
      <c r="AF44" s="80">
        <v>48390</v>
      </c>
      <c r="AG44" s="80">
        <v>1596</v>
      </c>
      <c r="AH44" s="80">
        <v>29526</v>
      </c>
      <c r="AI44" s="80">
        <v>1413</v>
      </c>
      <c r="AJ44" s="80">
        <v>8053</v>
      </c>
      <c r="AK44" s="80">
        <v>10352</v>
      </c>
      <c r="AL44" s="80" t="b">
        <v>0</v>
      </c>
      <c r="AM44" s="82">
        <v>39842.121620370373</v>
      </c>
      <c r="AN44" s="80" t="s">
        <v>1188</v>
      </c>
      <c r="AO44" s="80" t="s">
        <v>1268</v>
      </c>
      <c r="AP44" s="85" t="str">
        <f>HYPERLINK("https://t.co/cKznxQFEiE")</f>
        <v>https://t.co/cKznxQFEiE</v>
      </c>
      <c r="AQ44" s="85" t="str">
        <f>HYPERLINK("https://cup.columbia.edu/")</f>
        <v>https://cup.columbia.edu/</v>
      </c>
      <c r="AR44" s="80" t="s">
        <v>1378</v>
      </c>
      <c r="AS44" s="80"/>
      <c r="AT44" s="80"/>
      <c r="AU44" s="80"/>
      <c r="AV44" s="80"/>
      <c r="AW44" s="85" t="str">
        <f>HYPERLINK("https://t.co/cKznxQFEiE")</f>
        <v>https://t.co/cKznxQFEiE</v>
      </c>
      <c r="AX44" s="80" t="b">
        <v>0</v>
      </c>
      <c r="AY44" s="80"/>
      <c r="AZ44" s="80"/>
      <c r="BA44" s="80" t="b">
        <v>0</v>
      </c>
      <c r="BB44" s="80" t="b">
        <v>1</v>
      </c>
      <c r="BC44" s="80" t="b">
        <v>0</v>
      </c>
      <c r="BD44" s="80" t="b">
        <v>0</v>
      </c>
      <c r="BE44" s="80" t="b">
        <v>1</v>
      </c>
      <c r="BF44" s="80" t="b">
        <v>0</v>
      </c>
      <c r="BG44" s="80" t="b">
        <v>0</v>
      </c>
      <c r="BH44" s="85" t="str">
        <f>HYPERLINK("https://pbs.twimg.com/profile_banners/19692478/1685743309")</f>
        <v>https://pbs.twimg.com/profile_banners/19692478/1685743309</v>
      </c>
      <c r="BI44" s="80"/>
      <c r="BJ44" s="80" t="s">
        <v>1455</v>
      </c>
      <c r="BK44" s="80" t="b">
        <v>0</v>
      </c>
      <c r="BL44" s="80"/>
      <c r="BM44" s="80" t="s">
        <v>66</v>
      </c>
      <c r="BN44" s="80" t="s">
        <v>1457</v>
      </c>
      <c r="BO44" s="85" t="str">
        <f>HYPERLINK("https://twitter.com/columbiaup")</f>
        <v>https://twitter.com/columbiaup</v>
      </c>
      <c r="BP44" s="80" t="str">
        <f>REPLACE(INDEX(GroupVertices[Group], MATCH("~"&amp;Vertices[[#This Row],[Vertex]],GroupVertices[Vertex],0)),1,1,"")</f>
        <v>15</v>
      </c>
      <c r="BQ44" s="49">
        <v>2</v>
      </c>
      <c r="BR44" s="50">
        <v>8.3333333333333339</v>
      </c>
      <c r="BS44" s="49">
        <v>0</v>
      </c>
      <c r="BT44" s="50">
        <v>0</v>
      </c>
      <c r="BU44" s="49">
        <v>0</v>
      </c>
      <c r="BV44" s="50">
        <v>0</v>
      </c>
      <c r="BW44" s="49">
        <v>12</v>
      </c>
      <c r="BX44" s="50">
        <v>50</v>
      </c>
      <c r="BY44" s="49">
        <v>24</v>
      </c>
      <c r="BZ44" s="49" t="s">
        <v>9615</v>
      </c>
      <c r="CA44" s="49" t="s">
        <v>9615</v>
      </c>
      <c r="CB44" s="49" t="s">
        <v>507</v>
      </c>
      <c r="CC44" s="49" t="s">
        <v>507</v>
      </c>
      <c r="CD44" s="49"/>
      <c r="CE44" s="49"/>
      <c r="CF44" s="116" t="s">
        <v>9921</v>
      </c>
      <c r="CG44" s="116" t="s">
        <v>9921</v>
      </c>
      <c r="CH44" s="116" t="s">
        <v>9991</v>
      </c>
      <c r="CI44" s="116" t="s">
        <v>9991</v>
      </c>
      <c r="CJ44" s="2"/>
      <c r="CK44" s="3"/>
      <c r="CL44" s="3"/>
      <c r="CM44" s="3"/>
      <c r="CN44" s="3"/>
    </row>
    <row r="45" spans="1:92" x14ac:dyDescent="0.25">
      <c r="A45" s="65" t="s">
        <v>262</v>
      </c>
      <c r="B45" s="66"/>
      <c r="C45" s="66" t="s">
        <v>64</v>
      </c>
      <c r="D45" s="67">
        <v>100</v>
      </c>
      <c r="E45" s="69"/>
      <c r="F45" s="104" t="str">
        <f>HYPERLINK("https://pbs.twimg.com/profile_images/1436489393309683718/NZYg-bsj_normal.png")</f>
        <v>https://pbs.twimg.com/profile_images/1436489393309683718/NZYg-bsj_normal.png</v>
      </c>
      <c r="G45" s="66"/>
      <c r="H45" s="70" t="s">
        <v>262</v>
      </c>
      <c r="I45" s="71"/>
      <c r="J45" s="71" t="s">
        <v>159</v>
      </c>
      <c r="K45" s="70" t="s">
        <v>1499</v>
      </c>
      <c r="L45" s="74">
        <v>1</v>
      </c>
      <c r="M45" s="75">
        <v>1562.3304443359375</v>
      </c>
      <c r="N45" s="75">
        <v>9726.392578125</v>
      </c>
      <c r="O45" s="76"/>
      <c r="P45" s="77"/>
      <c r="Q45" s="77"/>
      <c r="R45" s="90"/>
      <c r="S45" s="49">
        <v>0</v>
      </c>
      <c r="T45" s="49">
        <v>1</v>
      </c>
      <c r="U45" s="50">
        <v>0</v>
      </c>
      <c r="V45" s="50">
        <v>0.24557300000000001</v>
      </c>
      <c r="W45" s="50">
        <v>2.4646000000000001E-2</v>
      </c>
      <c r="X45" s="50">
        <v>7.0320000000000001E-3</v>
      </c>
      <c r="Y45" s="50">
        <v>0</v>
      </c>
      <c r="Z45" s="50">
        <v>0</v>
      </c>
      <c r="AA45" s="72">
        <v>45</v>
      </c>
      <c r="AB45" s="72"/>
      <c r="AC45" s="73"/>
      <c r="AD45" s="80" t="s">
        <v>974</v>
      </c>
      <c r="AE45" s="87" t="s">
        <v>886</v>
      </c>
      <c r="AF45" s="80">
        <v>546</v>
      </c>
      <c r="AG45" s="80">
        <v>484</v>
      </c>
      <c r="AH45" s="80">
        <v>161</v>
      </c>
      <c r="AI45" s="80">
        <v>11</v>
      </c>
      <c r="AJ45" s="80">
        <v>341</v>
      </c>
      <c r="AK45" s="80">
        <v>30</v>
      </c>
      <c r="AL45" s="80" t="b">
        <v>0</v>
      </c>
      <c r="AM45" s="82">
        <v>44414.776365740741</v>
      </c>
      <c r="AN45" s="80"/>
      <c r="AO45" s="80" t="s">
        <v>1269</v>
      </c>
      <c r="AP45" s="85" t="str">
        <f>HYPERLINK("https://t.co/QyvU1PJTzt")</f>
        <v>https://t.co/QyvU1PJTzt</v>
      </c>
      <c r="AQ45" s="85" t="str">
        <f>HYPERLINK("https://journalofpreducation.com/")</f>
        <v>https://journalofpreducation.com/</v>
      </c>
      <c r="AR45" s="80" t="s">
        <v>1379</v>
      </c>
      <c r="AS45" s="80"/>
      <c r="AT45" s="80"/>
      <c r="AU45" s="80"/>
      <c r="AV45" s="80">
        <v>1.66906150321377E+18</v>
      </c>
      <c r="AW45" s="85" t="str">
        <f>HYPERLINK("https://t.co/QyvU1PJTzt")</f>
        <v>https://t.co/QyvU1PJTzt</v>
      </c>
      <c r="AX45" s="80" t="b">
        <v>0</v>
      </c>
      <c r="AY45" s="80"/>
      <c r="AZ45" s="80"/>
      <c r="BA45" s="80" t="b">
        <v>0</v>
      </c>
      <c r="BB45" s="80" t="b">
        <v>1</v>
      </c>
      <c r="BC45" s="80" t="b">
        <v>1</v>
      </c>
      <c r="BD45" s="80" t="b">
        <v>0</v>
      </c>
      <c r="BE45" s="80" t="b">
        <v>0</v>
      </c>
      <c r="BF45" s="80" t="b">
        <v>0</v>
      </c>
      <c r="BG45" s="80" t="b">
        <v>0</v>
      </c>
      <c r="BH45" s="85" t="str">
        <f>HYPERLINK("https://pbs.twimg.com/profile_banners/1423714664651935746/1686770786")</f>
        <v>https://pbs.twimg.com/profile_banners/1423714664651935746/1686770786</v>
      </c>
      <c r="BI45" s="80"/>
      <c r="BJ45" s="80" t="s">
        <v>1455</v>
      </c>
      <c r="BK45" s="80" t="b">
        <v>0</v>
      </c>
      <c r="BL45" s="80"/>
      <c r="BM45" s="80" t="s">
        <v>66</v>
      </c>
      <c r="BN45" s="80" t="s">
        <v>1457</v>
      </c>
      <c r="BO45" s="85" t="str">
        <f>HYPERLINK("https://twitter.com/jpreprd")</f>
        <v>https://twitter.com/jpreprd</v>
      </c>
      <c r="BP45" s="80" t="str">
        <f>REPLACE(INDEX(GroupVertices[Group], MATCH("~"&amp;Vertices[[#This Row],[Vertex]],GroupVertices[Vertex],0)),1,1,"")</f>
        <v>2</v>
      </c>
      <c r="BQ45" s="49">
        <v>1</v>
      </c>
      <c r="BR45" s="50">
        <v>4.5454545454545459</v>
      </c>
      <c r="BS45" s="49">
        <v>0</v>
      </c>
      <c r="BT45" s="50">
        <v>0</v>
      </c>
      <c r="BU45" s="49">
        <v>0</v>
      </c>
      <c r="BV45" s="50">
        <v>0</v>
      </c>
      <c r="BW45" s="49">
        <v>14</v>
      </c>
      <c r="BX45" s="50">
        <v>63.636363636363633</v>
      </c>
      <c r="BY45" s="49">
        <v>22</v>
      </c>
      <c r="BZ45" s="49"/>
      <c r="CA45" s="49"/>
      <c r="CB45" s="49"/>
      <c r="CC45" s="49"/>
      <c r="CD45" s="49"/>
      <c r="CE45" s="49"/>
      <c r="CF45" s="116" t="s">
        <v>9922</v>
      </c>
      <c r="CG45" s="116" t="s">
        <v>9922</v>
      </c>
      <c r="CH45" s="116" t="s">
        <v>9992</v>
      </c>
      <c r="CI45" s="116" t="s">
        <v>9992</v>
      </c>
      <c r="CJ45" s="2"/>
      <c r="CK45" s="3"/>
      <c r="CL45" s="3"/>
      <c r="CM45" s="3"/>
      <c r="CN45" s="3"/>
    </row>
    <row r="46" spans="1:92" x14ac:dyDescent="0.25">
      <c r="A46" s="65" t="s">
        <v>263</v>
      </c>
      <c r="B46" s="66"/>
      <c r="C46" s="66" t="s">
        <v>64</v>
      </c>
      <c r="D46" s="67">
        <v>100</v>
      </c>
      <c r="E46" s="69"/>
      <c r="F46" s="104" t="str">
        <f>HYPERLINK("https://pbs.twimg.com/profile_images/378800000222228855/439bc6b6eb66f1f47554f50be28108f0_normal.png")</f>
        <v>https://pbs.twimg.com/profile_images/378800000222228855/439bc6b6eb66f1f47554f50be28108f0_normal.png</v>
      </c>
      <c r="G46" s="66"/>
      <c r="H46" s="70" t="s">
        <v>263</v>
      </c>
      <c r="I46" s="71"/>
      <c r="J46" s="71" t="s">
        <v>159</v>
      </c>
      <c r="K46" s="70" t="s">
        <v>1500</v>
      </c>
      <c r="L46" s="74">
        <v>1</v>
      </c>
      <c r="M46" s="75">
        <v>8008.0791015625</v>
      </c>
      <c r="N46" s="75">
        <v>3127.25927734375</v>
      </c>
      <c r="O46" s="76"/>
      <c r="P46" s="77"/>
      <c r="Q46" s="77"/>
      <c r="R46" s="90"/>
      <c r="S46" s="49">
        <v>1</v>
      </c>
      <c r="T46" s="49">
        <v>1</v>
      </c>
      <c r="U46" s="50">
        <v>0</v>
      </c>
      <c r="V46" s="50">
        <v>0</v>
      </c>
      <c r="W46" s="50">
        <v>0</v>
      </c>
      <c r="X46" s="50">
        <v>8.0649999999999993E-3</v>
      </c>
      <c r="Y46" s="50">
        <v>0</v>
      </c>
      <c r="Z46" s="50">
        <v>0</v>
      </c>
      <c r="AA46" s="72">
        <v>46</v>
      </c>
      <c r="AB46" s="72"/>
      <c r="AC46" s="73"/>
      <c r="AD46" s="80" t="s">
        <v>975</v>
      </c>
      <c r="AE46" s="87" t="s">
        <v>1087</v>
      </c>
      <c r="AF46" s="80">
        <v>1060</v>
      </c>
      <c r="AG46" s="80">
        <v>860</v>
      </c>
      <c r="AH46" s="80">
        <v>2399</v>
      </c>
      <c r="AI46" s="80">
        <v>22</v>
      </c>
      <c r="AJ46" s="80">
        <v>2185</v>
      </c>
      <c r="AK46" s="80">
        <v>297</v>
      </c>
      <c r="AL46" s="80" t="b">
        <v>0</v>
      </c>
      <c r="AM46" s="82">
        <v>41486.977071759262</v>
      </c>
      <c r="AN46" s="80"/>
      <c r="AO46" s="80" t="s">
        <v>1270</v>
      </c>
      <c r="AP46" s="85" t="str">
        <f>HYPERLINK("https://t.co/1JKwdTBuII")</f>
        <v>https://t.co/1JKwdTBuII</v>
      </c>
      <c r="AQ46" s="85" t="str">
        <f>HYPERLINK("http://aejmc.us/icd/")</f>
        <v>http://aejmc.us/icd/</v>
      </c>
      <c r="AR46" s="80" t="s">
        <v>1380</v>
      </c>
      <c r="AS46" s="80"/>
      <c r="AT46" s="80"/>
      <c r="AU46" s="80"/>
      <c r="AV46" s="80"/>
      <c r="AW46" s="85" t="str">
        <f>HYPERLINK("https://t.co/1JKwdTBuII")</f>
        <v>https://t.co/1JKwdTBuII</v>
      </c>
      <c r="AX46" s="80" t="b">
        <v>0</v>
      </c>
      <c r="AY46" s="80"/>
      <c r="AZ46" s="80"/>
      <c r="BA46" s="80" t="b">
        <v>0</v>
      </c>
      <c r="BB46" s="80" t="b">
        <v>1</v>
      </c>
      <c r="BC46" s="80" t="b">
        <v>1</v>
      </c>
      <c r="BD46" s="80" t="b">
        <v>0</v>
      </c>
      <c r="BE46" s="80" t="b">
        <v>1</v>
      </c>
      <c r="BF46" s="80" t="b">
        <v>0</v>
      </c>
      <c r="BG46" s="80" t="b">
        <v>0</v>
      </c>
      <c r="BH46" s="85" t="str">
        <f>HYPERLINK("https://pbs.twimg.com/profile_banners/1636606320/1501778381")</f>
        <v>https://pbs.twimg.com/profile_banners/1636606320/1501778381</v>
      </c>
      <c r="BI46" s="80"/>
      <c r="BJ46" s="80" t="s">
        <v>1455</v>
      </c>
      <c r="BK46" s="80" t="b">
        <v>0</v>
      </c>
      <c r="BL46" s="80"/>
      <c r="BM46" s="80" t="s">
        <v>66</v>
      </c>
      <c r="BN46" s="80" t="s">
        <v>1457</v>
      </c>
      <c r="BO46" s="85" t="str">
        <f>HYPERLINK("https://twitter.com/icd_aejmc")</f>
        <v>https://twitter.com/icd_aejmc</v>
      </c>
      <c r="BP46" s="80" t="str">
        <f>REPLACE(INDEX(GroupVertices[Group], MATCH("~"&amp;Vertices[[#This Row],[Vertex]],GroupVertices[Vertex],0)),1,1,"")</f>
        <v>13</v>
      </c>
      <c r="BQ46" s="49">
        <v>0</v>
      </c>
      <c r="BR46" s="50">
        <v>0</v>
      </c>
      <c r="BS46" s="49">
        <v>0</v>
      </c>
      <c r="BT46" s="50">
        <v>0</v>
      </c>
      <c r="BU46" s="49">
        <v>0</v>
      </c>
      <c r="BV46" s="50">
        <v>0</v>
      </c>
      <c r="BW46" s="49">
        <v>22</v>
      </c>
      <c r="BX46" s="50">
        <v>68.75</v>
      </c>
      <c r="BY46" s="49">
        <v>32</v>
      </c>
      <c r="BZ46" s="49"/>
      <c r="CA46" s="49"/>
      <c r="CB46" s="49"/>
      <c r="CC46" s="49"/>
      <c r="CD46" s="49"/>
      <c r="CE46" s="49"/>
      <c r="CF46" s="116" t="s">
        <v>9923</v>
      </c>
      <c r="CG46" s="116" t="s">
        <v>9923</v>
      </c>
      <c r="CH46" s="116" t="s">
        <v>9993</v>
      </c>
      <c r="CI46" s="116" t="s">
        <v>9993</v>
      </c>
      <c r="CJ46" s="2"/>
      <c r="CK46" s="3"/>
      <c r="CL46" s="3"/>
      <c r="CM46" s="3"/>
      <c r="CN46" s="3"/>
    </row>
    <row r="47" spans="1:92" x14ac:dyDescent="0.25">
      <c r="A47" s="65" t="s">
        <v>264</v>
      </c>
      <c r="B47" s="66"/>
      <c r="C47" s="66" t="s">
        <v>64</v>
      </c>
      <c r="D47" s="67">
        <v>100</v>
      </c>
      <c r="E47" s="69"/>
      <c r="F47" s="104" t="str">
        <f>HYPERLINK("https://pbs.twimg.com/profile_images/1250098700296175618/S-7T9ZM4_normal.jpg")</f>
        <v>https://pbs.twimg.com/profile_images/1250098700296175618/S-7T9ZM4_normal.jpg</v>
      </c>
      <c r="G47" s="66"/>
      <c r="H47" s="70" t="s">
        <v>264</v>
      </c>
      <c r="I47" s="71"/>
      <c r="J47" s="71" t="s">
        <v>159</v>
      </c>
      <c r="K47" s="70" t="s">
        <v>1501</v>
      </c>
      <c r="L47" s="74">
        <v>1</v>
      </c>
      <c r="M47" s="75">
        <v>6967.1982421875</v>
      </c>
      <c r="N47" s="75">
        <v>4708.55712890625</v>
      </c>
      <c r="O47" s="76"/>
      <c r="P47" s="77"/>
      <c r="Q47" s="77"/>
      <c r="R47" s="90"/>
      <c r="S47" s="49">
        <v>0</v>
      </c>
      <c r="T47" s="49">
        <v>1</v>
      </c>
      <c r="U47" s="50">
        <v>0</v>
      </c>
      <c r="V47" s="50">
        <v>3.0644000000000001E-2</v>
      </c>
      <c r="W47" s="50">
        <v>0</v>
      </c>
      <c r="X47" s="50">
        <v>7.1630000000000001E-3</v>
      </c>
      <c r="Y47" s="50">
        <v>0</v>
      </c>
      <c r="Z47" s="50">
        <v>0</v>
      </c>
      <c r="AA47" s="72">
        <v>47</v>
      </c>
      <c r="AB47" s="72"/>
      <c r="AC47" s="73"/>
      <c r="AD47" s="80" t="s">
        <v>976</v>
      </c>
      <c r="AE47" s="87" t="s">
        <v>887</v>
      </c>
      <c r="AF47" s="80">
        <v>1339</v>
      </c>
      <c r="AG47" s="80">
        <v>1589</v>
      </c>
      <c r="AH47" s="80">
        <v>5121</v>
      </c>
      <c r="AI47" s="80">
        <v>16</v>
      </c>
      <c r="AJ47" s="80">
        <v>30221</v>
      </c>
      <c r="AK47" s="80">
        <v>622</v>
      </c>
      <c r="AL47" s="80" t="b">
        <v>0</v>
      </c>
      <c r="AM47" s="82">
        <v>43444.746990740743</v>
      </c>
      <c r="AN47" s="80" t="s">
        <v>1189</v>
      </c>
      <c r="AO47" s="80" t="s">
        <v>1271</v>
      </c>
      <c r="AP47" s="85" t="str">
        <f>HYPERLINK("https://t.co/rytIgW8tnC")</f>
        <v>https://t.co/rytIgW8tnC</v>
      </c>
      <c r="AQ47" s="85" t="str">
        <f>HYPERLINK("http://www.emma-frances-bloomfield.com")</f>
        <v>http://www.emma-frances-bloomfield.com</v>
      </c>
      <c r="AR47" s="80" t="s">
        <v>1381</v>
      </c>
      <c r="AS47" s="80"/>
      <c r="AT47" s="80"/>
      <c r="AU47" s="80"/>
      <c r="AV47" s="80">
        <v>1.3265462180847501E+18</v>
      </c>
      <c r="AW47" s="85" t="str">
        <f>HYPERLINK("https://t.co/rytIgW8tnC")</f>
        <v>https://t.co/rytIgW8tnC</v>
      </c>
      <c r="AX47" s="80" t="b">
        <v>0</v>
      </c>
      <c r="AY47" s="80"/>
      <c r="AZ47" s="80"/>
      <c r="BA47" s="80" t="b">
        <v>1</v>
      </c>
      <c r="BB47" s="80" t="b">
        <v>1</v>
      </c>
      <c r="BC47" s="80" t="b">
        <v>1</v>
      </c>
      <c r="BD47" s="80" t="b">
        <v>0</v>
      </c>
      <c r="BE47" s="80" t="b">
        <v>1</v>
      </c>
      <c r="BF47" s="80" t="b">
        <v>0</v>
      </c>
      <c r="BG47" s="80" t="b">
        <v>0</v>
      </c>
      <c r="BH47" s="85" t="str">
        <f>HYPERLINK("https://pbs.twimg.com/profile_banners/1072188111625568257/1583425260")</f>
        <v>https://pbs.twimg.com/profile_banners/1072188111625568257/1583425260</v>
      </c>
      <c r="BI47" s="80"/>
      <c r="BJ47" s="80" t="s">
        <v>1455</v>
      </c>
      <c r="BK47" s="80" t="b">
        <v>0</v>
      </c>
      <c r="BL47" s="80"/>
      <c r="BM47" s="80" t="s">
        <v>66</v>
      </c>
      <c r="BN47" s="80" t="s">
        <v>1457</v>
      </c>
      <c r="BO47" s="85" t="str">
        <f>HYPERLINK("https://twitter.com/drefb1")</f>
        <v>https://twitter.com/drefb1</v>
      </c>
      <c r="BP47" s="80" t="str">
        <f>REPLACE(INDEX(GroupVertices[Group], MATCH("~"&amp;Vertices[[#This Row],[Vertex]],GroupVertices[Vertex],0)),1,1,"")</f>
        <v>7</v>
      </c>
      <c r="BQ47" s="49">
        <v>1</v>
      </c>
      <c r="BR47" s="50">
        <v>4.5454545454545459</v>
      </c>
      <c r="BS47" s="49">
        <v>0</v>
      </c>
      <c r="BT47" s="50">
        <v>0</v>
      </c>
      <c r="BU47" s="49">
        <v>0</v>
      </c>
      <c r="BV47" s="50">
        <v>0</v>
      </c>
      <c r="BW47" s="49">
        <v>14</v>
      </c>
      <c r="BX47" s="50">
        <v>63.636363636363633</v>
      </c>
      <c r="BY47" s="49">
        <v>22</v>
      </c>
      <c r="BZ47" s="49"/>
      <c r="CA47" s="49"/>
      <c r="CB47" s="49"/>
      <c r="CC47" s="49"/>
      <c r="CD47" s="49"/>
      <c r="CE47" s="49"/>
      <c r="CF47" s="116" t="s">
        <v>9910</v>
      </c>
      <c r="CG47" s="116" t="s">
        <v>9910</v>
      </c>
      <c r="CH47" s="116" t="s">
        <v>9980</v>
      </c>
      <c r="CI47" s="116" t="s">
        <v>9980</v>
      </c>
      <c r="CJ47" s="2"/>
      <c r="CK47" s="3"/>
      <c r="CL47" s="3"/>
      <c r="CM47" s="3"/>
      <c r="CN47" s="3"/>
    </row>
    <row r="48" spans="1:92" x14ac:dyDescent="0.25">
      <c r="A48" s="65" t="s">
        <v>265</v>
      </c>
      <c r="B48" s="66"/>
      <c r="C48" s="66" t="s">
        <v>64</v>
      </c>
      <c r="D48" s="67">
        <v>100</v>
      </c>
      <c r="E48" s="69"/>
      <c r="F48" s="104" t="str">
        <f>HYPERLINK("https://pbs.twimg.com/profile_images/1495073752341782540/tSJocytd_normal.jpg")</f>
        <v>https://pbs.twimg.com/profile_images/1495073752341782540/tSJocytd_normal.jpg</v>
      </c>
      <c r="G48" s="66"/>
      <c r="H48" s="70" t="s">
        <v>265</v>
      </c>
      <c r="I48" s="71"/>
      <c r="J48" s="71" t="s">
        <v>159</v>
      </c>
      <c r="K48" s="70" t="s">
        <v>1502</v>
      </c>
      <c r="L48" s="74">
        <v>1</v>
      </c>
      <c r="M48" s="75">
        <v>180.99282836914063</v>
      </c>
      <c r="N48" s="75">
        <v>6361.1240234375</v>
      </c>
      <c r="O48" s="76"/>
      <c r="P48" s="77"/>
      <c r="Q48" s="77"/>
      <c r="R48" s="90"/>
      <c r="S48" s="49">
        <v>0</v>
      </c>
      <c r="T48" s="49">
        <v>2</v>
      </c>
      <c r="U48" s="50">
        <v>0</v>
      </c>
      <c r="V48" s="50">
        <v>0.24423500000000001</v>
      </c>
      <c r="W48" s="50">
        <v>3.1330999999999998E-2</v>
      </c>
      <c r="X48" s="50">
        <v>7.2329999999999998E-3</v>
      </c>
      <c r="Y48" s="50">
        <v>0.5</v>
      </c>
      <c r="Z48" s="50">
        <v>0</v>
      </c>
      <c r="AA48" s="72">
        <v>48</v>
      </c>
      <c r="AB48" s="72"/>
      <c r="AC48" s="73"/>
      <c r="AD48" s="80" t="s">
        <v>977</v>
      </c>
      <c r="AE48" s="87" t="s">
        <v>1088</v>
      </c>
      <c r="AF48" s="80">
        <v>3229</v>
      </c>
      <c r="AG48" s="80">
        <v>2772</v>
      </c>
      <c r="AH48" s="80">
        <v>34825</v>
      </c>
      <c r="AI48" s="80">
        <v>56</v>
      </c>
      <c r="AJ48" s="80">
        <v>139510</v>
      </c>
      <c r="AK48" s="80">
        <v>1053</v>
      </c>
      <c r="AL48" s="80" t="b">
        <v>0</v>
      </c>
      <c r="AM48" s="82">
        <v>40893.699166666665</v>
      </c>
      <c r="AN48" s="80" t="s">
        <v>1190</v>
      </c>
      <c r="AO48" s="80" t="s">
        <v>1272</v>
      </c>
      <c r="AP48" s="85" t="str">
        <f>HYPERLINK("https://t.co/Jdi8DhjakJ")</f>
        <v>https://t.co/Jdi8DhjakJ</v>
      </c>
      <c r="AQ48" s="85" t="str">
        <f>HYPERLINK("http://communication.cofc.edu/about/faculty-staff-listing/parisi-david.php")</f>
        <v>http://communication.cofc.edu/about/faculty-staff-listing/parisi-david.php</v>
      </c>
      <c r="AR48" s="80" t="s">
        <v>1382</v>
      </c>
      <c r="AS48" s="85" t="str">
        <f>HYPERLINK("https://t.co/SHPU2xg2h3")</f>
        <v>https://t.co/SHPU2xg2h3</v>
      </c>
      <c r="AT48" s="85" t="str">
        <f>HYPERLINK("https://bsky.app/profile/daveparisi@bsky.social")</f>
        <v>https://bsky.app/profile/daveparisi@bsky.social</v>
      </c>
      <c r="AU48" s="80" t="s">
        <v>1446</v>
      </c>
      <c r="AV48" s="80">
        <v>1.49940329388545E+18</v>
      </c>
      <c r="AW48" s="85" t="str">
        <f>HYPERLINK("https://t.co/Jdi8DhjakJ")</f>
        <v>https://t.co/Jdi8DhjakJ</v>
      </c>
      <c r="AX48" s="80" t="b">
        <v>0</v>
      </c>
      <c r="AY48" s="80"/>
      <c r="AZ48" s="80"/>
      <c r="BA48" s="80" t="b">
        <v>0</v>
      </c>
      <c r="BB48" s="80" t="b">
        <v>1</v>
      </c>
      <c r="BC48" s="80" t="b">
        <v>0</v>
      </c>
      <c r="BD48" s="80" t="b">
        <v>0</v>
      </c>
      <c r="BE48" s="80" t="b">
        <v>1</v>
      </c>
      <c r="BF48" s="80" t="b">
        <v>0</v>
      </c>
      <c r="BG48" s="80" t="b">
        <v>0</v>
      </c>
      <c r="BH48" s="85" t="str">
        <f>HYPERLINK("https://pbs.twimg.com/profile_banners/438476687/1508595347")</f>
        <v>https://pbs.twimg.com/profile_banners/438476687/1508595347</v>
      </c>
      <c r="BI48" s="80"/>
      <c r="BJ48" s="80" t="s">
        <v>1455</v>
      </c>
      <c r="BK48" s="80" t="b">
        <v>0</v>
      </c>
      <c r="BL48" s="80"/>
      <c r="BM48" s="80" t="s">
        <v>66</v>
      </c>
      <c r="BN48" s="80" t="s">
        <v>1457</v>
      </c>
      <c r="BO48" s="85" t="str">
        <f>HYPERLINK("https://twitter.com/dave_parisi")</f>
        <v>https://twitter.com/dave_parisi</v>
      </c>
      <c r="BP48" s="80" t="str">
        <f>REPLACE(INDEX(GroupVertices[Group], MATCH("~"&amp;Vertices[[#This Row],[Vertex]],GroupVertices[Vertex],0)),1,1,"")</f>
        <v>2</v>
      </c>
      <c r="BQ48" s="49">
        <v>0</v>
      </c>
      <c r="BR48" s="50">
        <v>0</v>
      </c>
      <c r="BS48" s="49">
        <v>0</v>
      </c>
      <c r="BT48" s="50">
        <v>0</v>
      </c>
      <c r="BU48" s="49">
        <v>0</v>
      </c>
      <c r="BV48" s="50">
        <v>0</v>
      </c>
      <c r="BW48" s="49">
        <v>10</v>
      </c>
      <c r="BX48" s="50">
        <v>58.823529411764703</v>
      </c>
      <c r="BY48" s="49">
        <v>17</v>
      </c>
      <c r="BZ48" s="49"/>
      <c r="CA48" s="49"/>
      <c r="CB48" s="49"/>
      <c r="CC48" s="49"/>
      <c r="CD48" s="49"/>
      <c r="CE48" s="49"/>
      <c r="CF48" s="116" t="s">
        <v>9907</v>
      </c>
      <c r="CG48" s="116" t="s">
        <v>9907</v>
      </c>
      <c r="CH48" s="116" t="s">
        <v>9977</v>
      </c>
      <c r="CI48" s="116" t="s">
        <v>9977</v>
      </c>
      <c r="CJ48" s="2"/>
      <c r="CK48" s="3"/>
      <c r="CL48" s="3"/>
      <c r="CM48" s="3"/>
      <c r="CN48" s="3"/>
    </row>
    <row r="49" spans="1:92" x14ac:dyDescent="0.25">
      <c r="A49" s="65" t="s">
        <v>266</v>
      </c>
      <c r="B49" s="66"/>
      <c r="C49" s="66" t="s">
        <v>64</v>
      </c>
      <c r="D49" s="67">
        <v>100</v>
      </c>
      <c r="E49" s="69"/>
      <c r="F49" s="104" t="str">
        <f>HYPERLINK("https://pbs.twimg.com/profile_images/1695196813077237760/dUrkZteM_normal.jpg")</f>
        <v>https://pbs.twimg.com/profile_images/1695196813077237760/dUrkZteM_normal.jpg</v>
      </c>
      <c r="G49" s="66"/>
      <c r="H49" s="70" t="s">
        <v>266</v>
      </c>
      <c r="I49" s="71"/>
      <c r="J49" s="71" t="s">
        <v>159</v>
      </c>
      <c r="K49" s="70" t="s">
        <v>1503</v>
      </c>
      <c r="L49" s="74">
        <v>1</v>
      </c>
      <c r="M49" s="75">
        <v>1046.5203857421875</v>
      </c>
      <c r="N49" s="75">
        <v>5102.37060546875</v>
      </c>
      <c r="O49" s="76"/>
      <c r="P49" s="77"/>
      <c r="Q49" s="77"/>
      <c r="R49" s="90"/>
      <c r="S49" s="49">
        <v>0</v>
      </c>
      <c r="T49" s="49">
        <v>2</v>
      </c>
      <c r="U49" s="50">
        <v>0</v>
      </c>
      <c r="V49" s="50">
        <v>0.32012200000000002</v>
      </c>
      <c r="W49" s="50">
        <v>9.9807999999999994E-2</v>
      </c>
      <c r="X49" s="50">
        <v>7.0730000000000003E-3</v>
      </c>
      <c r="Y49" s="50">
        <v>0.5</v>
      </c>
      <c r="Z49" s="50">
        <v>0</v>
      </c>
      <c r="AA49" s="72">
        <v>49</v>
      </c>
      <c r="AB49" s="72"/>
      <c r="AC49" s="73"/>
      <c r="AD49" s="80" t="s">
        <v>978</v>
      </c>
      <c r="AE49" s="87" t="s">
        <v>1089</v>
      </c>
      <c r="AF49" s="80">
        <v>1876</v>
      </c>
      <c r="AG49" s="80">
        <v>2721</v>
      </c>
      <c r="AH49" s="80">
        <v>3325</v>
      </c>
      <c r="AI49" s="80">
        <v>16</v>
      </c>
      <c r="AJ49" s="80">
        <v>28790</v>
      </c>
      <c r="AK49" s="80">
        <v>267</v>
      </c>
      <c r="AL49" s="80" t="b">
        <v>0</v>
      </c>
      <c r="AM49" s="82">
        <v>39981.821261574078</v>
      </c>
      <c r="AN49" s="80" t="s">
        <v>1191</v>
      </c>
      <c r="AO49" s="80" t="s">
        <v>1273</v>
      </c>
      <c r="AP49" s="85" t="str">
        <f>HYPERLINK("https://t.co/9KHOR6H10W")</f>
        <v>https://t.co/9KHOR6H10W</v>
      </c>
      <c r="AQ49" s="85" t="str">
        <f>HYPERLINK("http://laurenlassabe.com")</f>
        <v>http://laurenlassabe.com</v>
      </c>
      <c r="AR49" s="80" t="s">
        <v>1383</v>
      </c>
      <c r="AS49" s="80"/>
      <c r="AT49" s="80"/>
      <c r="AU49" s="80"/>
      <c r="AV49" s="80">
        <v>1.6939735403896901E+18</v>
      </c>
      <c r="AW49" s="85" t="str">
        <f>HYPERLINK("https://t.co/9KHOR6H10W")</f>
        <v>https://t.co/9KHOR6H10W</v>
      </c>
      <c r="AX49" s="80" t="b">
        <v>0</v>
      </c>
      <c r="AY49" s="80"/>
      <c r="AZ49" s="80"/>
      <c r="BA49" s="80" t="b">
        <v>0</v>
      </c>
      <c r="BB49" s="80" t="b">
        <v>0</v>
      </c>
      <c r="BC49" s="80" t="b">
        <v>0</v>
      </c>
      <c r="BD49" s="80" t="b">
        <v>0</v>
      </c>
      <c r="BE49" s="80" t="b">
        <v>0</v>
      </c>
      <c r="BF49" s="80" t="b">
        <v>0</v>
      </c>
      <c r="BG49" s="80" t="b">
        <v>0</v>
      </c>
      <c r="BH49" s="85" t="str">
        <f>HYPERLINK("https://pbs.twimg.com/profile_banners/48086979/1651087368")</f>
        <v>https://pbs.twimg.com/profile_banners/48086979/1651087368</v>
      </c>
      <c r="BI49" s="80"/>
      <c r="BJ49" s="80" t="s">
        <v>1455</v>
      </c>
      <c r="BK49" s="80" t="b">
        <v>0</v>
      </c>
      <c r="BL49" s="80"/>
      <c r="BM49" s="80" t="s">
        <v>66</v>
      </c>
      <c r="BN49" s="80" t="s">
        <v>1457</v>
      </c>
      <c r="BO49" s="85" t="str">
        <f>HYPERLINK("https://twitter.com/llassabe")</f>
        <v>https://twitter.com/llassabe</v>
      </c>
      <c r="BP49" s="80" t="str">
        <f>REPLACE(INDEX(GroupVertices[Group], MATCH("~"&amp;Vertices[[#This Row],[Vertex]],GroupVertices[Vertex],0)),1,1,"")</f>
        <v>2</v>
      </c>
      <c r="BQ49" s="49">
        <v>0</v>
      </c>
      <c r="BR49" s="50">
        <v>0</v>
      </c>
      <c r="BS49" s="49">
        <v>0</v>
      </c>
      <c r="BT49" s="50">
        <v>0</v>
      </c>
      <c r="BU49" s="49">
        <v>0</v>
      </c>
      <c r="BV49" s="50">
        <v>0</v>
      </c>
      <c r="BW49" s="49">
        <v>7</v>
      </c>
      <c r="BX49" s="50">
        <v>77.777777777777771</v>
      </c>
      <c r="BY49" s="49">
        <v>9</v>
      </c>
      <c r="BZ49" s="49" t="s">
        <v>9562</v>
      </c>
      <c r="CA49" s="49" t="s">
        <v>9562</v>
      </c>
      <c r="CB49" s="49" t="s">
        <v>498</v>
      </c>
      <c r="CC49" s="49" t="s">
        <v>498</v>
      </c>
      <c r="CD49" s="49" t="s">
        <v>474</v>
      </c>
      <c r="CE49" s="49" t="s">
        <v>474</v>
      </c>
      <c r="CF49" s="116" t="s">
        <v>9924</v>
      </c>
      <c r="CG49" s="116" t="s">
        <v>9924</v>
      </c>
      <c r="CH49" s="116" t="s">
        <v>9994</v>
      </c>
      <c r="CI49" s="116" t="s">
        <v>9994</v>
      </c>
      <c r="CJ49" s="2"/>
      <c r="CK49" s="3"/>
      <c r="CL49" s="3"/>
      <c r="CM49" s="3"/>
      <c r="CN49" s="3"/>
    </row>
    <row r="50" spans="1:92" x14ac:dyDescent="0.25">
      <c r="A50" s="65" t="s">
        <v>267</v>
      </c>
      <c r="B50" s="66"/>
      <c r="C50" s="66" t="s">
        <v>64</v>
      </c>
      <c r="D50" s="67">
        <v>100</v>
      </c>
      <c r="E50" s="69"/>
      <c r="F50" s="104" t="str">
        <f>HYPERLINK("https://pbs.twimg.com/profile_images/378800000281230339/6ad02fea0dccd5f899ccdd79092deb23_normal.jpeg")</f>
        <v>https://pbs.twimg.com/profile_images/378800000281230339/6ad02fea0dccd5f899ccdd79092deb23_normal.jpeg</v>
      </c>
      <c r="G50" s="66"/>
      <c r="H50" s="70" t="s">
        <v>267</v>
      </c>
      <c r="I50" s="71"/>
      <c r="J50" s="71" t="s">
        <v>159</v>
      </c>
      <c r="K50" s="70" t="s">
        <v>1504</v>
      </c>
      <c r="L50" s="74">
        <v>1</v>
      </c>
      <c r="M50" s="75">
        <v>1826.5684814453125</v>
      </c>
      <c r="N50" s="75">
        <v>5793.76416015625</v>
      </c>
      <c r="O50" s="76"/>
      <c r="P50" s="77"/>
      <c r="Q50" s="77"/>
      <c r="R50" s="90"/>
      <c r="S50" s="49">
        <v>3</v>
      </c>
      <c r="T50" s="49">
        <v>1</v>
      </c>
      <c r="U50" s="50">
        <v>0</v>
      </c>
      <c r="V50" s="50">
        <v>0.32012200000000002</v>
      </c>
      <c r="W50" s="50">
        <v>0.113706</v>
      </c>
      <c r="X50" s="50">
        <v>7.4460000000000004E-3</v>
      </c>
      <c r="Y50" s="50">
        <v>0.5</v>
      </c>
      <c r="Z50" s="50">
        <v>0</v>
      </c>
      <c r="AA50" s="72">
        <v>50</v>
      </c>
      <c r="AB50" s="72"/>
      <c r="AC50" s="73"/>
      <c r="AD50" s="80" t="s">
        <v>979</v>
      </c>
      <c r="AE50" s="87" t="s">
        <v>1090</v>
      </c>
      <c r="AF50" s="80">
        <v>701</v>
      </c>
      <c r="AG50" s="80">
        <v>643</v>
      </c>
      <c r="AH50" s="80">
        <v>922</v>
      </c>
      <c r="AI50" s="80">
        <v>27</v>
      </c>
      <c r="AJ50" s="80">
        <v>387</v>
      </c>
      <c r="AK50" s="80">
        <v>230</v>
      </c>
      <c r="AL50" s="80" t="b">
        <v>0</v>
      </c>
      <c r="AM50" s="82">
        <v>41498.062025462961</v>
      </c>
      <c r="AN50" s="80" t="s">
        <v>1192</v>
      </c>
      <c r="AO50" s="80" t="s">
        <v>1274</v>
      </c>
      <c r="AP50" s="85" t="str">
        <f>HYPERLINK("http://t.co/s45ZsrVkYd")</f>
        <v>http://t.co/s45ZsrVkYd</v>
      </c>
      <c r="AQ50" s="85" t="str">
        <f>HYPERLINK("http://aejmc.us/vis/")</f>
        <v>http://aejmc.us/vis/</v>
      </c>
      <c r="AR50" s="80" t="s">
        <v>1384</v>
      </c>
      <c r="AS50" s="80"/>
      <c r="AT50" s="80"/>
      <c r="AU50" s="80"/>
      <c r="AV50" s="80"/>
      <c r="AW50" s="85" t="str">
        <f>HYPERLINK("http://t.co/s45ZsrVkYd")</f>
        <v>http://t.co/s45ZsrVkYd</v>
      </c>
      <c r="AX50" s="80" t="b">
        <v>0</v>
      </c>
      <c r="AY50" s="80"/>
      <c r="AZ50" s="80"/>
      <c r="BA50" s="80" t="b">
        <v>0</v>
      </c>
      <c r="BB50" s="80" t="b">
        <v>1</v>
      </c>
      <c r="BC50" s="80" t="b">
        <v>1</v>
      </c>
      <c r="BD50" s="80" t="b">
        <v>0</v>
      </c>
      <c r="BE50" s="80" t="b">
        <v>0</v>
      </c>
      <c r="BF50" s="80" t="b">
        <v>0</v>
      </c>
      <c r="BG50" s="80" t="b">
        <v>0</v>
      </c>
      <c r="BH50" s="85" t="str">
        <f>HYPERLINK("https://pbs.twimg.com/profile_banners/1663878439/1376334373")</f>
        <v>https://pbs.twimg.com/profile_banners/1663878439/1376334373</v>
      </c>
      <c r="BI50" s="80"/>
      <c r="BJ50" s="80" t="s">
        <v>1455</v>
      </c>
      <c r="BK50" s="80" t="b">
        <v>0</v>
      </c>
      <c r="BL50" s="80"/>
      <c r="BM50" s="80" t="s">
        <v>66</v>
      </c>
      <c r="BN50" s="80" t="s">
        <v>1457</v>
      </c>
      <c r="BO50" s="85" t="str">
        <f>HYPERLINK("https://twitter.com/aejmcviscom")</f>
        <v>https://twitter.com/aejmcviscom</v>
      </c>
      <c r="BP50" s="80" t="str">
        <f>REPLACE(INDEX(GroupVertices[Group], MATCH("~"&amp;Vertices[[#This Row],[Vertex]],GroupVertices[Vertex],0)),1,1,"")</f>
        <v>2</v>
      </c>
      <c r="BQ50" s="49">
        <v>1</v>
      </c>
      <c r="BR50" s="50">
        <v>3.5714285714285716</v>
      </c>
      <c r="BS50" s="49">
        <v>1</v>
      </c>
      <c r="BT50" s="50">
        <v>3.5714285714285716</v>
      </c>
      <c r="BU50" s="49">
        <v>0</v>
      </c>
      <c r="BV50" s="50">
        <v>0</v>
      </c>
      <c r="BW50" s="49">
        <v>11</v>
      </c>
      <c r="BX50" s="50">
        <v>39.285714285714285</v>
      </c>
      <c r="BY50" s="49">
        <v>28</v>
      </c>
      <c r="BZ50" s="49" t="s">
        <v>9580</v>
      </c>
      <c r="CA50" s="49" t="s">
        <v>9580</v>
      </c>
      <c r="CB50" s="49" t="s">
        <v>505</v>
      </c>
      <c r="CC50" s="49" t="s">
        <v>505</v>
      </c>
      <c r="CD50" s="49"/>
      <c r="CE50" s="49"/>
      <c r="CF50" s="116" t="s">
        <v>9925</v>
      </c>
      <c r="CG50" s="116" t="s">
        <v>9925</v>
      </c>
      <c r="CH50" s="116" t="s">
        <v>9995</v>
      </c>
      <c r="CI50" s="116" t="s">
        <v>9995</v>
      </c>
      <c r="CJ50" s="2"/>
      <c r="CK50" s="3"/>
      <c r="CL50" s="3"/>
      <c r="CM50" s="3"/>
      <c r="CN50" s="3"/>
    </row>
    <row r="51" spans="1:92" x14ac:dyDescent="0.25">
      <c r="A51" s="65" t="s">
        <v>321</v>
      </c>
      <c r="B51" s="66"/>
      <c r="C51" s="66" t="s">
        <v>64</v>
      </c>
      <c r="D51" s="67">
        <v>100</v>
      </c>
      <c r="E51" s="69"/>
      <c r="F51" s="104" t="str">
        <f>HYPERLINK("https://pbs.twimg.com/profile_images/1697496680042504192/BODwgMcJ_normal.jpg")</f>
        <v>https://pbs.twimg.com/profile_images/1697496680042504192/BODwgMcJ_normal.jpg</v>
      </c>
      <c r="G51" s="66"/>
      <c r="H51" s="70" t="s">
        <v>321</v>
      </c>
      <c r="I51" s="71"/>
      <c r="J51" s="71" t="s">
        <v>159</v>
      </c>
      <c r="K51" s="70" t="s">
        <v>1505</v>
      </c>
      <c r="L51" s="74">
        <v>1</v>
      </c>
      <c r="M51" s="75">
        <v>4494.39208984375</v>
      </c>
      <c r="N51" s="75">
        <v>9726.392578125</v>
      </c>
      <c r="O51" s="76"/>
      <c r="P51" s="77"/>
      <c r="Q51" s="77"/>
      <c r="R51" s="90"/>
      <c r="S51" s="49">
        <v>2</v>
      </c>
      <c r="T51" s="49">
        <v>0</v>
      </c>
      <c r="U51" s="50">
        <v>0</v>
      </c>
      <c r="V51" s="50">
        <v>0.32358900000000002</v>
      </c>
      <c r="W51" s="50">
        <v>0.107678</v>
      </c>
      <c r="X51" s="50">
        <v>7.064E-3</v>
      </c>
      <c r="Y51" s="50">
        <v>1</v>
      </c>
      <c r="Z51" s="50">
        <v>0</v>
      </c>
      <c r="AA51" s="72">
        <v>51</v>
      </c>
      <c r="AB51" s="72"/>
      <c r="AC51" s="73"/>
      <c r="AD51" s="80" t="s">
        <v>980</v>
      </c>
      <c r="AE51" s="87" t="s">
        <v>1091</v>
      </c>
      <c r="AF51" s="80">
        <v>2127</v>
      </c>
      <c r="AG51" s="80">
        <v>806</v>
      </c>
      <c r="AH51" s="80">
        <v>545</v>
      </c>
      <c r="AI51" s="80">
        <v>40</v>
      </c>
      <c r="AJ51" s="80">
        <v>1180</v>
      </c>
      <c r="AK51" s="80">
        <v>30</v>
      </c>
      <c r="AL51" s="80" t="b">
        <v>0</v>
      </c>
      <c r="AM51" s="82">
        <v>42997.568460648145</v>
      </c>
      <c r="AN51" s="80" t="s">
        <v>1193</v>
      </c>
      <c r="AO51" s="80" t="s">
        <v>1275</v>
      </c>
      <c r="AP51" s="80"/>
      <c r="AQ51" s="80"/>
      <c r="AR51" s="80"/>
      <c r="AS51" s="80"/>
      <c r="AT51" s="80"/>
      <c r="AU51" s="80"/>
      <c r="AV51" s="80"/>
      <c r="AW51" s="80"/>
      <c r="AX51" s="80" t="b">
        <v>0</v>
      </c>
      <c r="AY51" s="80"/>
      <c r="AZ51" s="80"/>
      <c r="BA51" s="80" t="b">
        <v>1</v>
      </c>
      <c r="BB51" s="80" t="b">
        <v>1</v>
      </c>
      <c r="BC51" s="80" t="b">
        <v>1</v>
      </c>
      <c r="BD51" s="80" t="b">
        <v>0</v>
      </c>
      <c r="BE51" s="80" t="b">
        <v>0</v>
      </c>
      <c r="BF51" s="80" t="b">
        <v>0</v>
      </c>
      <c r="BG51" s="80" t="b">
        <v>0</v>
      </c>
      <c r="BH51" s="85" t="str">
        <f>HYPERLINK("https://pbs.twimg.com/profile_banners/910136038894575616/1693550200")</f>
        <v>https://pbs.twimg.com/profile_banners/910136038894575616/1693550200</v>
      </c>
      <c r="BI51" s="80"/>
      <c r="BJ51" s="80" t="s">
        <v>1455</v>
      </c>
      <c r="BK51" s="80" t="b">
        <v>0</v>
      </c>
      <c r="BL51" s="80"/>
      <c r="BM51" s="80" t="s">
        <v>65</v>
      </c>
      <c r="BN51" s="80" t="s">
        <v>1457</v>
      </c>
      <c r="BO51" s="85" t="str">
        <f>HYPERLINK("https://twitter.com/thanitzsch")</f>
        <v>https://twitter.com/thanitzsch</v>
      </c>
      <c r="BP51" s="80" t="str">
        <f>REPLACE(INDEX(GroupVertices[Group], MATCH("~"&amp;Vertices[[#This Row],[Vertex]],GroupVertices[Vertex],0)),1,1,"")</f>
        <v>3</v>
      </c>
      <c r="BQ51" s="49"/>
      <c r="BR51" s="50"/>
      <c r="BS51" s="49"/>
      <c r="BT51" s="50"/>
      <c r="BU51" s="49"/>
      <c r="BV51" s="50"/>
      <c r="BW51" s="49"/>
      <c r="BX51" s="50"/>
      <c r="BY51" s="49"/>
      <c r="BZ51" s="49"/>
      <c r="CA51" s="49"/>
      <c r="CB51" s="49"/>
      <c r="CC51" s="49"/>
      <c r="CD51" s="49"/>
      <c r="CE51" s="49"/>
      <c r="CF51" s="49"/>
      <c r="CG51" s="49"/>
      <c r="CH51" s="49"/>
      <c r="CI51" s="49"/>
      <c r="CJ51" s="2"/>
      <c r="CK51" s="3"/>
      <c r="CL51" s="3"/>
      <c r="CM51" s="3"/>
      <c r="CN51" s="3"/>
    </row>
    <row r="52" spans="1:92" x14ac:dyDescent="0.25">
      <c r="A52" s="65" t="s">
        <v>322</v>
      </c>
      <c r="B52" s="66"/>
      <c r="C52" s="66" t="s">
        <v>64</v>
      </c>
      <c r="D52" s="67">
        <v>104.57516362745098</v>
      </c>
      <c r="E52" s="69"/>
      <c r="F52" s="104" t="str">
        <f>HYPERLINK("https://pbs.twimg.com/profile_images/1530492115247149056/V1z9MLnE_normal.jpg")</f>
        <v>https://pbs.twimg.com/profile_images/1530492115247149056/V1z9MLnE_normal.jpg</v>
      </c>
      <c r="G52" s="66"/>
      <c r="H52" s="70" t="s">
        <v>322</v>
      </c>
      <c r="I52" s="71"/>
      <c r="J52" s="71" t="s">
        <v>75</v>
      </c>
      <c r="K52" s="70" t="s">
        <v>1506</v>
      </c>
      <c r="L52" s="74">
        <v>8.2246674181100836</v>
      </c>
      <c r="M52" s="75">
        <v>6547.8359375</v>
      </c>
      <c r="N52" s="75">
        <v>8067.9580078125</v>
      </c>
      <c r="O52" s="76"/>
      <c r="P52" s="77"/>
      <c r="Q52" s="77"/>
      <c r="R52" s="90"/>
      <c r="S52" s="49">
        <v>2</v>
      </c>
      <c r="T52" s="49">
        <v>0</v>
      </c>
      <c r="U52" s="50">
        <v>6.6666670000000003</v>
      </c>
      <c r="V52" s="50">
        <v>0.24760799999999999</v>
      </c>
      <c r="W52" s="50">
        <v>3.5414000000000001E-2</v>
      </c>
      <c r="X52" s="50">
        <v>7.293E-3</v>
      </c>
      <c r="Y52" s="50">
        <v>0</v>
      </c>
      <c r="Z52" s="50">
        <v>0</v>
      </c>
      <c r="AA52" s="72">
        <v>52</v>
      </c>
      <c r="AB52" s="72"/>
      <c r="AC52" s="73"/>
      <c r="AD52" s="80" t="s">
        <v>981</v>
      </c>
      <c r="AE52" s="87" t="s">
        <v>1092</v>
      </c>
      <c r="AF52" s="80">
        <v>6768</v>
      </c>
      <c r="AG52" s="80">
        <v>701</v>
      </c>
      <c r="AH52" s="80">
        <v>16456</v>
      </c>
      <c r="AI52" s="80">
        <v>157</v>
      </c>
      <c r="AJ52" s="80">
        <v>4983</v>
      </c>
      <c r="AK52" s="80">
        <v>2818</v>
      </c>
      <c r="AL52" s="80" t="b">
        <v>0</v>
      </c>
      <c r="AM52" s="82">
        <v>40229.864317129628</v>
      </c>
      <c r="AN52" s="80" t="s">
        <v>1194</v>
      </c>
      <c r="AO52" s="80" t="s">
        <v>1276</v>
      </c>
      <c r="AP52" s="85" t="str">
        <f>HYPERLINK("https://t.co/TaMbbU7vhB")</f>
        <v>https://t.co/TaMbbU7vhB</v>
      </c>
      <c r="AQ52" s="85" t="str">
        <f>HYPERLINK("http://www.politicalcommunication.org/")</f>
        <v>http://www.politicalcommunication.org/</v>
      </c>
      <c r="AR52" s="80" t="s">
        <v>1385</v>
      </c>
      <c r="AS52" s="85" t="str">
        <f>HYPERLINK("https://t.co/1ksFruo5L5")</f>
        <v>https://t.co/1ksFruo5L5</v>
      </c>
      <c r="AT52" s="85" t="str">
        <f>HYPERLINK("https://www.facebook.com/groups/politicalcom")</f>
        <v>https://www.facebook.com/groups/politicalcom</v>
      </c>
      <c r="AU52" s="80" t="s">
        <v>1447</v>
      </c>
      <c r="AV52" s="80">
        <v>1.5272033730904901E+18</v>
      </c>
      <c r="AW52" s="85" t="str">
        <f>HYPERLINK("https://t.co/TaMbbU7vhB")</f>
        <v>https://t.co/TaMbbU7vhB</v>
      </c>
      <c r="AX52" s="80" t="b">
        <v>0</v>
      </c>
      <c r="AY52" s="80"/>
      <c r="AZ52" s="80"/>
      <c r="BA52" s="80" t="b">
        <v>1</v>
      </c>
      <c r="BB52" s="80" t="b">
        <v>1</v>
      </c>
      <c r="BC52" s="80" t="b">
        <v>0</v>
      </c>
      <c r="BD52" s="80" t="b">
        <v>0</v>
      </c>
      <c r="BE52" s="80" t="b">
        <v>0</v>
      </c>
      <c r="BF52" s="80" t="b">
        <v>0</v>
      </c>
      <c r="BG52" s="80" t="b">
        <v>0</v>
      </c>
      <c r="BH52" s="85" t="str">
        <f>HYPERLINK("https://pbs.twimg.com/profile_banners/116016090/1653732730")</f>
        <v>https://pbs.twimg.com/profile_banners/116016090/1653732730</v>
      </c>
      <c r="BI52" s="80"/>
      <c r="BJ52" s="80" t="s">
        <v>1455</v>
      </c>
      <c r="BK52" s="80" t="b">
        <v>0</v>
      </c>
      <c r="BL52" s="80"/>
      <c r="BM52" s="80" t="s">
        <v>65</v>
      </c>
      <c r="BN52" s="80" t="s">
        <v>1457</v>
      </c>
      <c r="BO52" s="85" t="str">
        <f>HYPERLINK("https://twitter.com/poli_com")</f>
        <v>https://twitter.com/poli_com</v>
      </c>
      <c r="BP52" s="80" t="str">
        <f>REPLACE(INDEX(GroupVertices[Group], MATCH("~"&amp;Vertices[[#This Row],[Vertex]],GroupVertices[Vertex],0)),1,1,"")</f>
        <v>6</v>
      </c>
      <c r="BQ52" s="49"/>
      <c r="BR52" s="50"/>
      <c r="BS52" s="49"/>
      <c r="BT52" s="50"/>
      <c r="BU52" s="49"/>
      <c r="BV52" s="50"/>
      <c r="BW52" s="49"/>
      <c r="BX52" s="50"/>
      <c r="BY52" s="49"/>
      <c r="BZ52" s="49"/>
      <c r="CA52" s="49"/>
      <c r="CB52" s="49"/>
      <c r="CC52" s="49"/>
      <c r="CD52" s="49"/>
      <c r="CE52" s="49"/>
      <c r="CF52" s="49"/>
      <c r="CG52" s="49"/>
      <c r="CH52" s="49"/>
      <c r="CI52" s="49"/>
      <c r="CJ52" s="2"/>
      <c r="CK52" s="3"/>
      <c r="CL52" s="3"/>
      <c r="CM52" s="3"/>
      <c r="CN52" s="3"/>
    </row>
    <row r="53" spans="1:92" x14ac:dyDescent="0.25">
      <c r="A53" s="65" t="s">
        <v>323</v>
      </c>
      <c r="B53" s="66"/>
      <c r="C53" s="66" t="s">
        <v>64</v>
      </c>
      <c r="D53" s="67">
        <v>100</v>
      </c>
      <c r="E53" s="69"/>
      <c r="F53" s="104" t="str">
        <f>HYPERLINK("https://pbs.twimg.com/profile_images/1379163047143563267/V0WogKBB_normal.jpg")</f>
        <v>https://pbs.twimg.com/profile_images/1379163047143563267/V0WogKBB_normal.jpg</v>
      </c>
      <c r="G53" s="66"/>
      <c r="H53" s="70" t="s">
        <v>323</v>
      </c>
      <c r="I53" s="71"/>
      <c r="J53" s="71" t="s">
        <v>159</v>
      </c>
      <c r="K53" s="70" t="s">
        <v>1507</v>
      </c>
      <c r="L53" s="74">
        <v>1</v>
      </c>
      <c r="M53" s="75">
        <v>3723.09228515625</v>
      </c>
      <c r="N53" s="75">
        <v>8975.6064453125</v>
      </c>
      <c r="O53" s="76"/>
      <c r="P53" s="77"/>
      <c r="Q53" s="77"/>
      <c r="R53" s="90"/>
      <c r="S53" s="49">
        <v>2</v>
      </c>
      <c r="T53" s="49">
        <v>0</v>
      </c>
      <c r="U53" s="50">
        <v>0</v>
      </c>
      <c r="V53" s="50">
        <v>0.32358900000000002</v>
      </c>
      <c r="W53" s="50">
        <v>0.107678</v>
      </c>
      <c r="X53" s="50">
        <v>7.064E-3</v>
      </c>
      <c r="Y53" s="50">
        <v>1</v>
      </c>
      <c r="Z53" s="50">
        <v>0</v>
      </c>
      <c r="AA53" s="72">
        <v>53</v>
      </c>
      <c r="AB53" s="72"/>
      <c r="AC53" s="73"/>
      <c r="AD53" s="80" t="s">
        <v>323</v>
      </c>
      <c r="AE53" s="87" t="s">
        <v>1093</v>
      </c>
      <c r="AF53" s="80">
        <v>60</v>
      </c>
      <c r="AG53" s="80">
        <v>73</v>
      </c>
      <c r="AH53" s="80">
        <v>27</v>
      </c>
      <c r="AI53" s="80">
        <v>0</v>
      </c>
      <c r="AJ53" s="80">
        <v>0</v>
      </c>
      <c r="AK53" s="80">
        <v>1</v>
      </c>
      <c r="AL53" s="80" t="b">
        <v>0</v>
      </c>
      <c r="AM53" s="82">
        <v>39734.798784722225</v>
      </c>
      <c r="AN53" s="80"/>
      <c r="AO53" s="80" t="s">
        <v>1277</v>
      </c>
      <c r="AP53" s="80"/>
      <c r="AQ53" s="80"/>
      <c r="AR53" s="80"/>
      <c r="AS53" s="80"/>
      <c r="AT53" s="80"/>
      <c r="AU53" s="80"/>
      <c r="AV53" s="80"/>
      <c r="AW53" s="80"/>
      <c r="AX53" s="80" t="b">
        <v>0</v>
      </c>
      <c r="AY53" s="80"/>
      <c r="AZ53" s="80"/>
      <c r="BA53" s="80" t="b">
        <v>0</v>
      </c>
      <c r="BB53" s="80" t="b">
        <v>1</v>
      </c>
      <c r="BC53" s="80" t="b">
        <v>1</v>
      </c>
      <c r="BD53" s="80" t="b">
        <v>0</v>
      </c>
      <c r="BE53" s="80" t="b">
        <v>0</v>
      </c>
      <c r="BF53" s="80" t="b">
        <v>0</v>
      </c>
      <c r="BG53" s="80" t="b">
        <v>0</v>
      </c>
      <c r="BH53" s="80"/>
      <c r="BI53" s="80"/>
      <c r="BJ53" s="80" t="s">
        <v>1455</v>
      </c>
      <c r="BK53" s="80" t="b">
        <v>0</v>
      </c>
      <c r="BL53" s="80"/>
      <c r="BM53" s="80" t="s">
        <v>65</v>
      </c>
      <c r="BN53" s="80" t="s">
        <v>1457</v>
      </c>
      <c r="BO53" s="85" t="str">
        <f>HYPERLINK("https://twitter.com/renitac")</f>
        <v>https://twitter.com/renitac</v>
      </c>
      <c r="BP53" s="80" t="str">
        <f>REPLACE(INDEX(GroupVertices[Group], MATCH("~"&amp;Vertices[[#This Row],[Vertex]],GroupVertices[Vertex],0)),1,1,"")</f>
        <v>3</v>
      </c>
      <c r="BQ53" s="49"/>
      <c r="BR53" s="50"/>
      <c r="BS53" s="49"/>
      <c r="BT53" s="50"/>
      <c r="BU53" s="49"/>
      <c r="BV53" s="50"/>
      <c r="BW53" s="49"/>
      <c r="BX53" s="50"/>
      <c r="BY53" s="49"/>
      <c r="BZ53" s="49"/>
      <c r="CA53" s="49"/>
      <c r="CB53" s="49"/>
      <c r="CC53" s="49"/>
      <c r="CD53" s="49"/>
      <c r="CE53" s="49"/>
      <c r="CF53" s="49"/>
      <c r="CG53" s="49"/>
      <c r="CH53" s="49"/>
      <c r="CI53" s="49"/>
      <c r="CJ53" s="2"/>
      <c r="CK53" s="3"/>
      <c r="CL53" s="3"/>
      <c r="CM53" s="3"/>
      <c r="CN53" s="3"/>
    </row>
    <row r="54" spans="1:92" x14ac:dyDescent="0.25">
      <c r="A54" s="65" t="s">
        <v>324</v>
      </c>
      <c r="B54" s="66"/>
      <c r="C54" s="66" t="s">
        <v>64</v>
      </c>
      <c r="D54" s="67">
        <v>100</v>
      </c>
      <c r="E54" s="69"/>
      <c r="F54" s="104" t="str">
        <f>HYPERLINK("https://pbs.twimg.com/profile_images/1584646060345069570/tDVHXtf__normal.jpg")</f>
        <v>https://pbs.twimg.com/profile_images/1584646060345069570/tDVHXtf__normal.jpg</v>
      </c>
      <c r="G54" s="66"/>
      <c r="H54" s="70" t="s">
        <v>324</v>
      </c>
      <c r="I54" s="71"/>
      <c r="J54" s="71" t="s">
        <v>159</v>
      </c>
      <c r="K54" s="70" t="s">
        <v>1508</v>
      </c>
      <c r="L54" s="74">
        <v>1</v>
      </c>
      <c r="M54" s="75">
        <v>2000.8614501953125</v>
      </c>
      <c r="N54" s="75">
        <v>4021.33349609375</v>
      </c>
      <c r="O54" s="76"/>
      <c r="P54" s="77"/>
      <c r="Q54" s="77"/>
      <c r="R54" s="90"/>
      <c r="S54" s="49">
        <v>1</v>
      </c>
      <c r="T54" s="49">
        <v>0</v>
      </c>
      <c r="U54" s="50">
        <v>0</v>
      </c>
      <c r="V54" s="50">
        <v>0.309083</v>
      </c>
      <c r="W54" s="50">
        <v>7.3974999999999999E-2</v>
      </c>
      <c r="X54" s="50">
        <v>6.9379999999999997E-3</v>
      </c>
      <c r="Y54" s="50">
        <v>0</v>
      </c>
      <c r="Z54" s="50">
        <v>0</v>
      </c>
      <c r="AA54" s="72">
        <v>54</v>
      </c>
      <c r="AB54" s="72"/>
      <c r="AC54" s="73"/>
      <c r="AD54" s="80" t="s">
        <v>982</v>
      </c>
      <c r="AE54" s="87" t="s">
        <v>1094</v>
      </c>
      <c r="AF54" s="80">
        <v>5812</v>
      </c>
      <c r="AG54" s="80">
        <v>424</v>
      </c>
      <c r="AH54" s="80">
        <v>9111</v>
      </c>
      <c r="AI54" s="80">
        <v>99</v>
      </c>
      <c r="AJ54" s="80">
        <v>3936</v>
      </c>
      <c r="AK54" s="80">
        <v>2116</v>
      </c>
      <c r="AL54" s="80" t="b">
        <v>0</v>
      </c>
      <c r="AM54" s="82">
        <v>39919.703877314816</v>
      </c>
      <c r="AN54" s="80" t="s">
        <v>1195</v>
      </c>
      <c r="AO54" s="80" t="s">
        <v>1278</v>
      </c>
      <c r="AP54" s="85" t="str">
        <f>HYPERLINK("https://t.co/ocA1dymAbW")</f>
        <v>https://t.co/ocA1dymAbW</v>
      </c>
      <c r="AQ54" s="85" t="str">
        <f>HYPERLINK("http://plattsburgh.edu")</f>
        <v>http://plattsburgh.edu</v>
      </c>
      <c r="AR54" s="80" t="s">
        <v>1386</v>
      </c>
      <c r="AS54" s="80"/>
      <c r="AT54" s="80"/>
      <c r="AU54" s="80"/>
      <c r="AV54" s="80"/>
      <c r="AW54" s="85" t="str">
        <f>HYPERLINK("https://t.co/ocA1dymAbW")</f>
        <v>https://t.co/ocA1dymAbW</v>
      </c>
      <c r="AX54" s="80" t="b">
        <v>0</v>
      </c>
      <c r="AY54" s="80"/>
      <c r="AZ54" s="80"/>
      <c r="BA54" s="80" t="b">
        <v>1</v>
      </c>
      <c r="BB54" s="80" t="b">
        <v>1</v>
      </c>
      <c r="BC54" s="80" t="b">
        <v>0</v>
      </c>
      <c r="BD54" s="80" t="b">
        <v>0</v>
      </c>
      <c r="BE54" s="80" t="b">
        <v>0</v>
      </c>
      <c r="BF54" s="80" t="b">
        <v>0</v>
      </c>
      <c r="BG54" s="80" t="b">
        <v>0</v>
      </c>
      <c r="BH54" s="85" t="str">
        <f>HYPERLINK("https://pbs.twimg.com/profile_banners/31975350/1639597392")</f>
        <v>https://pbs.twimg.com/profile_banners/31975350/1639597392</v>
      </c>
      <c r="BI54" s="80"/>
      <c r="BJ54" s="80" t="s">
        <v>1455</v>
      </c>
      <c r="BK54" s="80" t="b">
        <v>0</v>
      </c>
      <c r="BL54" s="80"/>
      <c r="BM54" s="80" t="s">
        <v>65</v>
      </c>
      <c r="BN54" s="80" t="s">
        <v>1457</v>
      </c>
      <c r="BO54" s="85" t="str">
        <f>HYPERLINK("https://twitter.com/sunyplattsburgh")</f>
        <v>https://twitter.com/sunyplattsburgh</v>
      </c>
      <c r="BP54" s="80" t="str">
        <f>REPLACE(INDEX(GroupVertices[Group], MATCH("~"&amp;Vertices[[#This Row],[Vertex]],GroupVertices[Vertex],0)),1,1,"")</f>
        <v>1</v>
      </c>
      <c r="BQ54" s="49"/>
      <c r="BR54" s="50"/>
      <c r="BS54" s="49"/>
      <c r="BT54" s="50"/>
      <c r="BU54" s="49"/>
      <c r="BV54" s="50"/>
      <c r="BW54" s="49"/>
      <c r="BX54" s="50"/>
      <c r="BY54" s="49"/>
      <c r="BZ54" s="49"/>
      <c r="CA54" s="49"/>
      <c r="CB54" s="49"/>
      <c r="CC54" s="49"/>
      <c r="CD54" s="49"/>
      <c r="CE54" s="49"/>
      <c r="CF54" s="49"/>
      <c r="CG54" s="49"/>
      <c r="CH54" s="49"/>
      <c r="CI54" s="49"/>
      <c r="CJ54" s="2"/>
      <c r="CK54" s="3"/>
      <c r="CL54" s="3"/>
      <c r="CM54" s="3"/>
      <c r="CN54" s="3"/>
    </row>
    <row r="55" spans="1:92" x14ac:dyDescent="0.25">
      <c r="A55" s="65" t="s">
        <v>269</v>
      </c>
      <c r="B55" s="66"/>
      <c r="C55" s="66" t="s">
        <v>64</v>
      </c>
      <c r="D55" s="67">
        <v>242.74509803921569</v>
      </c>
      <c r="E55" s="69"/>
      <c r="F55" s="104" t="str">
        <f>HYPERLINK("https://pbs.twimg.com/profile_images/1306278808039780352/Wk3HPqPR_normal.jpg")</f>
        <v>https://pbs.twimg.com/profile_images/1306278808039780352/Wk3HPqPR_normal.jpg</v>
      </c>
      <c r="G55" s="66"/>
      <c r="H55" s="70" t="s">
        <v>269</v>
      </c>
      <c r="I55" s="71"/>
      <c r="J55" s="71" t="s">
        <v>75</v>
      </c>
      <c r="K55" s="70" t="s">
        <v>1509</v>
      </c>
      <c r="L55" s="74">
        <v>226.40961217455398</v>
      </c>
      <c r="M55" s="75">
        <v>2217.29296875</v>
      </c>
      <c r="N55" s="75">
        <v>2470.177978515625</v>
      </c>
      <c r="O55" s="76"/>
      <c r="P55" s="77"/>
      <c r="Q55" s="77"/>
      <c r="R55" s="90"/>
      <c r="S55" s="49">
        <v>2</v>
      </c>
      <c r="T55" s="49">
        <v>3</v>
      </c>
      <c r="U55" s="50">
        <v>208</v>
      </c>
      <c r="V55" s="50">
        <v>0.31123000000000001</v>
      </c>
      <c r="W55" s="50">
        <v>8.5734000000000005E-2</v>
      </c>
      <c r="X55" s="50">
        <v>8.4519999999999994E-3</v>
      </c>
      <c r="Y55" s="50">
        <v>0</v>
      </c>
      <c r="Z55" s="50">
        <v>0.5</v>
      </c>
      <c r="AA55" s="72">
        <v>55</v>
      </c>
      <c r="AB55" s="72"/>
      <c r="AC55" s="73"/>
      <c r="AD55" s="80" t="s">
        <v>983</v>
      </c>
      <c r="AE55" s="87" t="s">
        <v>888</v>
      </c>
      <c r="AF55" s="80">
        <v>249</v>
      </c>
      <c r="AG55" s="80">
        <v>537</v>
      </c>
      <c r="AH55" s="80">
        <v>717</v>
      </c>
      <c r="AI55" s="80">
        <v>2</v>
      </c>
      <c r="AJ55" s="80">
        <v>1073</v>
      </c>
      <c r="AK55" s="80">
        <v>191</v>
      </c>
      <c r="AL55" s="80" t="b">
        <v>0</v>
      </c>
      <c r="AM55" s="82">
        <v>44090.673206018517</v>
      </c>
      <c r="AN55" s="80" t="s">
        <v>1196</v>
      </c>
      <c r="AO55" s="80" t="s">
        <v>1279</v>
      </c>
      <c r="AP55" s="85" t="str">
        <f>HYPERLINK("https://t.co/kRCfvE6q47")</f>
        <v>https://t.co/kRCfvE6q47</v>
      </c>
      <c r="AQ55" s="85" t="str">
        <f>HYPERLINK("https://journals.sagepub.com/home/crc")</f>
        <v>https://journals.sagepub.com/home/crc</v>
      </c>
      <c r="AR55" s="80" t="s">
        <v>1387</v>
      </c>
      <c r="AS55" s="80"/>
      <c r="AT55" s="80"/>
      <c r="AU55" s="80"/>
      <c r="AV55" s="80">
        <v>1.6873785234415601E+18</v>
      </c>
      <c r="AW55" s="85" t="str">
        <f>HYPERLINK("https://t.co/kRCfvE6q47")</f>
        <v>https://t.co/kRCfvE6q47</v>
      </c>
      <c r="AX55" s="80" t="b">
        <v>0</v>
      </c>
      <c r="AY55" s="80"/>
      <c r="AZ55" s="80"/>
      <c r="BA55" s="80" t="b">
        <v>0</v>
      </c>
      <c r="BB55" s="80" t="b">
        <v>1</v>
      </c>
      <c r="BC55" s="80" t="b">
        <v>1</v>
      </c>
      <c r="BD55" s="80" t="b">
        <v>0</v>
      </c>
      <c r="BE55" s="80" t="b">
        <v>0</v>
      </c>
      <c r="BF55" s="80" t="b">
        <v>0</v>
      </c>
      <c r="BG55" s="80" t="b">
        <v>0</v>
      </c>
      <c r="BH55" s="85" t="str">
        <f>HYPERLINK("https://pbs.twimg.com/profile_banners/1306263867429855232/1600276065")</f>
        <v>https://pbs.twimg.com/profile_banners/1306263867429855232/1600276065</v>
      </c>
      <c r="BI55" s="80"/>
      <c r="BJ55" s="80" t="s">
        <v>1455</v>
      </c>
      <c r="BK55" s="80" t="b">
        <v>0</v>
      </c>
      <c r="BL55" s="80"/>
      <c r="BM55" s="80" t="s">
        <v>66</v>
      </c>
      <c r="BN55" s="80" t="s">
        <v>1457</v>
      </c>
      <c r="BO55" s="85" t="str">
        <f>HYPERLINK("https://twitter.com/joccjournal")</f>
        <v>https://twitter.com/joccjournal</v>
      </c>
      <c r="BP55" s="80" t="str">
        <f>REPLACE(INDEX(GroupVertices[Group], MATCH("~"&amp;Vertices[[#This Row],[Vertex]],GroupVertices[Vertex],0)),1,1,"")</f>
        <v>1</v>
      </c>
      <c r="BQ55" s="49">
        <v>1</v>
      </c>
      <c r="BR55" s="50">
        <v>1.408450704225352</v>
      </c>
      <c r="BS55" s="49">
        <v>0</v>
      </c>
      <c r="BT55" s="50">
        <v>0</v>
      </c>
      <c r="BU55" s="49">
        <v>0</v>
      </c>
      <c r="BV55" s="50">
        <v>0</v>
      </c>
      <c r="BW55" s="49">
        <v>44</v>
      </c>
      <c r="BX55" s="50">
        <v>61.971830985915496</v>
      </c>
      <c r="BY55" s="49">
        <v>71</v>
      </c>
      <c r="BZ55" s="49" t="s">
        <v>9561</v>
      </c>
      <c r="CA55" s="49" t="s">
        <v>9561</v>
      </c>
      <c r="CB55" s="49" t="s">
        <v>506</v>
      </c>
      <c r="CC55" s="49" t="s">
        <v>506</v>
      </c>
      <c r="CD55" s="49" t="s">
        <v>483</v>
      </c>
      <c r="CE55" s="49" t="s">
        <v>483</v>
      </c>
      <c r="CF55" s="116" t="s">
        <v>9926</v>
      </c>
      <c r="CG55" s="116" t="s">
        <v>9961</v>
      </c>
      <c r="CH55" s="116" t="s">
        <v>9996</v>
      </c>
      <c r="CI55" s="116" t="s">
        <v>10026</v>
      </c>
      <c r="CJ55" s="2"/>
      <c r="CK55" s="3"/>
      <c r="CL55" s="3"/>
      <c r="CM55" s="3"/>
      <c r="CN55" s="3"/>
    </row>
    <row r="56" spans="1:92" x14ac:dyDescent="0.25">
      <c r="A56" s="65" t="s">
        <v>325</v>
      </c>
      <c r="B56" s="66"/>
      <c r="C56" s="66" t="s">
        <v>64</v>
      </c>
      <c r="D56" s="67">
        <v>100</v>
      </c>
      <c r="E56" s="69"/>
      <c r="F56" s="104" t="str">
        <f>HYPERLINK("https://pbs.twimg.com/profile_images/1323749922005524485/LjJsuyU4_normal.jpg")</f>
        <v>https://pbs.twimg.com/profile_images/1323749922005524485/LjJsuyU4_normal.jpg</v>
      </c>
      <c r="G56" s="66"/>
      <c r="H56" s="70" t="s">
        <v>325</v>
      </c>
      <c r="I56" s="71"/>
      <c r="J56" s="71" t="s">
        <v>159</v>
      </c>
      <c r="K56" s="70" t="s">
        <v>1510</v>
      </c>
      <c r="L56" s="74">
        <v>1</v>
      </c>
      <c r="M56" s="75">
        <v>2868.565673828125</v>
      </c>
      <c r="N56" s="75">
        <v>2266.489013671875</v>
      </c>
      <c r="O56" s="76"/>
      <c r="P56" s="77"/>
      <c r="Q56" s="77"/>
      <c r="R56" s="90"/>
      <c r="S56" s="49">
        <v>1</v>
      </c>
      <c r="T56" s="49">
        <v>0</v>
      </c>
      <c r="U56" s="50">
        <v>0</v>
      </c>
      <c r="V56" s="50">
        <v>0.228659</v>
      </c>
      <c r="W56" s="50">
        <v>1.0477999999999999E-2</v>
      </c>
      <c r="X56" s="50">
        <v>7.2769999999999996E-3</v>
      </c>
      <c r="Y56" s="50">
        <v>0</v>
      </c>
      <c r="Z56" s="50">
        <v>0</v>
      </c>
      <c r="AA56" s="72">
        <v>56</v>
      </c>
      <c r="AB56" s="72"/>
      <c r="AC56" s="73"/>
      <c r="AD56" s="80" t="s">
        <v>984</v>
      </c>
      <c r="AE56" s="87" t="s">
        <v>1095</v>
      </c>
      <c r="AF56" s="80">
        <v>16452987</v>
      </c>
      <c r="AG56" s="80">
        <v>1213</v>
      </c>
      <c r="AH56" s="80">
        <v>93444</v>
      </c>
      <c r="AI56" s="80">
        <v>45914</v>
      </c>
      <c r="AJ56" s="80">
        <v>1671</v>
      </c>
      <c r="AK56" s="80">
        <v>25482</v>
      </c>
      <c r="AL56" s="80" t="b">
        <v>0</v>
      </c>
      <c r="AM56" s="82">
        <v>39523.844166666669</v>
      </c>
      <c r="AN56" s="80" t="s">
        <v>1188</v>
      </c>
      <c r="AO56" s="80" t="s">
        <v>1280</v>
      </c>
      <c r="AP56" s="85" t="str">
        <f>HYPERLINK("https://t.co/kgJqUNDMpy")</f>
        <v>https://t.co/kgJqUNDMpy</v>
      </c>
      <c r="AQ56" s="85" t="str">
        <f>HYPERLINK("http://www.un.org")</f>
        <v>http://www.un.org</v>
      </c>
      <c r="AR56" s="80" t="s">
        <v>1388</v>
      </c>
      <c r="AS56" s="80"/>
      <c r="AT56" s="80"/>
      <c r="AU56" s="80"/>
      <c r="AV56" s="80">
        <v>1.70670196815085E+18</v>
      </c>
      <c r="AW56" s="85" t="str">
        <f>HYPERLINK("https://t.co/kgJqUNDMpy")</f>
        <v>https://t.co/kgJqUNDMpy</v>
      </c>
      <c r="AX56" s="80" t="b">
        <v>1</v>
      </c>
      <c r="AY56" s="80"/>
      <c r="AZ56" s="80"/>
      <c r="BA56" s="80" t="b">
        <v>0</v>
      </c>
      <c r="BB56" s="80" t="b">
        <v>1</v>
      </c>
      <c r="BC56" s="80" t="b">
        <v>0</v>
      </c>
      <c r="BD56" s="80" t="b">
        <v>0</v>
      </c>
      <c r="BE56" s="80" t="b">
        <v>1</v>
      </c>
      <c r="BF56" s="80" t="b">
        <v>0</v>
      </c>
      <c r="BG56" s="80" t="b">
        <v>0</v>
      </c>
      <c r="BH56" s="85" t="str">
        <f>HYPERLINK("https://pbs.twimg.com/profile_banners/14159148/1607000252")</f>
        <v>https://pbs.twimg.com/profile_banners/14159148/1607000252</v>
      </c>
      <c r="BI56" s="80"/>
      <c r="BJ56" s="80" t="s">
        <v>1456</v>
      </c>
      <c r="BK56" s="80" t="b">
        <v>0</v>
      </c>
      <c r="BL56" s="80"/>
      <c r="BM56" s="80" t="s">
        <v>65</v>
      </c>
      <c r="BN56" s="80" t="s">
        <v>1457</v>
      </c>
      <c r="BO56" s="85" t="str">
        <f>HYPERLINK("https://twitter.com/un")</f>
        <v>https://twitter.com/un</v>
      </c>
      <c r="BP56" s="80" t="str">
        <f>REPLACE(INDEX(GroupVertices[Group], MATCH("~"&amp;Vertices[[#This Row],[Vertex]],GroupVertices[Vertex],0)),1,1,"")</f>
        <v>1</v>
      </c>
      <c r="BQ56" s="49"/>
      <c r="BR56" s="50"/>
      <c r="BS56" s="49"/>
      <c r="BT56" s="50"/>
      <c r="BU56" s="49"/>
      <c r="BV56" s="50"/>
      <c r="BW56" s="49"/>
      <c r="BX56" s="50"/>
      <c r="BY56" s="49"/>
      <c r="BZ56" s="49"/>
      <c r="CA56" s="49"/>
      <c r="CB56" s="49"/>
      <c r="CC56" s="49"/>
      <c r="CD56" s="49"/>
      <c r="CE56" s="49"/>
      <c r="CF56" s="49"/>
      <c r="CG56" s="49"/>
      <c r="CH56" s="49"/>
      <c r="CI56" s="49"/>
      <c r="CJ56" s="2"/>
      <c r="CK56" s="3"/>
      <c r="CL56" s="3"/>
      <c r="CM56" s="3"/>
      <c r="CN56" s="3"/>
    </row>
    <row r="57" spans="1:92" x14ac:dyDescent="0.25">
      <c r="A57" s="65" t="s">
        <v>270</v>
      </c>
      <c r="B57" s="66"/>
      <c r="C57" s="66" t="s">
        <v>64</v>
      </c>
      <c r="D57" s="67">
        <v>100</v>
      </c>
      <c r="E57" s="69"/>
      <c r="F57" s="104" t="str">
        <f>HYPERLINK("https://pbs.twimg.com/profile_images/1696925506875146242/pEF-JeE5_normal.jpg")</f>
        <v>https://pbs.twimg.com/profile_images/1696925506875146242/pEF-JeE5_normal.jpg</v>
      </c>
      <c r="G57" s="66"/>
      <c r="H57" s="70" t="s">
        <v>270</v>
      </c>
      <c r="I57" s="71"/>
      <c r="J57" s="71" t="s">
        <v>159</v>
      </c>
      <c r="K57" s="70" t="s">
        <v>1511</v>
      </c>
      <c r="L57" s="74">
        <v>1</v>
      </c>
      <c r="M57" s="75">
        <v>5842.99462890625</v>
      </c>
      <c r="N57" s="75">
        <v>1471.0462646484375</v>
      </c>
      <c r="O57" s="76"/>
      <c r="P57" s="77"/>
      <c r="Q57" s="77"/>
      <c r="R57" s="90"/>
      <c r="S57" s="49">
        <v>0</v>
      </c>
      <c r="T57" s="49">
        <v>1</v>
      </c>
      <c r="U57" s="50">
        <v>0</v>
      </c>
      <c r="V57" s="50">
        <v>0.232213</v>
      </c>
      <c r="W57" s="50">
        <v>1.2536E-2</v>
      </c>
      <c r="X57" s="50">
        <v>7.1110000000000001E-3</v>
      </c>
      <c r="Y57" s="50">
        <v>0</v>
      </c>
      <c r="Z57" s="50">
        <v>0</v>
      </c>
      <c r="AA57" s="72">
        <v>57</v>
      </c>
      <c r="AB57" s="72"/>
      <c r="AC57" s="73"/>
      <c r="AD57" s="80" t="s">
        <v>985</v>
      </c>
      <c r="AE57" s="87" t="s">
        <v>1096</v>
      </c>
      <c r="AF57" s="80">
        <v>1556</v>
      </c>
      <c r="AG57" s="80">
        <v>1753</v>
      </c>
      <c r="AH57" s="80">
        <v>16398</v>
      </c>
      <c r="AI57" s="80">
        <v>39</v>
      </c>
      <c r="AJ57" s="80">
        <v>20953</v>
      </c>
      <c r="AK57" s="80">
        <v>82</v>
      </c>
      <c r="AL57" s="80" t="b">
        <v>0</v>
      </c>
      <c r="AM57" s="82">
        <v>39869.613749999997</v>
      </c>
      <c r="AN57" s="80"/>
      <c r="AO57" s="80" t="s">
        <v>1281</v>
      </c>
      <c r="AP57" s="80"/>
      <c r="AQ57" s="80"/>
      <c r="AR57" s="80"/>
      <c r="AS57" s="80"/>
      <c r="AT57" s="80"/>
      <c r="AU57" s="80"/>
      <c r="AV57" s="80">
        <v>1.5598439642403999E+18</v>
      </c>
      <c r="AW57" s="80"/>
      <c r="AX57" s="80" t="b">
        <v>0</v>
      </c>
      <c r="AY57" s="80"/>
      <c r="AZ57" s="80"/>
      <c r="BA57" s="80" t="b">
        <v>0</v>
      </c>
      <c r="BB57" s="80" t="b">
        <v>0</v>
      </c>
      <c r="BC57" s="80" t="b">
        <v>0</v>
      </c>
      <c r="BD57" s="80" t="b">
        <v>0</v>
      </c>
      <c r="BE57" s="80" t="b">
        <v>1</v>
      </c>
      <c r="BF57" s="80" t="b">
        <v>0</v>
      </c>
      <c r="BG57" s="80" t="b">
        <v>0</v>
      </c>
      <c r="BH57" s="85" t="str">
        <f>HYPERLINK("https://pbs.twimg.com/profile_banners/21871717/1693416544")</f>
        <v>https://pbs.twimg.com/profile_banners/21871717/1693416544</v>
      </c>
      <c r="BI57" s="80"/>
      <c r="BJ57" s="80" t="s">
        <v>1455</v>
      </c>
      <c r="BK57" s="80" t="b">
        <v>0</v>
      </c>
      <c r="BL57" s="80"/>
      <c r="BM57" s="80" t="s">
        <v>66</v>
      </c>
      <c r="BN57" s="80" t="s">
        <v>1457</v>
      </c>
      <c r="BO57" s="85" t="str">
        <f>HYPERLINK("https://twitter.com/brcreech")</f>
        <v>https://twitter.com/brcreech</v>
      </c>
      <c r="BP57" s="80" t="str">
        <f>REPLACE(INDEX(GroupVertices[Group], MATCH("~"&amp;Vertices[[#This Row],[Vertex]],GroupVertices[Vertex],0)),1,1,"")</f>
        <v>10</v>
      </c>
      <c r="BQ57" s="49">
        <v>0</v>
      </c>
      <c r="BR57" s="50">
        <v>0</v>
      </c>
      <c r="BS57" s="49">
        <v>0</v>
      </c>
      <c r="BT57" s="50">
        <v>0</v>
      </c>
      <c r="BU57" s="49">
        <v>0</v>
      </c>
      <c r="BV57" s="50">
        <v>0</v>
      </c>
      <c r="BW57" s="49">
        <v>13</v>
      </c>
      <c r="BX57" s="50">
        <v>54.166666666666664</v>
      </c>
      <c r="BY57" s="49">
        <v>24</v>
      </c>
      <c r="BZ57" s="49"/>
      <c r="CA57" s="49"/>
      <c r="CB57" s="49"/>
      <c r="CC57" s="49"/>
      <c r="CD57" s="49"/>
      <c r="CE57" s="49"/>
      <c r="CF57" s="116" t="s">
        <v>9927</v>
      </c>
      <c r="CG57" s="116" t="s">
        <v>9927</v>
      </c>
      <c r="CH57" s="116" t="s">
        <v>9997</v>
      </c>
      <c r="CI57" s="116" t="s">
        <v>9997</v>
      </c>
      <c r="CJ57" s="2"/>
      <c r="CK57" s="3"/>
      <c r="CL57" s="3"/>
      <c r="CM57" s="3"/>
      <c r="CN57" s="3"/>
    </row>
    <row r="58" spans="1:92" x14ac:dyDescent="0.25">
      <c r="A58" s="65" t="s">
        <v>271</v>
      </c>
      <c r="B58" s="66"/>
      <c r="C58" s="66" t="s">
        <v>64</v>
      </c>
      <c r="D58" s="67">
        <v>100</v>
      </c>
      <c r="E58" s="69"/>
      <c r="F58" s="104" t="str">
        <f>HYPERLINK("https://pbs.twimg.com/profile_images/1715489205248212992/bWPSimqD_normal.jpg")</f>
        <v>https://pbs.twimg.com/profile_images/1715489205248212992/bWPSimqD_normal.jpg</v>
      </c>
      <c r="G58" s="66"/>
      <c r="H58" s="70" t="s">
        <v>271</v>
      </c>
      <c r="I58" s="71"/>
      <c r="J58" s="71" t="s">
        <v>159</v>
      </c>
      <c r="K58" s="70" t="s">
        <v>1512</v>
      </c>
      <c r="L58" s="74">
        <v>1</v>
      </c>
      <c r="M58" s="75">
        <v>5327.3359375</v>
      </c>
      <c r="N58" s="75">
        <v>8113.15234375</v>
      </c>
      <c r="O58" s="76"/>
      <c r="P58" s="77"/>
      <c r="Q58" s="77"/>
      <c r="R58" s="90"/>
      <c r="S58" s="49">
        <v>0</v>
      </c>
      <c r="T58" s="49">
        <v>3</v>
      </c>
      <c r="U58" s="50">
        <v>0</v>
      </c>
      <c r="V58" s="50">
        <v>0.32476100000000002</v>
      </c>
      <c r="W58" s="50">
        <v>0.13056000000000001</v>
      </c>
      <c r="X58" s="50">
        <v>7.2329999999999998E-3</v>
      </c>
      <c r="Y58" s="50">
        <v>0.83333333333333337</v>
      </c>
      <c r="Z58" s="50">
        <v>0</v>
      </c>
      <c r="AA58" s="72">
        <v>58</v>
      </c>
      <c r="AB58" s="72"/>
      <c r="AC58" s="73"/>
      <c r="AD58" s="80" t="s">
        <v>986</v>
      </c>
      <c r="AE58" s="87" t="s">
        <v>1097</v>
      </c>
      <c r="AF58" s="80">
        <v>2072</v>
      </c>
      <c r="AG58" s="80">
        <v>1677</v>
      </c>
      <c r="AH58" s="80">
        <v>10292</v>
      </c>
      <c r="AI58" s="80">
        <v>59</v>
      </c>
      <c r="AJ58" s="80">
        <v>37352</v>
      </c>
      <c r="AK58" s="80">
        <v>2626</v>
      </c>
      <c r="AL58" s="80" t="b">
        <v>0</v>
      </c>
      <c r="AM58" s="82">
        <v>40065.854143518518</v>
      </c>
      <c r="AN58" s="80" t="s">
        <v>1197</v>
      </c>
      <c r="AO58" s="80"/>
      <c r="AP58" s="85" t="str">
        <f>HYPERLINK("https://t.co/zKM6R1TvdS")</f>
        <v>https://t.co/zKM6R1TvdS</v>
      </c>
      <c r="AQ58" s="85" t="str">
        <f>HYPERLINK("https://www.miamoody.org/")</f>
        <v>https://www.miamoody.org/</v>
      </c>
      <c r="AR58" s="80" t="s">
        <v>1389</v>
      </c>
      <c r="AS58" s="80"/>
      <c r="AT58" s="80"/>
      <c r="AU58" s="80"/>
      <c r="AV58" s="80"/>
      <c r="AW58" s="85" t="str">
        <f>HYPERLINK("https://t.co/zKM6R1TvdS")</f>
        <v>https://t.co/zKM6R1TvdS</v>
      </c>
      <c r="AX58" s="80" t="b">
        <v>0</v>
      </c>
      <c r="AY58" s="80"/>
      <c r="AZ58" s="80"/>
      <c r="BA58" s="80" t="b">
        <v>0</v>
      </c>
      <c r="BB58" s="80" t="b">
        <v>1</v>
      </c>
      <c r="BC58" s="80" t="b">
        <v>0</v>
      </c>
      <c r="BD58" s="80" t="b">
        <v>0</v>
      </c>
      <c r="BE58" s="80" t="b">
        <v>0</v>
      </c>
      <c r="BF58" s="80" t="b">
        <v>0</v>
      </c>
      <c r="BG58" s="80" t="b">
        <v>0</v>
      </c>
      <c r="BH58" s="85" t="str">
        <f>HYPERLINK("https://pbs.twimg.com/profile_banners/72942893/1697839484")</f>
        <v>https://pbs.twimg.com/profile_banners/72942893/1697839484</v>
      </c>
      <c r="BI58" s="80"/>
      <c r="BJ58" s="80" t="s">
        <v>1455</v>
      </c>
      <c r="BK58" s="80" t="b">
        <v>0</v>
      </c>
      <c r="BL58" s="80"/>
      <c r="BM58" s="80" t="s">
        <v>66</v>
      </c>
      <c r="BN58" s="80" t="s">
        <v>1457</v>
      </c>
      <c r="BO58" s="85" t="str">
        <f>HYPERLINK("https://twitter.com/miamoodyramirez")</f>
        <v>https://twitter.com/miamoodyramirez</v>
      </c>
      <c r="BP58" s="80" t="str">
        <f>REPLACE(INDEX(GroupVertices[Group], MATCH("~"&amp;Vertices[[#This Row],[Vertex]],GroupVertices[Vertex],0)),1,1,"")</f>
        <v>3</v>
      </c>
      <c r="BQ58" s="49">
        <v>0</v>
      </c>
      <c r="BR58" s="50">
        <v>0</v>
      </c>
      <c r="BS58" s="49">
        <v>1</v>
      </c>
      <c r="BT58" s="50">
        <v>3.0303030303030303</v>
      </c>
      <c r="BU58" s="49">
        <v>0</v>
      </c>
      <c r="BV58" s="50">
        <v>0</v>
      </c>
      <c r="BW58" s="49">
        <v>24</v>
      </c>
      <c r="BX58" s="50">
        <v>72.727272727272734</v>
      </c>
      <c r="BY58" s="49">
        <v>33</v>
      </c>
      <c r="BZ58" s="49" t="s">
        <v>9555</v>
      </c>
      <c r="CA58" s="49" t="s">
        <v>9555</v>
      </c>
      <c r="CB58" s="49" t="s">
        <v>506</v>
      </c>
      <c r="CC58" s="49" t="s">
        <v>506</v>
      </c>
      <c r="CD58" s="49" t="s">
        <v>484</v>
      </c>
      <c r="CE58" s="49" t="s">
        <v>9886</v>
      </c>
      <c r="CF58" s="116" t="s">
        <v>9928</v>
      </c>
      <c r="CG58" s="116" t="s">
        <v>9928</v>
      </c>
      <c r="CH58" s="116" t="s">
        <v>9998</v>
      </c>
      <c r="CI58" s="116" t="s">
        <v>9998</v>
      </c>
      <c r="CJ58" s="2"/>
      <c r="CK58" s="3"/>
      <c r="CL58" s="3"/>
      <c r="CM58" s="3"/>
      <c r="CN58" s="3"/>
    </row>
    <row r="59" spans="1:92" x14ac:dyDescent="0.25">
      <c r="A59" s="65" t="s">
        <v>272</v>
      </c>
      <c r="B59" s="66"/>
      <c r="C59" s="66" t="s">
        <v>64</v>
      </c>
      <c r="D59" s="67">
        <v>100</v>
      </c>
      <c r="E59" s="69"/>
      <c r="F59" s="104" t="str">
        <f>HYPERLINK("https://pbs.twimg.com/profile_images/968887826912657408/7MXRHf7p_normal.jpg")</f>
        <v>https://pbs.twimg.com/profile_images/968887826912657408/7MXRHf7p_normal.jpg</v>
      </c>
      <c r="G59" s="66"/>
      <c r="H59" s="70" t="s">
        <v>272</v>
      </c>
      <c r="I59" s="71"/>
      <c r="J59" s="71" t="s">
        <v>159</v>
      </c>
      <c r="K59" s="70" t="s">
        <v>1513</v>
      </c>
      <c r="L59" s="74">
        <v>1</v>
      </c>
      <c r="M59" s="75">
        <v>5189.58349609375</v>
      </c>
      <c r="N59" s="75">
        <v>8662.095703125</v>
      </c>
      <c r="O59" s="76"/>
      <c r="P59" s="77"/>
      <c r="Q59" s="77"/>
      <c r="R59" s="90"/>
      <c r="S59" s="49">
        <v>0</v>
      </c>
      <c r="T59" s="49">
        <v>2</v>
      </c>
      <c r="U59" s="50">
        <v>0</v>
      </c>
      <c r="V59" s="50">
        <v>0.25320399999999998</v>
      </c>
      <c r="W59" s="50">
        <v>5.6585000000000003E-2</v>
      </c>
      <c r="X59" s="50">
        <v>7.1500000000000001E-3</v>
      </c>
      <c r="Y59" s="50">
        <v>1</v>
      </c>
      <c r="Z59" s="50">
        <v>0</v>
      </c>
      <c r="AA59" s="72">
        <v>59</v>
      </c>
      <c r="AB59" s="72"/>
      <c r="AC59" s="73"/>
      <c r="AD59" s="80" t="s">
        <v>272</v>
      </c>
      <c r="AE59" s="87" t="s">
        <v>1098</v>
      </c>
      <c r="AF59" s="80">
        <v>2075</v>
      </c>
      <c r="AG59" s="80">
        <v>3278</v>
      </c>
      <c r="AH59" s="80">
        <v>28053</v>
      </c>
      <c r="AI59" s="80">
        <v>50</v>
      </c>
      <c r="AJ59" s="80">
        <v>229922</v>
      </c>
      <c r="AK59" s="80">
        <v>474</v>
      </c>
      <c r="AL59" s="80" t="b">
        <v>0</v>
      </c>
      <c r="AM59" s="82">
        <v>39625.790462962963</v>
      </c>
      <c r="AN59" s="80" t="s">
        <v>1198</v>
      </c>
      <c r="AO59" s="80" t="s">
        <v>1282</v>
      </c>
      <c r="AP59" s="80"/>
      <c r="AQ59" s="80"/>
      <c r="AR59" s="80"/>
      <c r="AS59" s="80"/>
      <c r="AT59" s="80"/>
      <c r="AU59" s="80"/>
      <c r="AV59" s="80"/>
      <c r="AW59" s="80"/>
      <c r="AX59" s="80" t="b">
        <v>0</v>
      </c>
      <c r="AY59" s="80"/>
      <c r="AZ59" s="80"/>
      <c r="BA59" s="80" t="b">
        <v>0</v>
      </c>
      <c r="BB59" s="80" t="b">
        <v>1</v>
      </c>
      <c r="BC59" s="80" t="b">
        <v>1</v>
      </c>
      <c r="BD59" s="80" t="b">
        <v>0</v>
      </c>
      <c r="BE59" s="80" t="b">
        <v>1</v>
      </c>
      <c r="BF59" s="80" t="b">
        <v>0</v>
      </c>
      <c r="BG59" s="80" t="b">
        <v>0</v>
      </c>
      <c r="BH59" s="80"/>
      <c r="BI59" s="80"/>
      <c r="BJ59" s="80" t="s">
        <v>1455</v>
      </c>
      <c r="BK59" s="80" t="b">
        <v>0</v>
      </c>
      <c r="BL59" s="80"/>
      <c r="BM59" s="80" t="s">
        <v>66</v>
      </c>
      <c r="BN59" s="80" t="s">
        <v>1457</v>
      </c>
      <c r="BO59" s="85" t="str">
        <f>HYPERLINK("https://twitter.com/tjohnson1960")</f>
        <v>https://twitter.com/tjohnson1960</v>
      </c>
      <c r="BP59" s="80" t="str">
        <f>REPLACE(INDEX(GroupVertices[Group], MATCH("~"&amp;Vertices[[#This Row],[Vertex]],GroupVertices[Vertex],0)),1,1,"")</f>
        <v>3</v>
      </c>
      <c r="BQ59" s="49">
        <v>0</v>
      </c>
      <c r="BR59" s="50">
        <v>0</v>
      </c>
      <c r="BS59" s="49">
        <v>1</v>
      </c>
      <c r="BT59" s="50">
        <v>7.1428571428571432</v>
      </c>
      <c r="BU59" s="49">
        <v>0</v>
      </c>
      <c r="BV59" s="50">
        <v>0</v>
      </c>
      <c r="BW59" s="49">
        <v>9</v>
      </c>
      <c r="BX59" s="50">
        <v>64.285714285714292</v>
      </c>
      <c r="BY59" s="49">
        <v>14</v>
      </c>
      <c r="BZ59" s="49" t="s">
        <v>9555</v>
      </c>
      <c r="CA59" s="49" t="s">
        <v>9555</v>
      </c>
      <c r="CB59" s="49" t="s">
        <v>506</v>
      </c>
      <c r="CC59" s="49" t="s">
        <v>506</v>
      </c>
      <c r="CD59" s="49" t="s">
        <v>484</v>
      </c>
      <c r="CE59" s="49" t="s">
        <v>9886</v>
      </c>
      <c r="CF59" s="116" t="s">
        <v>9929</v>
      </c>
      <c r="CG59" s="116" t="s">
        <v>9929</v>
      </c>
      <c r="CH59" s="116" t="s">
        <v>9999</v>
      </c>
      <c r="CI59" s="116" t="s">
        <v>9999</v>
      </c>
      <c r="CJ59" s="2"/>
      <c r="CK59" s="3"/>
      <c r="CL59" s="3"/>
      <c r="CM59" s="3"/>
      <c r="CN59" s="3"/>
    </row>
    <row r="60" spans="1:92" x14ac:dyDescent="0.25">
      <c r="A60" s="65" t="s">
        <v>273</v>
      </c>
      <c r="B60" s="66"/>
      <c r="C60" s="66" t="s">
        <v>64</v>
      </c>
      <c r="D60" s="67">
        <v>100</v>
      </c>
      <c r="E60" s="69"/>
      <c r="F60" s="104" t="str">
        <f>HYPERLINK("https://pbs.twimg.com/profile_images/1372971351145918465/tQ9YixpU_normal.jpg")</f>
        <v>https://pbs.twimg.com/profile_images/1372971351145918465/tQ9YixpU_normal.jpg</v>
      </c>
      <c r="G60" s="66"/>
      <c r="H60" s="70" t="s">
        <v>273</v>
      </c>
      <c r="I60" s="71"/>
      <c r="J60" s="71" t="s">
        <v>159</v>
      </c>
      <c r="K60" s="70" t="s">
        <v>1514</v>
      </c>
      <c r="L60" s="74">
        <v>1</v>
      </c>
      <c r="M60" s="75">
        <v>1715.5679931640625</v>
      </c>
      <c r="N60" s="75">
        <v>4440.11376953125</v>
      </c>
      <c r="O60" s="76"/>
      <c r="P60" s="77"/>
      <c r="Q60" s="77"/>
      <c r="R60" s="90"/>
      <c r="S60" s="49">
        <v>0</v>
      </c>
      <c r="T60" s="49">
        <v>1</v>
      </c>
      <c r="U60" s="50">
        <v>0</v>
      </c>
      <c r="V60" s="50">
        <v>0.309083</v>
      </c>
      <c r="W60" s="50">
        <v>7.3974999999999999E-2</v>
      </c>
      <c r="X60" s="50">
        <v>6.9379999999999997E-3</v>
      </c>
      <c r="Y60" s="50">
        <v>0</v>
      </c>
      <c r="Z60" s="50">
        <v>0</v>
      </c>
      <c r="AA60" s="72">
        <v>60</v>
      </c>
      <c r="AB60" s="72"/>
      <c r="AC60" s="73"/>
      <c r="AD60" s="80" t="s">
        <v>987</v>
      </c>
      <c r="AE60" s="87" t="s">
        <v>1099</v>
      </c>
      <c r="AF60" s="80">
        <v>1246</v>
      </c>
      <c r="AG60" s="80">
        <v>1206</v>
      </c>
      <c r="AH60" s="80">
        <v>2682</v>
      </c>
      <c r="AI60" s="80">
        <v>36</v>
      </c>
      <c r="AJ60" s="80">
        <v>2567</v>
      </c>
      <c r="AK60" s="80">
        <v>44</v>
      </c>
      <c r="AL60" s="80" t="b">
        <v>0</v>
      </c>
      <c r="AM60" s="82">
        <v>40375.800324074073</v>
      </c>
      <c r="AN60" s="80" t="s">
        <v>1199</v>
      </c>
      <c r="AO60" s="80" t="s">
        <v>1283</v>
      </c>
      <c r="AP60" s="80"/>
      <c r="AQ60" s="80"/>
      <c r="AR60" s="80"/>
      <c r="AS60" s="80"/>
      <c r="AT60" s="80"/>
      <c r="AU60" s="80"/>
      <c r="AV60" s="80"/>
      <c r="AW60" s="80"/>
      <c r="AX60" s="80" t="b">
        <v>0</v>
      </c>
      <c r="AY60" s="80"/>
      <c r="AZ60" s="80"/>
      <c r="BA60" s="80" t="b">
        <v>1</v>
      </c>
      <c r="BB60" s="80" t="b">
        <v>1</v>
      </c>
      <c r="BC60" s="80" t="b">
        <v>0</v>
      </c>
      <c r="BD60" s="80" t="b">
        <v>0</v>
      </c>
      <c r="BE60" s="80" t="b">
        <v>0</v>
      </c>
      <c r="BF60" s="80" t="b">
        <v>0</v>
      </c>
      <c r="BG60" s="80" t="b">
        <v>0</v>
      </c>
      <c r="BH60" s="80"/>
      <c r="BI60" s="80"/>
      <c r="BJ60" s="80" t="s">
        <v>1455</v>
      </c>
      <c r="BK60" s="80" t="b">
        <v>0</v>
      </c>
      <c r="BL60" s="80"/>
      <c r="BM60" s="80" t="s">
        <v>66</v>
      </c>
      <c r="BN60" s="80" t="s">
        <v>1457</v>
      </c>
      <c r="BO60" s="85" t="str">
        <f>HYPERLINK("https://twitter.com/ldeshan")</f>
        <v>https://twitter.com/ldeshan</v>
      </c>
      <c r="BP60" s="80" t="str">
        <f>REPLACE(INDEX(GroupVertices[Group], MATCH("~"&amp;Vertices[[#This Row],[Vertex]],GroupVertices[Vertex],0)),1,1,"")</f>
        <v>1</v>
      </c>
      <c r="BQ60" s="49">
        <v>1</v>
      </c>
      <c r="BR60" s="50">
        <v>4</v>
      </c>
      <c r="BS60" s="49">
        <v>0</v>
      </c>
      <c r="BT60" s="50">
        <v>0</v>
      </c>
      <c r="BU60" s="49">
        <v>0</v>
      </c>
      <c r="BV60" s="50">
        <v>0</v>
      </c>
      <c r="BW60" s="49">
        <v>14</v>
      </c>
      <c r="BX60" s="50">
        <v>56</v>
      </c>
      <c r="BY60" s="49">
        <v>25</v>
      </c>
      <c r="BZ60" s="49"/>
      <c r="CA60" s="49"/>
      <c r="CB60" s="49"/>
      <c r="CC60" s="49"/>
      <c r="CD60" s="49"/>
      <c r="CE60" s="49"/>
      <c r="CF60" s="116" t="s">
        <v>9930</v>
      </c>
      <c r="CG60" s="116" t="s">
        <v>9930</v>
      </c>
      <c r="CH60" s="116" t="s">
        <v>10000</v>
      </c>
      <c r="CI60" s="116" t="s">
        <v>10000</v>
      </c>
      <c r="CJ60" s="2"/>
      <c r="CK60" s="3"/>
      <c r="CL60" s="3"/>
      <c r="CM60" s="3"/>
      <c r="CN60" s="3"/>
    </row>
    <row r="61" spans="1:92" x14ac:dyDescent="0.25">
      <c r="A61" s="65" t="s">
        <v>274</v>
      </c>
      <c r="B61" s="66"/>
      <c r="C61" s="66" t="s">
        <v>64</v>
      </c>
      <c r="D61" s="67">
        <v>242.74509803921569</v>
      </c>
      <c r="E61" s="69"/>
      <c r="F61" s="104" t="str">
        <f>HYPERLINK("https://pbs.twimg.com/profile_images/479303922742358016/LR0g9JX-_normal.png")</f>
        <v>https://pbs.twimg.com/profile_images/479303922742358016/LR0g9JX-_normal.png</v>
      </c>
      <c r="G61" s="66"/>
      <c r="H61" s="70" t="s">
        <v>274</v>
      </c>
      <c r="I61" s="71"/>
      <c r="J61" s="71" t="s">
        <v>75</v>
      </c>
      <c r="K61" s="70" t="s">
        <v>1515</v>
      </c>
      <c r="L61" s="74">
        <v>226.40961217455398</v>
      </c>
      <c r="M61" s="75">
        <v>741.37921142578125</v>
      </c>
      <c r="N61" s="75">
        <v>3706.007568359375</v>
      </c>
      <c r="O61" s="76"/>
      <c r="P61" s="77"/>
      <c r="Q61" s="77"/>
      <c r="R61" s="90"/>
      <c r="S61" s="49">
        <v>2</v>
      </c>
      <c r="T61" s="49">
        <v>2</v>
      </c>
      <c r="U61" s="50">
        <v>208</v>
      </c>
      <c r="V61" s="50">
        <v>0.31123000000000001</v>
      </c>
      <c r="W61" s="50">
        <v>8.5734000000000005E-2</v>
      </c>
      <c r="X61" s="50">
        <v>8.4519999999999994E-3</v>
      </c>
      <c r="Y61" s="50">
        <v>0</v>
      </c>
      <c r="Z61" s="50">
        <v>0</v>
      </c>
      <c r="AA61" s="72">
        <v>61</v>
      </c>
      <c r="AB61" s="72"/>
      <c r="AC61" s="73"/>
      <c r="AD61" s="80" t="s">
        <v>988</v>
      </c>
      <c r="AE61" s="87" t="s">
        <v>1100</v>
      </c>
      <c r="AF61" s="80">
        <v>1852</v>
      </c>
      <c r="AG61" s="80">
        <v>1733</v>
      </c>
      <c r="AH61" s="80">
        <v>9058</v>
      </c>
      <c r="AI61" s="80">
        <v>80</v>
      </c>
      <c r="AJ61" s="80">
        <v>5466</v>
      </c>
      <c r="AK61" s="80">
        <v>1458</v>
      </c>
      <c r="AL61" s="80" t="b">
        <v>0</v>
      </c>
      <c r="AM61" s="82">
        <v>40767.943599537037</v>
      </c>
      <c r="AN61" s="80"/>
      <c r="AO61" s="80" t="s">
        <v>1284</v>
      </c>
      <c r="AP61" s="85" t="str">
        <f>HYPERLINK("https://t.co/w2HDueFLta")</f>
        <v>https://t.co/w2HDueFLta</v>
      </c>
      <c r="AQ61" s="85" t="str">
        <f>HYPERLINK("http://aejmc.us/csw/")</f>
        <v>http://aejmc.us/csw/</v>
      </c>
      <c r="AR61" s="80" t="s">
        <v>1390</v>
      </c>
      <c r="AS61" s="80"/>
      <c r="AT61" s="80"/>
      <c r="AU61" s="80"/>
      <c r="AV61" s="80">
        <v>1.7198762789861601E+18</v>
      </c>
      <c r="AW61" s="85" t="str">
        <f>HYPERLINK("https://t.co/w2HDueFLta")</f>
        <v>https://t.co/w2HDueFLta</v>
      </c>
      <c r="AX61" s="80" t="b">
        <v>0</v>
      </c>
      <c r="AY61" s="80"/>
      <c r="AZ61" s="80"/>
      <c r="BA61" s="80" t="b">
        <v>1</v>
      </c>
      <c r="BB61" s="80" t="b">
        <v>1</v>
      </c>
      <c r="BC61" s="80" t="b">
        <v>0</v>
      </c>
      <c r="BD61" s="80" t="b">
        <v>0</v>
      </c>
      <c r="BE61" s="80" t="b">
        <v>0</v>
      </c>
      <c r="BF61" s="80" t="b">
        <v>0</v>
      </c>
      <c r="BG61" s="80" t="b">
        <v>0</v>
      </c>
      <c r="BH61" s="85" t="str">
        <f>HYPERLINK("https://pbs.twimg.com/profile_banners/353963097/1682364167")</f>
        <v>https://pbs.twimg.com/profile_banners/353963097/1682364167</v>
      </c>
      <c r="BI61" s="80"/>
      <c r="BJ61" s="80" t="s">
        <v>1455</v>
      </c>
      <c r="BK61" s="80" t="b">
        <v>0</v>
      </c>
      <c r="BL61" s="80"/>
      <c r="BM61" s="80" t="s">
        <v>66</v>
      </c>
      <c r="BN61" s="80" t="s">
        <v>1457</v>
      </c>
      <c r="BO61" s="85" t="str">
        <f>HYPERLINK("https://twitter.com/csw_aejmc")</f>
        <v>https://twitter.com/csw_aejmc</v>
      </c>
      <c r="BP61" s="80" t="str">
        <f>REPLACE(INDEX(GroupVertices[Group], MATCH("~"&amp;Vertices[[#This Row],[Vertex]],GroupVertices[Vertex],0)),1,1,"")</f>
        <v>1</v>
      </c>
      <c r="BQ61" s="49">
        <v>3</v>
      </c>
      <c r="BR61" s="50">
        <v>5.6603773584905657</v>
      </c>
      <c r="BS61" s="49">
        <v>0</v>
      </c>
      <c r="BT61" s="50">
        <v>0</v>
      </c>
      <c r="BU61" s="49">
        <v>0</v>
      </c>
      <c r="BV61" s="50">
        <v>0</v>
      </c>
      <c r="BW61" s="49">
        <v>30</v>
      </c>
      <c r="BX61" s="50">
        <v>56.60377358490566</v>
      </c>
      <c r="BY61" s="49">
        <v>53</v>
      </c>
      <c r="BZ61" s="49" t="s">
        <v>9858</v>
      </c>
      <c r="CA61" s="49" t="s">
        <v>9858</v>
      </c>
      <c r="CB61" s="49" t="s">
        <v>9873</v>
      </c>
      <c r="CC61" s="49" t="s">
        <v>9873</v>
      </c>
      <c r="CD61" s="49"/>
      <c r="CE61" s="49"/>
      <c r="CF61" s="116" t="s">
        <v>9931</v>
      </c>
      <c r="CG61" s="116" t="s">
        <v>9962</v>
      </c>
      <c r="CH61" s="116" t="s">
        <v>10001</v>
      </c>
      <c r="CI61" s="116" t="s">
        <v>10001</v>
      </c>
      <c r="CJ61" s="2"/>
      <c r="CK61" s="3"/>
      <c r="CL61" s="3"/>
      <c r="CM61" s="3"/>
      <c r="CN61" s="3"/>
    </row>
    <row r="62" spans="1:92" x14ac:dyDescent="0.25">
      <c r="A62" s="65" t="s">
        <v>326</v>
      </c>
      <c r="B62" s="66"/>
      <c r="C62" s="66" t="s">
        <v>64</v>
      </c>
      <c r="D62" s="67">
        <v>100</v>
      </c>
      <c r="E62" s="69"/>
      <c r="F62" s="104" t="str">
        <f>HYPERLINK("https://pbs.twimg.com/profile_images/1077071597465288704/xE34yQ4s_normal.jpg")</f>
        <v>https://pbs.twimg.com/profile_images/1077071597465288704/xE34yQ4s_normal.jpg</v>
      </c>
      <c r="G62" s="66"/>
      <c r="H62" s="70" t="s">
        <v>326</v>
      </c>
      <c r="I62" s="71"/>
      <c r="J62" s="71" t="s">
        <v>159</v>
      </c>
      <c r="K62" s="70" t="s">
        <v>1516</v>
      </c>
      <c r="L62" s="74">
        <v>1</v>
      </c>
      <c r="M62" s="75">
        <v>180.99282836914063</v>
      </c>
      <c r="N62" s="75">
        <v>4498.2978515625</v>
      </c>
      <c r="O62" s="76"/>
      <c r="P62" s="77"/>
      <c r="Q62" s="77"/>
      <c r="R62" s="90"/>
      <c r="S62" s="49">
        <v>1</v>
      </c>
      <c r="T62" s="49">
        <v>0</v>
      </c>
      <c r="U62" s="50">
        <v>0</v>
      </c>
      <c r="V62" s="50">
        <v>0.228659</v>
      </c>
      <c r="W62" s="50">
        <v>1.0477999999999999E-2</v>
      </c>
      <c r="X62" s="50">
        <v>7.2769999999999996E-3</v>
      </c>
      <c r="Y62" s="50">
        <v>0</v>
      </c>
      <c r="Z62" s="50">
        <v>0</v>
      </c>
      <c r="AA62" s="72">
        <v>62</v>
      </c>
      <c r="AB62" s="72"/>
      <c r="AC62" s="73"/>
      <c r="AD62" s="80" t="s">
        <v>989</v>
      </c>
      <c r="AE62" s="87" t="s">
        <v>1101</v>
      </c>
      <c r="AF62" s="80">
        <v>755</v>
      </c>
      <c r="AG62" s="80">
        <v>697</v>
      </c>
      <c r="AH62" s="80">
        <v>353</v>
      </c>
      <c r="AI62" s="80">
        <v>3</v>
      </c>
      <c r="AJ62" s="80">
        <v>4687</v>
      </c>
      <c r="AK62" s="80">
        <v>9</v>
      </c>
      <c r="AL62" s="80" t="b">
        <v>0</v>
      </c>
      <c r="AM62" s="82">
        <v>41751.015393518515</v>
      </c>
      <c r="AN62" s="80" t="s">
        <v>1200</v>
      </c>
      <c r="AO62" s="80" t="s">
        <v>1285</v>
      </c>
      <c r="AP62" s="85" t="str">
        <f>HYPERLINK("https://t.co/CVLtR04zKj")</f>
        <v>https://t.co/CVLtR04zKj</v>
      </c>
      <c r="AQ62" s="85" t="str">
        <f>HYPERLINK("https://www.press.uillinois.edu/books/?id=p087684")</f>
        <v>https://www.press.uillinois.edu/books/?id=p087684</v>
      </c>
      <c r="AR62" s="80" t="s">
        <v>1391</v>
      </c>
      <c r="AS62" s="80"/>
      <c r="AT62" s="80"/>
      <c r="AU62" s="80"/>
      <c r="AV62" s="80">
        <v>1.5857309073063501E+18</v>
      </c>
      <c r="AW62" s="85" t="str">
        <f>HYPERLINK("https://t.co/CVLtR04zKj")</f>
        <v>https://t.co/CVLtR04zKj</v>
      </c>
      <c r="AX62" s="80" t="b">
        <v>0</v>
      </c>
      <c r="AY62" s="80"/>
      <c r="AZ62" s="80"/>
      <c r="BA62" s="80" t="b">
        <v>0</v>
      </c>
      <c r="BB62" s="80" t="b">
        <v>0</v>
      </c>
      <c r="BC62" s="80" t="b">
        <v>0</v>
      </c>
      <c r="BD62" s="80" t="b">
        <v>0</v>
      </c>
      <c r="BE62" s="80" t="b">
        <v>1</v>
      </c>
      <c r="BF62" s="80" t="b">
        <v>0</v>
      </c>
      <c r="BG62" s="80" t="b">
        <v>0</v>
      </c>
      <c r="BH62" s="85" t="str">
        <f>HYPERLINK("https://pbs.twimg.com/profile_banners/2500726067/1401057668")</f>
        <v>https://pbs.twimg.com/profile_banners/2500726067/1401057668</v>
      </c>
      <c r="BI62" s="80"/>
      <c r="BJ62" s="80" t="s">
        <v>1455</v>
      </c>
      <c r="BK62" s="80" t="b">
        <v>0</v>
      </c>
      <c r="BL62" s="80"/>
      <c r="BM62" s="80" t="s">
        <v>65</v>
      </c>
      <c r="BN62" s="80" t="s">
        <v>1457</v>
      </c>
      <c r="BO62" s="85" t="str">
        <f>HYPERLINK("https://twitter.com/kimhong4thewin")</f>
        <v>https://twitter.com/kimhong4thewin</v>
      </c>
      <c r="BP62" s="80" t="str">
        <f>REPLACE(INDEX(GroupVertices[Group], MATCH("~"&amp;Vertices[[#This Row],[Vertex]],GroupVertices[Vertex],0)),1,1,"")</f>
        <v>1</v>
      </c>
      <c r="BQ62" s="49"/>
      <c r="BR62" s="50"/>
      <c r="BS62" s="49"/>
      <c r="BT62" s="50"/>
      <c r="BU62" s="49"/>
      <c r="BV62" s="50"/>
      <c r="BW62" s="49"/>
      <c r="BX62" s="50"/>
      <c r="BY62" s="49"/>
      <c r="BZ62" s="49"/>
      <c r="CA62" s="49"/>
      <c r="CB62" s="49"/>
      <c r="CC62" s="49"/>
      <c r="CD62" s="49"/>
      <c r="CE62" s="49"/>
      <c r="CF62" s="49"/>
      <c r="CG62" s="49"/>
      <c r="CH62" s="49"/>
      <c r="CI62" s="49"/>
      <c r="CJ62" s="2"/>
      <c r="CK62" s="3"/>
      <c r="CL62" s="3"/>
      <c r="CM62" s="3"/>
      <c r="CN62" s="3"/>
    </row>
    <row r="63" spans="1:92" x14ac:dyDescent="0.25">
      <c r="A63" s="65" t="s">
        <v>276</v>
      </c>
      <c r="B63" s="66"/>
      <c r="C63" s="66" t="s">
        <v>64</v>
      </c>
      <c r="D63" s="67">
        <v>660</v>
      </c>
      <c r="E63" s="69"/>
      <c r="F63" s="104" t="str">
        <f>HYPERLINK("https://pbs.twimg.com/profile_images/2495615170/bp4qu2ql67yionsmi55z_normal.jpeg")</f>
        <v>https://pbs.twimg.com/profile_images/2495615170/bp4qu2ql67yionsmi55z_normal.jpeg</v>
      </c>
      <c r="G63" s="66"/>
      <c r="H63" s="70" t="s">
        <v>276</v>
      </c>
      <c r="I63" s="71"/>
      <c r="J63" s="71" t="s">
        <v>75</v>
      </c>
      <c r="K63" s="70" t="s">
        <v>1517</v>
      </c>
      <c r="L63" s="74">
        <v>885.29924776171174</v>
      </c>
      <c r="M63" s="75">
        <v>4360.453125</v>
      </c>
      <c r="N63" s="75">
        <v>7196.65234375</v>
      </c>
      <c r="O63" s="76"/>
      <c r="P63" s="77"/>
      <c r="Q63" s="77"/>
      <c r="R63" s="90"/>
      <c r="S63" s="49">
        <v>1</v>
      </c>
      <c r="T63" s="49">
        <v>5</v>
      </c>
      <c r="U63" s="50">
        <v>816</v>
      </c>
      <c r="V63" s="50">
        <v>0.26056400000000002</v>
      </c>
      <c r="W63" s="50">
        <v>6.3801999999999998E-2</v>
      </c>
      <c r="X63" s="50">
        <v>8.6079999999999993E-3</v>
      </c>
      <c r="Y63" s="50">
        <v>0.15</v>
      </c>
      <c r="Z63" s="50">
        <v>0.2</v>
      </c>
      <c r="AA63" s="72">
        <v>63</v>
      </c>
      <c r="AB63" s="72"/>
      <c r="AC63" s="73"/>
      <c r="AD63" s="80" t="s">
        <v>990</v>
      </c>
      <c r="AE63" s="87" t="s">
        <v>1102</v>
      </c>
      <c r="AF63" s="80">
        <v>873</v>
      </c>
      <c r="AG63" s="80">
        <v>630</v>
      </c>
      <c r="AH63" s="80">
        <v>882</v>
      </c>
      <c r="AI63" s="80">
        <v>38</v>
      </c>
      <c r="AJ63" s="80">
        <v>860</v>
      </c>
      <c r="AK63" s="80">
        <v>111</v>
      </c>
      <c r="AL63" s="80" t="b">
        <v>0</v>
      </c>
      <c r="AM63" s="82">
        <v>41133.600416666668</v>
      </c>
      <c r="AN63" s="80"/>
      <c r="AO63" s="80" t="s">
        <v>1286</v>
      </c>
      <c r="AP63" s="85" t="str">
        <f>HYPERLINK("https://t.co/9YfJYcIGQO")</f>
        <v>https://t.co/9YfJYcIGQO</v>
      </c>
      <c r="AQ63" s="85" t="str">
        <f>HYPERLINK("https://aejmcctecs.com/")</f>
        <v>https://aejmcctecs.com/</v>
      </c>
      <c r="AR63" s="80" t="s">
        <v>1392</v>
      </c>
      <c r="AS63" s="80"/>
      <c r="AT63" s="80"/>
      <c r="AU63" s="80"/>
      <c r="AV63" s="80"/>
      <c r="AW63" s="85" t="str">
        <f>HYPERLINK("https://t.co/9YfJYcIGQO")</f>
        <v>https://t.co/9YfJYcIGQO</v>
      </c>
      <c r="AX63" s="80" t="b">
        <v>0</v>
      </c>
      <c r="AY63" s="80"/>
      <c r="AZ63" s="80"/>
      <c r="BA63" s="80" t="b">
        <v>0</v>
      </c>
      <c r="BB63" s="80" t="b">
        <v>1</v>
      </c>
      <c r="BC63" s="80" t="b">
        <v>0</v>
      </c>
      <c r="BD63" s="80" t="b">
        <v>0</v>
      </c>
      <c r="BE63" s="80" t="b">
        <v>1</v>
      </c>
      <c r="BF63" s="80" t="b">
        <v>0</v>
      </c>
      <c r="BG63" s="80" t="b">
        <v>0</v>
      </c>
      <c r="BH63" s="85" t="str">
        <f>HYPERLINK("https://pbs.twimg.com/profile_banners/753196890/1665770759")</f>
        <v>https://pbs.twimg.com/profile_banners/753196890/1665770759</v>
      </c>
      <c r="BI63" s="80"/>
      <c r="BJ63" s="80" t="s">
        <v>1455</v>
      </c>
      <c r="BK63" s="80" t="b">
        <v>0</v>
      </c>
      <c r="BL63" s="80"/>
      <c r="BM63" s="80" t="s">
        <v>66</v>
      </c>
      <c r="BN63" s="80" t="s">
        <v>1457</v>
      </c>
      <c r="BO63" s="85" t="str">
        <f>HYPERLINK("https://twitter.com/aejmcctec")</f>
        <v>https://twitter.com/aejmcctec</v>
      </c>
      <c r="BP63" s="80" t="str">
        <f>REPLACE(INDEX(GroupVertices[Group], MATCH("~"&amp;Vertices[[#This Row],[Vertex]],GroupVertices[Vertex],0)),1,1,"")</f>
        <v>3</v>
      </c>
      <c r="BQ63" s="49">
        <v>7</v>
      </c>
      <c r="BR63" s="50">
        <v>6.6037735849056602</v>
      </c>
      <c r="BS63" s="49">
        <v>2</v>
      </c>
      <c r="BT63" s="50">
        <v>1.8867924528301887</v>
      </c>
      <c r="BU63" s="49">
        <v>0</v>
      </c>
      <c r="BV63" s="50">
        <v>0</v>
      </c>
      <c r="BW63" s="49">
        <v>54</v>
      </c>
      <c r="BX63" s="50">
        <v>50.943396226415096</v>
      </c>
      <c r="BY63" s="49">
        <v>106</v>
      </c>
      <c r="BZ63" s="49"/>
      <c r="CA63" s="49"/>
      <c r="CB63" s="49"/>
      <c r="CC63" s="49"/>
      <c r="CD63" s="49" t="s">
        <v>9883</v>
      </c>
      <c r="CE63" s="49" t="s">
        <v>9883</v>
      </c>
      <c r="CF63" s="116" t="s">
        <v>9932</v>
      </c>
      <c r="CG63" s="116" t="s">
        <v>9932</v>
      </c>
      <c r="CH63" s="116" t="s">
        <v>10002</v>
      </c>
      <c r="CI63" s="116" t="s">
        <v>10002</v>
      </c>
      <c r="CJ63" s="2"/>
      <c r="CK63" s="3"/>
      <c r="CL63" s="3"/>
      <c r="CM63" s="3"/>
      <c r="CN63" s="3"/>
    </row>
    <row r="64" spans="1:92" x14ac:dyDescent="0.25">
      <c r="A64" s="65" t="s">
        <v>277</v>
      </c>
      <c r="B64" s="66"/>
      <c r="C64" s="66" t="s">
        <v>64</v>
      </c>
      <c r="D64" s="67">
        <v>242.74509803921569</v>
      </c>
      <c r="E64" s="69"/>
      <c r="F64" s="104" t="str">
        <f>HYPERLINK("https://pbs.twimg.com/profile_images/520229540732227584/BT9iQDzR_normal.jpeg")</f>
        <v>https://pbs.twimg.com/profile_images/520229540732227584/BT9iQDzR_normal.jpeg</v>
      </c>
      <c r="G64" s="66"/>
      <c r="H64" s="70" t="s">
        <v>277</v>
      </c>
      <c r="I64" s="71"/>
      <c r="J64" s="71" t="s">
        <v>75</v>
      </c>
      <c r="K64" s="70" t="s">
        <v>1518</v>
      </c>
      <c r="L64" s="74">
        <v>226.40961217455398</v>
      </c>
      <c r="M64" s="75">
        <v>3848.105224609375</v>
      </c>
      <c r="N64" s="75">
        <v>7774.0986328125</v>
      </c>
      <c r="O64" s="76"/>
      <c r="P64" s="77"/>
      <c r="Q64" s="77"/>
      <c r="R64" s="90"/>
      <c r="S64" s="49">
        <v>2</v>
      </c>
      <c r="T64" s="49">
        <v>1</v>
      </c>
      <c r="U64" s="50">
        <v>208</v>
      </c>
      <c r="V64" s="50">
        <v>0.25756899999999999</v>
      </c>
      <c r="W64" s="50">
        <v>4.2131000000000002E-2</v>
      </c>
      <c r="X64" s="50">
        <v>8.3300000000000006E-3</v>
      </c>
      <c r="Y64" s="50">
        <v>0.33333333333333331</v>
      </c>
      <c r="Z64" s="50">
        <v>0</v>
      </c>
      <c r="AA64" s="72">
        <v>64</v>
      </c>
      <c r="AB64" s="72"/>
      <c r="AC64" s="73"/>
      <c r="AD64" s="80" t="s">
        <v>991</v>
      </c>
      <c r="AE64" s="87" t="s">
        <v>1103</v>
      </c>
      <c r="AF64" s="80">
        <v>1004</v>
      </c>
      <c r="AG64" s="80">
        <v>179</v>
      </c>
      <c r="AH64" s="80">
        <v>1644</v>
      </c>
      <c r="AI64" s="80">
        <v>34</v>
      </c>
      <c r="AJ64" s="80">
        <v>680</v>
      </c>
      <c r="AK64" s="80">
        <v>454</v>
      </c>
      <c r="AL64" s="80" t="b">
        <v>0</v>
      </c>
      <c r="AM64" s="82">
        <v>41908.574988425928</v>
      </c>
      <c r="AN64" s="80"/>
      <c r="AO64" s="80" t="s">
        <v>1287</v>
      </c>
      <c r="AP64" s="80"/>
      <c r="AQ64" s="80"/>
      <c r="AR64" s="80"/>
      <c r="AS64" s="80"/>
      <c r="AT64" s="80"/>
      <c r="AU64" s="80"/>
      <c r="AV64" s="80">
        <v>1.4236841137944801E+18</v>
      </c>
      <c r="AW64" s="80"/>
      <c r="AX64" s="80" t="b">
        <v>0</v>
      </c>
      <c r="AY64" s="80"/>
      <c r="AZ64" s="80"/>
      <c r="BA64" s="80" t="b">
        <v>0</v>
      </c>
      <c r="BB64" s="80" t="b">
        <v>0</v>
      </c>
      <c r="BC64" s="80" t="b">
        <v>0</v>
      </c>
      <c r="BD64" s="80" t="b">
        <v>0</v>
      </c>
      <c r="BE64" s="80" t="b">
        <v>0</v>
      </c>
      <c r="BF64" s="80" t="b">
        <v>0</v>
      </c>
      <c r="BG64" s="80" t="b">
        <v>0</v>
      </c>
      <c r="BH64" s="80"/>
      <c r="BI64" s="80"/>
      <c r="BJ64" s="80" t="s">
        <v>1455</v>
      </c>
      <c r="BK64" s="80" t="b">
        <v>0</v>
      </c>
      <c r="BL64" s="80"/>
      <c r="BM64" s="80" t="s">
        <v>66</v>
      </c>
      <c r="BN64" s="80" t="s">
        <v>1457</v>
      </c>
      <c r="BO64" s="85" t="str">
        <f>HYPERLINK("https://twitter.com/louisahabgsu")</f>
        <v>https://twitter.com/louisahabgsu</v>
      </c>
      <c r="BP64" s="80" t="str">
        <f>REPLACE(INDEX(GroupVertices[Group], MATCH("~"&amp;Vertices[[#This Row],[Vertex]],GroupVertices[Vertex],0)),1,1,"")</f>
        <v>3</v>
      </c>
      <c r="BQ64" s="49">
        <v>1</v>
      </c>
      <c r="BR64" s="50">
        <v>2.8571428571428572</v>
      </c>
      <c r="BS64" s="49">
        <v>1</v>
      </c>
      <c r="BT64" s="50">
        <v>2.8571428571428572</v>
      </c>
      <c r="BU64" s="49">
        <v>0</v>
      </c>
      <c r="BV64" s="50">
        <v>0</v>
      </c>
      <c r="BW64" s="49">
        <v>19</v>
      </c>
      <c r="BX64" s="50">
        <v>54.285714285714285</v>
      </c>
      <c r="BY64" s="49">
        <v>35</v>
      </c>
      <c r="BZ64" s="49" t="s">
        <v>9587</v>
      </c>
      <c r="CA64" s="49" t="s">
        <v>9587</v>
      </c>
      <c r="CB64" s="49" t="s">
        <v>508</v>
      </c>
      <c r="CC64" s="49" t="s">
        <v>508</v>
      </c>
      <c r="CD64" s="49" t="s">
        <v>489</v>
      </c>
      <c r="CE64" s="49" t="s">
        <v>489</v>
      </c>
      <c r="CF64" s="116" t="s">
        <v>9933</v>
      </c>
      <c r="CG64" s="116" t="s">
        <v>9933</v>
      </c>
      <c r="CH64" s="116" t="s">
        <v>10003</v>
      </c>
      <c r="CI64" s="116" t="s">
        <v>10003</v>
      </c>
      <c r="CJ64" s="2"/>
      <c r="CK64" s="3"/>
      <c r="CL64" s="3"/>
      <c r="CM64" s="3"/>
      <c r="CN64" s="3"/>
    </row>
    <row r="65" spans="1:92" x14ac:dyDescent="0.25">
      <c r="A65" s="65" t="s">
        <v>288</v>
      </c>
      <c r="B65" s="66"/>
      <c r="C65" s="66" t="s">
        <v>64</v>
      </c>
      <c r="D65" s="67">
        <v>384.11764705882354</v>
      </c>
      <c r="E65" s="69"/>
      <c r="F65" s="104" t="str">
        <f>HYPERLINK("https://pbs.twimg.com/profile_images/1543843345998483456/C83GM58-_normal.jpg")</f>
        <v>https://pbs.twimg.com/profile_images/1543843345998483456/C83GM58-_normal.jpg</v>
      </c>
      <c r="G65" s="66"/>
      <c r="H65" s="70" t="s">
        <v>288</v>
      </c>
      <c r="I65" s="71"/>
      <c r="J65" s="71" t="s">
        <v>75</v>
      </c>
      <c r="K65" s="70" t="s">
        <v>1519</v>
      </c>
      <c r="L65" s="74">
        <v>449.65182423204493</v>
      </c>
      <c r="M65" s="75">
        <v>4695.16943359375</v>
      </c>
      <c r="N65" s="75">
        <v>6067.5517578125</v>
      </c>
      <c r="O65" s="76"/>
      <c r="P65" s="77"/>
      <c r="Q65" s="77"/>
      <c r="R65" s="90"/>
      <c r="S65" s="49">
        <v>1</v>
      </c>
      <c r="T65" s="49">
        <v>2</v>
      </c>
      <c r="U65" s="50">
        <v>414</v>
      </c>
      <c r="V65" s="50">
        <v>0.201879</v>
      </c>
      <c r="W65" s="50">
        <v>8.038E-3</v>
      </c>
      <c r="X65" s="50">
        <v>9.3089999999999996E-3</v>
      </c>
      <c r="Y65" s="50">
        <v>0</v>
      </c>
      <c r="Z65" s="50">
        <v>0</v>
      </c>
      <c r="AA65" s="72">
        <v>65</v>
      </c>
      <c r="AB65" s="72"/>
      <c r="AC65" s="73"/>
      <c r="AD65" s="80" t="s">
        <v>992</v>
      </c>
      <c r="AE65" s="87" t="s">
        <v>1104</v>
      </c>
      <c r="AF65" s="80">
        <v>728</v>
      </c>
      <c r="AG65" s="80">
        <v>499</v>
      </c>
      <c r="AH65" s="80">
        <v>754</v>
      </c>
      <c r="AI65" s="80">
        <v>5</v>
      </c>
      <c r="AJ65" s="80">
        <v>1548</v>
      </c>
      <c r="AK65" s="80">
        <v>141</v>
      </c>
      <c r="AL65" s="80" t="b">
        <v>0</v>
      </c>
      <c r="AM65" s="82">
        <v>40751.520879629628</v>
      </c>
      <c r="AN65" s="80"/>
      <c r="AO65" s="80" t="s">
        <v>1288</v>
      </c>
      <c r="AP65" s="85" t="str">
        <f>HYPERLINK("https://t.co/0Cysb0IUFN")</f>
        <v>https://t.co/0Cysb0IUFN</v>
      </c>
      <c r="AQ65" s="85" t="str">
        <f>HYPERLINK("https://www.yilangpeng.com/")</f>
        <v>https://www.yilangpeng.com/</v>
      </c>
      <c r="AR65" s="80" t="s">
        <v>1393</v>
      </c>
      <c r="AS65" s="80"/>
      <c r="AT65" s="80"/>
      <c r="AU65" s="80"/>
      <c r="AV65" s="80">
        <v>1.499109917936E+18</v>
      </c>
      <c r="AW65" s="85" t="str">
        <f>HYPERLINK("https://t.co/0Cysb0IUFN")</f>
        <v>https://t.co/0Cysb0IUFN</v>
      </c>
      <c r="AX65" s="80" t="b">
        <v>0</v>
      </c>
      <c r="AY65" s="80"/>
      <c r="AZ65" s="80"/>
      <c r="BA65" s="80" t="b">
        <v>1</v>
      </c>
      <c r="BB65" s="80" t="b">
        <v>0</v>
      </c>
      <c r="BC65" s="80" t="b">
        <v>0</v>
      </c>
      <c r="BD65" s="80" t="b">
        <v>0</v>
      </c>
      <c r="BE65" s="80" t="b">
        <v>0</v>
      </c>
      <c r="BF65" s="80" t="b">
        <v>0</v>
      </c>
      <c r="BG65" s="80" t="b">
        <v>0</v>
      </c>
      <c r="BH65" s="85" t="str">
        <f>HYPERLINK("https://pbs.twimg.com/profile_banners/343340218/1656916506")</f>
        <v>https://pbs.twimg.com/profile_banners/343340218/1656916506</v>
      </c>
      <c r="BI65" s="80"/>
      <c r="BJ65" s="80" t="s">
        <v>1455</v>
      </c>
      <c r="BK65" s="80" t="b">
        <v>0</v>
      </c>
      <c r="BL65" s="80"/>
      <c r="BM65" s="80" t="s">
        <v>66</v>
      </c>
      <c r="BN65" s="80" t="s">
        <v>1457</v>
      </c>
      <c r="BO65" s="85" t="str">
        <f>HYPERLINK("https://twitter.com/pengyilang")</f>
        <v>https://twitter.com/pengyilang</v>
      </c>
      <c r="BP65" s="80" t="str">
        <f>REPLACE(INDEX(GroupVertices[Group], MATCH("~"&amp;Vertices[[#This Row],[Vertex]],GroupVertices[Vertex],0)),1,1,"")</f>
        <v>3</v>
      </c>
      <c r="BQ65" s="49">
        <v>3</v>
      </c>
      <c r="BR65" s="50">
        <v>9.375</v>
      </c>
      <c r="BS65" s="49">
        <v>0</v>
      </c>
      <c r="BT65" s="50">
        <v>0</v>
      </c>
      <c r="BU65" s="49">
        <v>0</v>
      </c>
      <c r="BV65" s="50">
        <v>0</v>
      </c>
      <c r="BW65" s="49">
        <v>15</v>
      </c>
      <c r="BX65" s="50">
        <v>46.875</v>
      </c>
      <c r="BY65" s="49">
        <v>32</v>
      </c>
      <c r="BZ65" s="49" t="s">
        <v>9584</v>
      </c>
      <c r="CA65" s="49" t="s">
        <v>9584</v>
      </c>
      <c r="CB65" s="49" t="s">
        <v>506</v>
      </c>
      <c r="CC65" s="49" t="s">
        <v>506</v>
      </c>
      <c r="CD65" s="49"/>
      <c r="CE65" s="49"/>
      <c r="CF65" s="116" t="s">
        <v>9934</v>
      </c>
      <c r="CG65" s="116" t="s">
        <v>9934</v>
      </c>
      <c r="CH65" s="116" t="s">
        <v>10004</v>
      </c>
      <c r="CI65" s="116" t="s">
        <v>10004</v>
      </c>
      <c r="CJ65" s="2"/>
      <c r="CK65" s="3"/>
      <c r="CL65" s="3"/>
      <c r="CM65" s="3"/>
      <c r="CN65" s="3"/>
    </row>
    <row r="66" spans="1:92" x14ac:dyDescent="0.25">
      <c r="A66" s="65" t="s">
        <v>307</v>
      </c>
      <c r="B66" s="66"/>
      <c r="C66" s="66" t="s">
        <v>64</v>
      </c>
      <c r="D66" s="67">
        <v>100</v>
      </c>
      <c r="E66" s="69"/>
      <c r="F66" s="104" t="str">
        <f>HYPERLINK("https://pbs.twimg.com/profile_images/1717098055743283200/sHVaSOgE_normal.jpg")</f>
        <v>https://pbs.twimg.com/profile_images/1717098055743283200/sHVaSOgE_normal.jpg</v>
      </c>
      <c r="G66" s="66"/>
      <c r="H66" s="70" t="s">
        <v>307</v>
      </c>
      <c r="I66" s="71"/>
      <c r="J66" s="71" t="s">
        <v>159</v>
      </c>
      <c r="K66" s="70" t="s">
        <v>1520</v>
      </c>
      <c r="L66" s="74">
        <v>1</v>
      </c>
      <c r="M66" s="75">
        <v>3740.234619140625</v>
      </c>
      <c r="N66" s="75">
        <v>6456.86865234375</v>
      </c>
      <c r="O66" s="76"/>
      <c r="P66" s="77"/>
      <c r="Q66" s="77"/>
      <c r="R66" s="90"/>
      <c r="S66" s="49">
        <v>2</v>
      </c>
      <c r="T66" s="49">
        <v>1</v>
      </c>
      <c r="U66" s="50">
        <v>0</v>
      </c>
      <c r="V66" s="50">
        <v>0.200076</v>
      </c>
      <c r="W66" s="50">
        <v>8.8839999999999995E-3</v>
      </c>
      <c r="X66" s="50">
        <v>7.6899999999999998E-3</v>
      </c>
      <c r="Y66" s="50">
        <v>0</v>
      </c>
      <c r="Z66" s="50">
        <v>0</v>
      </c>
      <c r="AA66" s="72">
        <v>66</v>
      </c>
      <c r="AB66" s="72"/>
      <c r="AC66" s="73"/>
      <c r="AD66" s="80" t="s">
        <v>993</v>
      </c>
      <c r="AE66" s="87" t="s">
        <v>895</v>
      </c>
      <c r="AF66" s="80">
        <v>251911</v>
      </c>
      <c r="AG66" s="80">
        <v>501</v>
      </c>
      <c r="AH66" s="80">
        <v>4337</v>
      </c>
      <c r="AI66" s="80">
        <v>260</v>
      </c>
      <c r="AJ66" s="80">
        <v>3097</v>
      </c>
      <c r="AK66" s="80">
        <v>604</v>
      </c>
      <c r="AL66" s="80" t="b">
        <v>0</v>
      </c>
      <c r="AM66" s="82">
        <v>43149.729537037034</v>
      </c>
      <c r="AN66" s="80" t="s">
        <v>1201</v>
      </c>
      <c r="AO66" s="80" t="s">
        <v>1289</v>
      </c>
      <c r="AP66" s="85" t="str">
        <f>HYPERLINK("https://t.co/hXZ26YiSvh")</f>
        <v>https://t.co/hXZ26YiSvh</v>
      </c>
      <c r="AQ66" s="85" t="str">
        <f>HYPERLINK("https://www.instagram.com/motaz_azaiza/")</f>
        <v>https://www.instagram.com/motaz_azaiza/</v>
      </c>
      <c r="AR66" s="80" t="s">
        <v>1394</v>
      </c>
      <c r="AS66" s="80"/>
      <c r="AT66" s="80"/>
      <c r="AU66" s="80"/>
      <c r="AV66" s="80"/>
      <c r="AW66" s="85" t="str">
        <f>HYPERLINK("https://t.co/hXZ26YiSvh")</f>
        <v>https://t.co/hXZ26YiSvh</v>
      </c>
      <c r="AX66" s="80" t="b">
        <v>1</v>
      </c>
      <c r="AY66" s="80"/>
      <c r="AZ66" s="80"/>
      <c r="BA66" s="80" t="b">
        <v>1</v>
      </c>
      <c r="BB66" s="80" t="b">
        <v>0</v>
      </c>
      <c r="BC66" s="80" t="b">
        <v>1</v>
      </c>
      <c r="BD66" s="80" t="b">
        <v>0</v>
      </c>
      <c r="BE66" s="80" t="b">
        <v>1</v>
      </c>
      <c r="BF66" s="80" t="b">
        <v>0</v>
      </c>
      <c r="BG66" s="80" t="b">
        <v>0</v>
      </c>
      <c r="BH66" s="85" t="str">
        <f>HYPERLINK("https://pbs.twimg.com/profile_banners/965277365172670465/1694816796")</f>
        <v>https://pbs.twimg.com/profile_banners/965277365172670465/1694816796</v>
      </c>
      <c r="BI66" s="80"/>
      <c r="BJ66" s="80" t="s">
        <v>1455</v>
      </c>
      <c r="BK66" s="80" t="b">
        <v>0</v>
      </c>
      <c r="BL66" s="80"/>
      <c r="BM66" s="80" t="s">
        <v>66</v>
      </c>
      <c r="BN66" s="80" t="s">
        <v>1457</v>
      </c>
      <c r="BO66" s="85" t="str">
        <f>HYPERLINK("https://twitter.com/azaizamotaz9")</f>
        <v>https://twitter.com/azaizamotaz9</v>
      </c>
      <c r="BP66" s="80" t="str">
        <f>REPLACE(INDEX(GroupVertices[Group], MATCH("~"&amp;Vertices[[#This Row],[Vertex]],GroupVertices[Vertex],0)),1,1,"")</f>
        <v>3</v>
      </c>
      <c r="BQ66" s="49">
        <v>0</v>
      </c>
      <c r="BR66" s="50">
        <v>0</v>
      </c>
      <c r="BS66" s="49">
        <v>1</v>
      </c>
      <c r="BT66" s="50">
        <v>3.225806451612903</v>
      </c>
      <c r="BU66" s="49">
        <v>0</v>
      </c>
      <c r="BV66" s="50">
        <v>0</v>
      </c>
      <c r="BW66" s="49">
        <v>16</v>
      </c>
      <c r="BX66" s="50">
        <v>51.612903225806448</v>
      </c>
      <c r="BY66" s="49">
        <v>31</v>
      </c>
      <c r="BZ66" s="49"/>
      <c r="CA66" s="49"/>
      <c r="CB66" s="49"/>
      <c r="CC66" s="49"/>
      <c r="CD66" s="49"/>
      <c r="CE66" s="49"/>
      <c r="CF66" s="116" t="s">
        <v>9935</v>
      </c>
      <c r="CG66" s="116" t="s">
        <v>9935</v>
      </c>
      <c r="CH66" s="116" t="s">
        <v>10005</v>
      </c>
      <c r="CI66" s="116" t="s">
        <v>10005</v>
      </c>
      <c r="CJ66" s="2"/>
      <c r="CK66" s="3"/>
      <c r="CL66" s="3"/>
      <c r="CM66" s="3"/>
      <c r="CN66" s="3"/>
    </row>
    <row r="67" spans="1:92" x14ac:dyDescent="0.25">
      <c r="A67" s="65" t="s">
        <v>327</v>
      </c>
      <c r="B67" s="66"/>
      <c r="C67" s="66" t="s">
        <v>64</v>
      </c>
      <c r="D67" s="67">
        <v>100</v>
      </c>
      <c r="E67" s="69"/>
      <c r="F67" s="104" t="str">
        <f>HYPERLINK("https://pbs.twimg.com/profile_images/1502286810130657281/xL2yirdW_normal.jpg")</f>
        <v>https://pbs.twimg.com/profile_images/1502286810130657281/xL2yirdW_normal.jpg</v>
      </c>
      <c r="G67" s="66"/>
      <c r="H67" s="70" t="s">
        <v>327</v>
      </c>
      <c r="I67" s="71"/>
      <c r="J67" s="71" t="s">
        <v>159</v>
      </c>
      <c r="K67" s="70" t="s">
        <v>1521</v>
      </c>
      <c r="L67" s="74">
        <v>1</v>
      </c>
      <c r="M67" s="75">
        <v>3005.163818359375</v>
      </c>
      <c r="N67" s="75">
        <v>7783.2158203125</v>
      </c>
      <c r="O67" s="76"/>
      <c r="P67" s="77"/>
      <c r="Q67" s="77"/>
      <c r="R67" s="90"/>
      <c r="S67" s="49">
        <v>1</v>
      </c>
      <c r="T67" s="49">
        <v>0</v>
      </c>
      <c r="U67" s="50">
        <v>0</v>
      </c>
      <c r="V67" s="50">
        <v>0.19830600000000001</v>
      </c>
      <c r="W67" s="50">
        <v>5.1489999999999999E-3</v>
      </c>
      <c r="X67" s="50">
        <v>7.2709999999999997E-3</v>
      </c>
      <c r="Y67" s="50">
        <v>0</v>
      </c>
      <c r="Z67" s="50">
        <v>0</v>
      </c>
      <c r="AA67" s="72">
        <v>67</v>
      </c>
      <c r="AB67" s="72"/>
      <c r="AC67" s="73"/>
      <c r="AD67" s="80" t="s">
        <v>994</v>
      </c>
      <c r="AE67" s="87" t="s">
        <v>1105</v>
      </c>
      <c r="AF67" s="80">
        <v>106</v>
      </c>
      <c r="AG67" s="80">
        <v>38</v>
      </c>
      <c r="AH67" s="80">
        <v>83</v>
      </c>
      <c r="AI67" s="80">
        <v>2</v>
      </c>
      <c r="AJ67" s="80">
        <v>35</v>
      </c>
      <c r="AK67" s="80">
        <v>30</v>
      </c>
      <c r="AL67" s="80" t="b">
        <v>0</v>
      </c>
      <c r="AM67" s="82">
        <v>44631.592592592591</v>
      </c>
      <c r="AN67" s="80"/>
      <c r="AO67" s="80" t="s">
        <v>1290</v>
      </c>
      <c r="AP67" s="80"/>
      <c r="AQ67" s="80"/>
      <c r="AR67" s="80"/>
      <c r="AS67" s="85" t="str">
        <f>HYPERLINK("https://t.co/WpF1UoAI5i")</f>
        <v>https://t.co/WpF1UoAI5i</v>
      </c>
      <c r="AT67" s="85" t="str">
        <f>HYPERLINK("http://degruyter.com/journal/key/om")</f>
        <v>http://degruyter.com/journal/key/om</v>
      </c>
      <c r="AU67" s="80" t="s">
        <v>1448</v>
      </c>
      <c r="AV67" s="80"/>
      <c r="AW67" s="80"/>
      <c r="AX67" s="80" t="b">
        <v>0</v>
      </c>
      <c r="AY67" s="80"/>
      <c r="AZ67" s="80"/>
      <c r="BA67" s="80" t="b">
        <v>0</v>
      </c>
      <c r="BB67" s="80" t="b">
        <v>1</v>
      </c>
      <c r="BC67" s="80" t="b">
        <v>1</v>
      </c>
      <c r="BD67" s="80" t="b">
        <v>0</v>
      </c>
      <c r="BE67" s="80" t="b">
        <v>0</v>
      </c>
      <c r="BF67" s="80" t="b">
        <v>0</v>
      </c>
      <c r="BG67" s="80" t="b">
        <v>0</v>
      </c>
      <c r="BH67" s="80"/>
      <c r="BI67" s="80"/>
      <c r="BJ67" s="80" t="s">
        <v>1455</v>
      </c>
      <c r="BK67" s="80" t="b">
        <v>0</v>
      </c>
      <c r="BL67" s="80"/>
      <c r="BM67" s="80" t="s">
        <v>65</v>
      </c>
      <c r="BN67" s="80" t="s">
        <v>1457</v>
      </c>
      <c r="BO67" s="85" t="str">
        <f>HYPERLINK("https://twitter.com/omgcjournal")</f>
        <v>https://twitter.com/omgcjournal</v>
      </c>
      <c r="BP67" s="80" t="str">
        <f>REPLACE(INDEX(GroupVertices[Group], MATCH("~"&amp;Vertices[[#This Row],[Vertex]],GroupVertices[Vertex],0)),1,1,"")</f>
        <v>3</v>
      </c>
      <c r="BQ67" s="49"/>
      <c r="BR67" s="50"/>
      <c r="BS67" s="49"/>
      <c r="BT67" s="50"/>
      <c r="BU67" s="49"/>
      <c r="BV67" s="50"/>
      <c r="BW67" s="49"/>
      <c r="BX67" s="50"/>
      <c r="BY67" s="49"/>
      <c r="BZ67" s="49"/>
      <c r="CA67" s="49"/>
      <c r="CB67" s="49"/>
      <c r="CC67" s="49"/>
      <c r="CD67" s="49"/>
      <c r="CE67" s="49"/>
      <c r="CF67" s="49"/>
      <c r="CG67" s="49"/>
      <c r="CH67" s="49"/>
      <c r="CI67" s="49"/>
      <c r="CJ67" s="2"/>
      <c r="CK67" s="3"/>
      <c r="CL67" s="3"/>
      <c r="CM67" s="3"/>
      <c r="CN67" s="3"/>
    </row>
    <row r="68" spans="1:92" x14ac:dyDescent="0.25">
      <c r="A68" s="65" t="s">
        <v>278</v>
      </c>
      <c r="B68" s="66"/>
      <c r="C68" s="66" t="s">
        <v>64</v>
      </c>
      <c r="D68" s="67">
        <v>100</v>
      </c>
      <c r="E68" s="69"/>
      <c r="F68" s="104" t="str">
        <f>HYPERLINK("https://pbs.twimg.com/profile_images/1432099431143329795/3sYvr85-_normal.jpg")</f>
        <v>https://pbs.twimg.com/profile_images/1432099431143329795/3sYvr85-_normal.jpg</v>
      </c>
      <c r="G68" s="66"/>
      <c r="H68" s="70" t="s">
        <v>278</v>
      </c>
      <c r="I68" s="71"/>
      <c r="J68" s="71" t="s">
        <v>159</v>
      </c>
      <c r="K68" s="70" t="s">
        <v>1522</v>
      </c>
      <c r="L68" s="74">
        <v>1</v>
      </c>
      <c r="M68" s="75">
        <v>7413.87548828125</v>
      </c>
      <c r="N68" s="75">
        <v>3127.25927734375</v>
      </c>
      <c r="O68" s="76"/>
      <c r="P68" s="77"/>
      <c r="Q68" s="77"/>
      <c r="R68" s="90"/>
      <c r="S68" s="49">
        <v>1</v>
      </c>
      <c r="T68" s="49">
        <v>1</v>
      </c>
      <c r="U68" s="50">
        <v>0</v>
      </c>
      <c r="V68" s="50">
        <v>0</v>
      </c>
      <c r="W68" s="50">
        <v>0</v>
      </c>
      <c r="X68" s="50">
        <v>8.0649999999999993E-3</v>
      </c>
      <c r="Y68" s="50">
        <v>0</v>
      </c>
      <c r="Z68" s="50">
        <v>0</v>
      </c>
      <c r="AA68" s="72">
        <v>68</v>
      </c>
      <c r="AB68" s="72"/>
      <c r="AC68" s="73"/>
      <c r="AD68" s="80" t="s">
        <v>995</v>
      </c>
      <c r="AE68" s="87" t="s">
        <v>1106</v>
      </c>
      <c r="AF68" s="80">
        <v>18518</v>
      </c>
      <c r="AG68" s="80">
        <v>20328</v>
      </c>
      <c r="AH68" s="80">
        <v>27038</v>
      </c>
      <c r="AI68" s="80">
        <v>131</v>
      </c>
      <c r="AJ68" s="80">
        <v>1609</v>
      </c>
      <c r="AK68" s="80">
        <v>165</v>
      </c>
      <c r="AL68" s="80" t="b">
        <v>0</v>
      </c>
      <c r="AM68" s="82">
        <v>41583.455555555556</v>
      </c>
      <c r="AN68" s="80" t="s">
        <v>1187</v>
      </c>
      <c r="AO68" s="80" t="s">
        <v>1291</v>
      </c>
      <c r="AP68" s="85" t="str">
        <f>HYPERLINK("https://t.co/W0hRvGL2HX")</f>
        <v>https://t.co/W0hRvGL2HX</v>
      </c>
      <c r="AQ68" s="85" t="str">
        <f>HYPERLINK("https://www.ThePostdoctoral.com")</f>
        <v>https://www.ThePostdoctoral.com</v>
      </c>
      <c r="AR68" s="80" t="s">
        <v>1395</v>
      </c>
      <c r="AS68" s="80"/>
      <c r="AT68" s="80"/>
      <c r="AU68" s="80"/>
      <c r="AV68" s="80">
        <v>1.4477206065778099E+18</v>
      </c>
      <c r="AW68" s="85" t="str">
        <f>HYPERLINK("https://t.co/W0hRvGL2HX")</f>
        <v>https://t.co/W0hRvGL2HX</v>
      </c>
      <c r="AX68" s="80" t="b">
        <v>1</v>
      </c>
      <c r="AY68" s="80"/>
      <c r="AZ68" s="80"/>
      <c r="BA68" s="80" t="b">
        <v>0</v>
      </c>
      <c r="BB68" s="80" t="b">
        <v>1</v>
      </c>
      <c r="BC68" s="80" t="b">
        <v>0</v>
      </c>
      <c r="BD68" s="80" t="b">
        <v>0</v>
      </c>
      <c r="BE68" s="80" t="b">
        <v>0</v>
      </c>
      <c r="BF68" s="80" t="b">
        <v>0</v>
      </c>
      <c r="BG68" s="80" t="b">
        <v>0</v>
      </c>
      <c r="BH68" s="85" t="str">
        <f>HYPERLINK("https://pbs.twimg.com/profile_banners/2175843914/1685284482")</f>
        <v>https://pbs.twimg.com/profile_banners/2175843914/1685284482</v>
      </c>
      <c r="BI68" s="80"/>
      <c r="BJ68" s="80" t="s">
        <v>1455</v>
      </c>
      <c r="BK68" s="80" t="b">
        <v>0</v>
      </c>
      <c r="BL68" s="80"/>
      <c r="BM68" s="80" t="s">
        <v>66</v>
      </c>
      <c r="BN68" s="80" t="s">
        <v>1457</v>
      </c>
      <c r="BO68" s="85" t="str">
        <f>HYPERLINK("https://twitter.com/thepostdoctoral")</f>
        <v>https://twitter.com/thepostdoctoral</v>
      </c>
      <c r="BP68" s="80" t="str">
        <f>REPLACE(INDEX(GroupVertices[Group], MATCH("~"&amp;Vertices[[#This Row],[Vertex]],GroupVertices[Vertex],0)),1,1,"")</f>
        <v>13</v>
      </c>
      <c r="BQ68" s="49">
        <v>7</v>
      </c>
      <c r="BR68" s="50">
        <v>21.212121212121211</v>
      </c>
      <c r="BS68" s="49">
        <v>0</v>
      </c>
      <c r="BT68" s="50">
        <v>0</v>
      </c>
      <c r="BU68" s="49">
        <v>0</v>
      </c>
      <c r="BV68" s="50">
        <v>0</v>
      </c>
      <c r="BW68" s="49">
        <v>15</v>
      </c>
      <c r="BX68" s="50">
        <v>45.454545454545453</v>
      </c>
      <c r="BY68" s="49">
        <v>33</v>
      </c>
      <c r="BZ68" s="49" t="s">
        <v>9614</v>
      </c>
      <c r="CA68" s="49" t="s">
        <v>9614</v>
      </c>
      <c r="CB68" s="49" t="s">
        <v>509</v>
      </c>
      <c r="CC68" s="49" t="s">
        <v>509</v>
      </c>
      <c r="CD68" s="49"/>
      <c r="CE68" s="49"/>
      <c r="CF68" s="116" t="s">
        <v>9936</v>
      </c>
      <c r="CG68" s="116" t="s">
        <v>9936</v>
      </c>
      <c r="CH68" s="116" t="s">
        <v>10006</v>
      </c>
      <c r="CI68" s="116" t="s">
        <v>10006</v>
      </c>
      <c r="CJ68" s="2"/>
      <c r="CK68" s="3"/>
      <c r="CL68" s="3"/>
      <c r="CM68" s="3"/>
      <c r="CN68" s="3"/>
    </row>
    <row r="69" spans="1:92" x14ac:dyDescent="0.25">
      <c r="A69" s="65" t="s">
        <v>279</v>
      </c>
      <c r="B69" s="66"/>
      <c r="C69" s="66" t="s">
        <v>64</v>
      </c>
      <c r="D69" s="67">
        <v>100</v>
      </c>
      <c r="E69" s="69"/>
      <c r="F69" s="104" t="str">
        <f>HYPERLINK("https://pbs.twimg.com/profile_images/1324512852162629632/criswwlC_normal.jpg")</f>
        <v>https://pbs.twimg.com/profile_images/1324512852162629632/criswwlC_normal.jpg</v>
      </c>
      <c r="G69" s="66"/>
      <c r="H69" s="70" t="s">
        <v>279</v>
      </c>
      <c r="I69" s="71"/>
      <c r="J69" s="71" t="s">
        <v>159</v>
      </c>
      <c r="K69" s="70" t="s">
        <v>1523</v>
      </c>
      <c r="L69" s="74">
        <v>1</v>
      </c>
      <c r="M69" s="75">
        <v>4222.228515625</v>
      </c>
      <c r="N69" s="75">
        <v>272.60647583007813</v>
      </c>
      <c r="O69" s="76"/>
      <c r="P69" s="77"/>
      <c r="Q69" s="77"/>
      <c r="R69" s="90"/>
      <c r="S69" s="49">
        <v>2</v>
      </c>
      <c r="T69" s="49">
        <v>1</v>
      </c>
      <c r="U69" s="50">
        <v>0</v>
      </c>
      <c r="V69" s="50">
        <v>0.32476100000000002</v>
      </c>
      <c r="W69" s="50">
        <v>8.7647000000000003E-2</v>
      </c>
      <c r="X69" s="50">
        <v>7.1479999999999998E-3</v>
      </c>
      <c r="Y69" s="50">
        <v>0.5</v>
      </c>
      <c r="Z69" s="50">
        <v>0.5</v>
      </c>
      <c r="AA69" s="72">
        <v>69</v>
      </c>
      <c r="AB69" s="72"/>
      <c r="AC69" s="73"/>
      <c r="AD69" s="80" t="s">
        <v>996</v>
      </c>
      <c r="AE69" s="87" t="s">
        <v>889</v>
      </c>
      <c r="AF69" s="80">
        <v>634</v>
      </c>
      <c r="AG69" s="80">
        <v>611</v>
      </c>
      <c r="AH69" s="80">
        <v>5896</v>
      </c>
      <c r="AI69" s="80">
        <v>4</v>
      </c>
      <c r="AJ69" s="80">
        <v>61165</v>
      </c>
      <c r="AK69" s="80">
        <v>172</v>
      </c>
      <c r="AL69" s="80" t="b">
        <v>0</v>
      </c>
      <c r="AM69" s="82">
        <v>44050.652199074073</v>
      </c>
      <c r="AN69" s="80" t="s">
        <v>1202</v>
      </c>
      <c r="AO69" s="80" t="s">
        <v>1292</v>
      </c>
      <c r="AP69" s="85" t="str">
        <f>HYPERLINK("https://t.co/ATy3W0YQ6l")</f>
        <v>https://t.co/ATy3W0YQ6l</v>
      </c>
      <c r="AQ69" s="85" t="str">
        <f>HYPERLINK("http://www.brianatrifiro.com")</f>
        <v>http://www.brianatrifiro.com</v>
      </c>
      <c r="AR69" s="80" t="s">
        <v>1396</v>
      </c>
      <c r="AS69" s="80"/>
      <c r="AT69" s="80"/>
      <c r="AU69" s="80"/>
      <c r="AV69" s="80">
        <v>1.39515754584577E+18</v>
      </c>
      <c r="AW69" s="85" t="str">
        <f>HYPERLINK("https://t.co/ATy3W0YQ6l")</f>
        <v>https://t.co/ATy3W0YQ6l</v>
      </c>
      <c r="AX69" s="80" t="b">
        <v>0</v>
      </c>
      <c r="AY69" s="80"/>
      <c r="AZ69" s="80"/>
      <c r="BA69" s="80" t="b">
        <v>1</v>
      </c>
      <c r="BB69" s="80" t="b">
        <v>1</v>
      </c>
      <c r="BC69" s="80" t="b">
        <v>1</v>
      </c>
      <c r="BD69" s="80" t="b">
        <v>0</v>
      </c>
      <c r="BE69" s="80" t="b">
        <v>1</v>
      </c>
      <c r="BF69" s="80" t="b">
        <v>0</v>
      </c>
      <c r="BG69" s="80" t="b">
        <v>0</v>
      </c>
      <c r="BH69" s="85" t="str">
        <f>HYPERLINK("https://pbs.twimg.com/profile_banners/1291760732208599040/1663617214")</f>
        <v>https://pbs.twimg.com/profile_banners/1291760732208599040/1663617214</v>
      </c>
      <c r="BI69" s="80"/>
      <c r="BJ69" s="80" t="s">
        <v>1455</v>
      </c>
      <c r="BK69" s="80" t="b">
        <v>0</v>
      </c>
      <c r="BL69" s="80"/>
      <c r="BM69" s="80" t="s">
        <v>66</v>
      </c>
      <c r="BN69" s="80" t="s">
        <v>1457</v>
      </c>
      <c r="BO69" s="85" t="str">
        <f>HYPERLINK("https://twitter.com/brianatrifiro")</f>
        <v>https://twitter.com/brianatrifiro</v>
      </c>
      <c r="BP69" s="80" t="str">
        <f>REPLACE(INDEX(GroupVertices[Group], MATCH("~"&amp;Vertices[[#This Row],[Vertex]],GroupVertices[Vertex],0)),1,1,"")</f>
        <v>4</v>
      </c>
      <c r="BQ69" s="49">
        <v>0</v>
      </c>
      <c r="BR69" s="50">
        <v>0</v>
      </c>
      <c r="BS69" s="49">
        <v>1</v>
      </c>
      <c r="BT69" s="50">
        <v>6.666666666666667</v>
      </c>
      <c r="BU69" s="49">
        <v>0</v>
      </c>
      <c r="BV69" s="50">
        <v>0</v>
      </c>
      <c r="BW69" s="49">
        <v>10</v>
      </c>
      <c r="BX69" s="50">
        <v>66.666666666666671</v>
      </c>
      <c r="BY69" s="49">
        <v>15</v>
      </c>
      <c r="BZ69" s="49"/>
      <c r="CA69" s="49"/>
      <c r="CB69" s="49"/>
      <c r="CC69" s="49"/>
      <c r="CD69" s="49" t="s">
        <v>490</v>
      </c>
      <c r="CE69" s="49" t="s">
        <v>490</v>
      </c>
      <c r="CF69" s="116" t="s">
        <v>9937</v>
      </c>
      <c r="CG69" s="116" t="s">
        <v>9937</v>
      </c>
      <c r="CH69" s="116" t="s">
        <v>10007</v>
      </c>
      <c r="CI69" s="116" t="s">
        <v>10007</v>
      </c>
      <c r="CJ69" s="2"/>
      <c r="CK69" s="3"/>
      <c r="CL69" s="3"/>
      <c r="CM69" s="3"/>
      <c r="CN69" s="3"/>
    </row>
    <row r="70" spans="1:92" x14ac:dyDescent="0.25">
      <c r="A70" s="65" t="s">
        <v>280</v>
      </c>
      <c r="B70" s="66"/>
      <c r="C70" s="66" t="s">
        <v>64</v>
      </c>
      <c r="D70" s="67">
        <v>800</v>
      </c>
      <c r="E70" s="69"/>
      <c r="F70" s="104" t="str">
        <f>HYPERLINK("https://pbs.twimg.com/profile_images/1631068834768515072/LdDIOISa_normal.jpg")</f>
        <v>https://pbs.twimg.com/profile_images/1631068834768515072/LdDIOISa_normal.jpg</v>
      </c>
      <c r="G70" s="66"/>
      <c r="H70" s="70" t="s">
        <v>280</v>
      </c>
      <c r="I70" s="71"/>
      <c r="J70" s="71" t="s">
        <v>75</v>
      </c>
      <c r="K70" s="70" t="s">
        <v>1524</v>
      </c>
      <c r="L70" s="74">
        <v>2729.756747382341</v>
      </c>
      <c r="M70" s="75">
        <v>4463.5009765625</v>
      </c>
      <c r="N70" s="75">
        <v>2023.2197265625</v>
      </c>
      <c r="O70" s="76"/>
      <c r="P70" s="77"/>
      <c r="Q70" s="77"/>
      <c r="R70" s="90"/>
      <c r="S70" s="49">
        <v>4</v>
      </c>
      <c r="T70" s="49">
        <v>10</v>
      </c>
      <c r="U70" s="50">
        <v>2518</v>
      </c>
      <c r="V70" s="50">
        <v>0.34081400000000001</v>
      </c>
      <c r="W70" s="50">
        <v>0.111863</v>
      </c>
      <c r="X70" s="50">
        <v>1.5414000000000001E-2</v>
      </c>
      <c r="Y70" s="50">
        <v>1.1111111111111112E-2</v>
      </c>
      <c r="Z70" s="50">
        <v>0.2</v>
      </c>
      <c r="AA70" s="72">
        <v>70</v>
      </c>
      <c r="AB70" s="72"/>
      <c r="AC70" s="73"/>
      <c r="AD70" s="80" t="s">
        <v>997</v>
      </c>
      <c r="AE70" s="87" t="s">
        <v>890</v>
      </c>
      <c r="AF70" s="80">
        <v>481</v>
      </c>
      <c r="AG70" s="80">
        <v>61</v>
      </c>
      <c r="AH70" s="80">
        <v>1087</v>
      </c>
      <c r="AI70" s="80">
        <v>4</v>
      </c>
      <c r="AJ70" s="80">
        <v>538</v>
      </c>
      <c r="AK70" s="80">
        <v>118</v>
      </c>
      <c r="AL70" s="80" t="b">
        <v>0</v>
      </c>
      <c r="AM70" s="82">
        <v>44099.689525462964</v>
      </c>
      <c r="AN70" s="80"/>
      <c r="AO70" s="80" t="s">
        <v>1293</v>
      </c>
      <c r="AP70" s="85" t="str">
        <f>HYPERLINK("https://t.co/SpFvDVh1cB")</f>
        <v>https://t.co/SpFvDVh1cB</v>
      </c>
      <c r="AQ70" s="85" t="str">
        <f>HYPERLINK("https://community.aejmc.org/commissionongraduateeducation/home")</f>
        <v>https://community.aejmc.org/commissionongraduateeducation/home</v>
      </c>
      <c r="AR70" s="80" t="s">
        <v>1397</v>
      </c>
      <c r="AS70" s="80"/>
      <c r="AT70" s="80"/>
      <c r="AU70" s="80"/>
      <c r="AV70" s="80"/>
      <c r="AW70" s="85" t="str">
        <f>HYPERLINK("https://t.co/SpFvDVh1cB")</f>
        <v>https://t.co/SpFvDVh1cB</v>
      </c>
      <c r="AX70" s="80" t="b">
        <v>0</v>
      </c>
      <c r="AY70" s="80"/>
      <c r="AZ70" s="80"/>
      <c r="BA70" s="80" t="b">
        <v>0</v>
      </c>
      <c r="BB70" s="80" t="b">
        <v>1</v>
      </c>
      <c r="BC70" s="80" t="b">
        <v>1</v>
      </c>
      <c r="BD70" s="80" t="b">
        <v>0</v>
      </c>
      <c r="BE70" s="80" t="b">
        <v>0</v>
      </c>
      <c r="BF70" s="80" t="b">
        <v>0</v>
      </c>
      <c r="BG70" s="80" t="b">
        <v>0</v>
      </c>
      <c r="BH70" s="85" t="str">
        <f>HYPERLINK("https://pbs.twimg.com/profile_banners/1309530931796025348/1677711991")</f>
        <v>https://pbs.twimg.com/profile_banners/1309530931796025348/1677711991</v>
      </c>
      <c r="BI70" s="80"/>
      <c r="BJ70" s="80" t="s">
        <v>1455</v>
      </c>
      <c r="BK70" s="80" t="b">
        <v>0</v>
      </c>
      <c r="BL70" s="80"/>
      <c r="BM70" s="80" t="s">
        <v>66</v>
      </c>
      <c r="BN70" s="80" t="s">
        <v>1457</v>
      </c>
      <c r="BO70" s="85" t="str">
        <f>HYPERLINK("https://twitter.com/csgeaejmc")</f>
        <v>https://twitter.com/csgeaejmc</v>
      </c>
      <c r="BP70" s="80" t="str">
        <f>REPLACE(INDEX(GroupVertices[Group], MATCH("~"&amp;Vertices[[#This Row],[Vertex]],GroupVertices[Vertex],0)),1,1,"")</f>
        <v>4</v>
      </c>
      <c r="BQ70" s="49">
        <v>2</v>
      </c>
      <c r="BR70" s="50">
        <v>2.1276595744680851</v>
      </c>
      <c r="BS70" s="49">
        <v>1</v>
      </c>
      <c r="BT70" s="50">
        <v>1.0638297872340425</v>
      </c>
      <c r="BU70" s="49">
        <v>0</v>
      </c>
      <c r="BV70" s="50">
        <v>0</v>
      </c>
      <c r="BW70" s="49">
        <v>58</v>
      </c>
      <c r="BX70" s="50">
        <v>61.702127659574465</v>
      </c>
      <c r="BY70" s="49">
        <v>94</v>
      </c>
      <c r="BZ70" s="49" t="s">
        <v>9560</v>
      </c>
      <c r="CA70" s="49" t="s">
        <v>9560</v>
      </c>
      <c r="CB70" s="49" t="s">
        <v>502</v>
      </c>
      <c r="CC70" s="49" t="s">
        <v>502</v>
      </c>
      <c r="CD70" s="49" t="s">
        <v>490</v>
      </c>
      <c r="CE70" s="49" t="s">
        <v>490</v>
      </c>
      <c r="CF70" s="116" t="s">
        <v>9938</v>
      </c>
      <c r="CG70" s="116" t="s">
        <v>9963</v>
      </c>
      <c r="CH70" s="116" t="s">
        <v>10008</v>
      </c>
      <c r="CI70" s="116" t="s">
        <v>10008</v>
      </c>
      <c r="CJ70" s="2"/>
      <c r="CK70" s="3"/>
      <c r="CL70" s="3"/>
      <c r="CM70" s="3"/>
      <c r="CN70" s="3"/>
    </row>
    <row r="71" spans="1:92" x14ac:dyDescent="0.25">
      <c r="A71" s="65" t="s">
        <v>328</v>
      </c>
      <c r="B71" s="66"/>
      <c r="C71" s="66" t="s">
        <v>64</v>
      </c>
      <c r="D71" s="67">
        <v>100</v>
      </c>
      <c r="E71" s="69"/>
      <c r="F71" s="104" t="str">
        <f>HYPERLINK("https://pbs.twimg.com/profile_images/1148150317/DSC_0264_normal.JPG")</f>
        <v>https://pbs.twimg.com/profile_images/1148150317/DSC_0264_normal.JPG</v>
      </c>
      <c r="G71" s="66"/>
      <c r="H71" s="70" t="s">
        <v>328</v>
      </c>
      <c r="I71" s="71"/>
      <c r="J71" s="71" t="s">
        <v>159</v>
      </c>
      <c r="K71" s="70" t="s">
        <v>1525</v>
      </c>
      <c r="L71" s="74">
        <v>1</v>
      </c>
      <c r="M71" s="75">
        <v>5051.7548828125</v>
      </c>
      <c r="N71" s="75">
        <v>864.7100830078125</v>
      </c>
      <c r="O71" s="76"/>
      <c r="P71" s="77"/>
      <c r="Q71" s="77"/>
      <c r="R71" s="90"/>
      <c r="S71" s="49">
        <v>1</v>
      </c>
      <c r="T71" s="49">
        <v>0</v>
      </c>
      <c r="U71" s="50">
        <v>0</v>
      </c>
      <c r="V71" s="50">
        <v>0.24423500000000001</v>
      </c>
      <c r="W71" s="50">
        <v>1.3672E-2</v>
      </c>
      <c r="X71" s="50">
        <v>7.0650000000000001E-3</v>
      </c>
      <c r="Y71" s="50">
        <v>0</v>
      </c>
      <c r="Z71" s="50">
        <v>0</v>
      </c>
      <c r="AA71" s="72">
        <v>71</v>
      </c>
      <c r="AB71" s="72"/>
      <c r="AC71" s="73"/>
      <c r="AD71" s="80" t="s">
        <v>998</v>
      </c>
      <c r="AE71" s="87" t="s">
        <v>1107</v>
      </c>
      <c r="AF71" s="80">
        <v>293</v>
      </c>
      <c r="AG71" s="80">
        <v>320</v>
      </c>
      <c r="AH71" s="80">
        <v>1605</v>
      </c>
      <c r="AI71" s="80">
        <v>18</v>
      </c>
      <c r="AJ71" s="80">
        <v>675</v>
      </c>
      <c r="AK71" s="80">
        <v>31</v>
      </c>
      <c r="AL71" s="80" t="b">
        <v>0</v>
      </c>
      <c r="AM71" s="82">
        <v>40457.771203703705</v>
      </c>
      <c r="AN71" s="80" t="s">
        <v>1203</v>
      </c>
      <c r="AO71" s="80" t="s">
        <v>1294</v>
      </c>
      <c r="AP71" s="85" t="str">
        <f>HYPERLINK("https://t.co/sPO35byOcu")</f>
        <v>https://t.co/sPO35byOcu</v>
      </c>
      <c r="AQ71" s="85" t="str">
        <f>HYPERLINK("https://www.hood.edu/academics/faculty/alan-goldenbach")</f>
        <v>https://www.hood.edu/academics/faculty/alan-goldenbach</v>
      </c>
      <c r="AR71" s="80" t="s">
        <v>1398</v>
      </c>
      <c r="AS71" s="80"/>
      <c r="AT71" s="80"/>
      <c r="AU71" s="80"/>
      <c r="AV71" s="80"/>
      <c r="AW71" s="85" t="str">
        <f>HYPERLINK("https://t.co/sPO35byOcu")</f>
        <v>https://t.co/sPO35byOcu</v>
      </c>
      <c r="AX71" s="80" t="b">
        <v>0</v>
      </c>
      <c r="AY71" s="80"/>
      <c r="AZ71" s="80"/>
      <c r="BA71" s="80" t="b">
        <v>1</v>
      </c>
      <c r="BB71" s="80" t="b">
        <v>0</v>
      </c>
      <c r="BC71" s="80" t="b">
        <v>0</v>
      </c>
      <c r="BD71" s="80" t="b">
        <v>0</v>
      </c>
      <c r="BE71" s="80" t="b">
        <v>1</v>
      </c>
      <c r="BF71" s="80" t="b">
        <v>0</v>
      </c>
      <c r="BG71" s="80" t="b">
        <v>0</v>
      </c>
      <c r="BH71" s="85" t="str">
        <f>HYPERLINK("https://pbs.twimg.com/profile_banners/199380207/1419101011")</f>
        <v>https://pbs.twimg.com/profile_banners/199380207/1419101011</v>
      </c>
      <c r="BI71" s="80"/>
      <c r="BJ71" s="80" t="s">
        <v>1455</v>
      </c>
      <c r="BK71" s="80" t="b">
        <v>0</v>
      </c>
      <c r="BL71" s="80"/>
      <c r="BM71" s="80" t="s">
        <v>65</v>
      </c>
      <c r="BN71" s="80" t="s">
        <v>1457</v>
      </c>
      <c r="BO71" s="85" t="str">
        <f>HYPERLINK("https://twitter.com/profgoldie")</f>
        <v>https://twitter.com/profgoldie</v>
      </c>
      <c r="BP71" s="80" t="str">
        <f>REPLACE(INDEX(GroupVertices[Group], MATCH("~"&amp;Vertices[[#This Row],[Vertex]],GroupVertices[Vertex],0)),1,1,"")</f>
        <v>4</v>
      </c>
      <c r="BQ71" s="49"/>
      <c r="BR71" s="50"/>
      <c r="BS71" s="49"/>
      <c r="BT71" s="50"/>
      <c r="BU71" s="49"/>
      <c r="BV71" s="50"/>
      <c r="BW71" s="49"/>
      <c r="BX71" s="50"/>
      <c r="BY71" s="49"/>
      <c r="BZ71" s="49"/>
      <c r="CA71" s="49"/>
      <c r="CB71" s="49"/>
      <c r="CC71" s="49"/>
      <c r="CD71" s="49"/>
      <c r="CE71" s="49"/>
      <c r="CF71" s="49"/>
      <c r="CG71" s="49"/>
      <c r="CH71" s="49"/>
      <c r="CI71" s="49"/>
      <c r="CJ71" s="2"/>
      <c r="CK71" s="3"/>
      <c r="CL71" s="3"/>
      <c r="CM71" s="3"/>
      <c r="CN71" s="3"/>
    </row>
    <row r="72" spans="1:92" x14ac:dyDescent="0.25">
      <c r="A72" s="65" t="s">
        <v>329</v>
      </c>
      <c r="B72" s="66"/>
      <c r="C72" s="66" t="s">
        <v>64</v>
      </c>
      <c r="D72" s="67">
        <v>100</v>
      </c>
      <c r="E72" s="69"/>
      <c r="F72" s="104" t="str">
        <f>HYPERLINK("https://pbs.twimg.com/profile_images/1134505075777257472/kv_JXYNr_normal.jpg")</f>
        <v>https://pbs.twimg.com/profile_images/1134505075777257472/kv_JXYNr_normal.jpg</v>
      </c>
      <c r="G72" s="66"/>
      <c r="H72" s="70" t="s">
        <v>329</v>
      </c>
      <c r="I72" s="71"/>
      <c r="J72" s="71" t="s">
        <v>159</v>
      </c>
      <c r="K72" s="70" t="s">
        <v>1526</v>
      </c>
      <c r="L72" s="74">
        <v>1</v>
      </c>
      <c r="M72" s="75">
        <v>4807.6328125</v>
      </c>
      <c r="N72" s="75">
        <v>3534.484375</v>
      </c>
      <c r="O72" s="76"/>
      <c r="P72" s="77"/>
      <c r="Q72" s="77"/>
      <c r="R72" s="90"/>
      <c r="S72" s="49">
        <v>1</v>
      </c>
      <c r="T72" s="49">
        <v>0</v>
      </c>
      <c r="U72" s="50">
        <v>0</v>
      </c>
      <c r="V72" s="50">
        <v>0.24423500000000001</v>
      </c>
      <c r="W72" s="50">
        <v>1.3672E-2</v>
      </c>
      <c r="X72" s="50">
        <v>7.0650000000000001E-3</v>
      </c>
      <c r="Y72" s="50">
        <v>0</v>
      </c>
      <c r="Z72" s="50">
        <v>0</v>
      </c>
      <c r="AA72" s="72">
        <v>72</v>
      </c>
      <c r="AB72" s="72"/>
      <c r="AC72" s="73"/>
      <c r="AD72" s="80" t="s">
        <v>999</v>
      </c>
      <c r="AE72" s="87" t="s">
        <v>1108</v>
      </c>
      <c r="AF72" s="80">
        <v>3487</v>
      </c>
      <c r="AG72" s="80">
        <v>4965</v>
      </c>
      <c r="AH72" s="80">
        <v>10716</v>
      </c>
      <c r="AI72" s="80">
        <v>95</v>
      </c>
      <c r="AJ72" s="80">
        <v>14648</v>
      </c>
      <c r="AK72" s="80">
        <v>251</v>
      </c>
      <c r="AL72" s="80" t="b">
        <v>0</v>
      </c>
      <c r="AM72" s="82">
        <v>39868.664756944447</v>
      </c>
      <c r="AN72" s="80" t="s">
        <v>1204</v>
      </c>
      <c r="AO72" s="80" t="s">
        <v>1295</v>
      </c>
      <c r="AP72" s="85" t="str">
        <f>HYPERLINK("https://t.co/y81o6SDQnp")</f>
        <v>https://t.co/y81o6SDQnp</v>
      </c>
      <c r="AQ72" s="85" t="str">
        <f>HYPERLINK("http://www.belinhadeabreu.com")</f>
        <v>http://www.belinhadeabreu.com</v>
      </c>
      <c r="AR72" s="80" t="s">
        <v>1399</v>
      </c>
      <c r="AS72" s="85" t="str">
        <f>HYPERLINK("https://t.co/38h8Kz9a5W")</f>
        <v>https://t.co/38h8Kz9a5W</v>
      </c>
      <c r="AT72" s="85" t="str">
        <f>HYPERLINK("http://imlrs.net")</f>
        <v>http://imlrs.net</v>
      </c>
      <c r="AU72" s="80" t="s">
        <v>1449</v>
      </c>
      <c r="AV72" s="80"/>
      <c r="AW72" s="85" t="str">
        <f>HYPERLINK("https://t.co/y81o6SDQnp")</f>
        <v>https://t.co/y81o6SDQnp</v>
      </c>
      <c r="AX72" s="80" t="b">
        <v>0</v>
      </c>
      <c r="AY72" s="80"/>
      <c r="AZ72" s="80"/>
      <c r="BA72" s="80" t="b">
        <v>0</v>
      </c>
      <c r="BB72" s="80" t="b">
        <v>1</v>
      </c>
      <c r="BC72" s="80" t="b">
        <v>0</v>
      </c>
      <c r="BD72" s="80" t="b">
        <v>0</v>
      </c>
      <c r="BE72" s="80" t="b">
        <v>1</v>
      </c>
      <c r="BF72" s="80" t="b">
        <v>0</v>
      </c>
      <c r="BG72" s="80" t="b">
        <v>0</v>
      </c>
      <c r="BH72" s="85" t="str">
        <f>HYPERLINK("https://pbs.twimg.com/profile_banners/21765347/1655301783")</f>
        <v>https://pbs.twimg.com/profile_banners/21765347/1655301783</v>
      </c>
      <c r="BI72" s="80"/>
      <c r="BJ72" s="80" t="s">
        <v>1455</v>
      </c>
      <c r="BK72" s="80" t="b">
        <v>0</v>
      </c>
      <c r="BL72" s="80"/>
      <c r="BM72" s="80" t="s">
        <v>65</v>
      </c>
      <c r="BN72" s="80" t="s">
        <v>1457</v>
      </c>
      <c r="BO72" s="85" t="str">
        <f>HYPERLINK("https://twitter.com/belmedia")</f>
        <v>https://twitter.com/belmedia</v>
      </c>
      <c r="BP72" s="80" t="str">
        <f>REPLACE(INDEX(GroupVertices[Group], MATCH("~"&amp;Vertices[[#This Row],[Vertex]],GroupVertices[Vertex],0)),1,1,"")</f>
        <v>4</v>
      </c>
      <c r="BQ72" s="49"/>
      <c r="BR72" s="50"/>
      <c r="BS72" s="49"/>
      <c r="BT72" s="50"/>
      <c r="BU72" s="49"/>
      <c r="BV72" s="50"/>
      <c r="BW72" s="49"/>
      <c r="BX72" s="50"/>
      <c r="BY72" s="49"/>
      <c r="BZ72" s="49"/>
      <c r="CA72" s="49"/>
      <c r="CB72" s="49"/>
      <c r="CC72" s="49"/>
      <c r="CD72" s="49"/>
      <c r="CE72" s="49"/>
      <c r="CF72" s="49"/>
      <c r="CG72" s="49"/>
      <c r="CH72" s="49"/>
      <c r="CI72" s="49"/>
      <c r="CJ72" s="2"/>
      <c r="CK72" s="3"/>
      <c r="CL72" s="3"/>
      <c r="CM72" s="3"/>
      <c r="CN72" s="3"/>
    </row>
    <row r="73" spans="1:92" x14ac:dyDescent="0.25">
      <c r="A73" s="65" t="s">
        <v>330</v>
      </c>
      <c r="B73" s="66"/>
      <c r="C73" s="66" t="s">
        <v>64</v>
      </c>
      <c r="D73" s="67">
        <v>100</v>
      </c>
      <c r="E73" s="69"/>
      <c r="F73" s="104" t="str">
        <f>HYPERLINK("https://pbs.twimg.com/profile_images/1392105321548509185/wn5PHFSb_normal.jpg")</f>
        <v>https://pbs.twimg.com/profile_images/1392105321548509185/wn5PHFSb_normal.jpg</v>
      </c>
      <c r="G73" s="66"/>
      <c r="H73" s="70" t="s">
        <v>330</v>
      </c>
      <c r="I73" s="71"/>
      <c r="J73" s="71" t="s">
        <v>159</v>
      </c>
      <c r="K73" s="70" t="s">
        <v>1527</v>
      </c>
      <c r="L73" s="74">
        <v>1</v>
      </c>
      <c r="M73" s="75">
        <v>4059.852783203125</v>
      </c>
      <c r="N73" s="75">
        <v>974.68170166015625</v>
      </c>
      <c r="O73" s="76"/>
      <c r="P73" s="77"/>
      <c r="Q73" s="77"/>
      <c r="R73" s="90"/>
      <c r="S73" s="49">
        <v>1</v>
      </c>
      <c r="T73" s="49">
        <v>0</v>
      </c>
      <c r="U73" s="50">
        <v>0</v>
      </c>
      <c r="V73" s="50">
        <v>0.24423500000000001</v>
      </c>
      <c r="W73" s="50">
        <v>1.3672E-2</v>
      </c>
      <c r="X73" s="50">
        <v>7.0650000000000001E-3</v>
      </c>
      <c r="Y73" s="50">
        <v>0</v>
      </c>
      <c r="Z73" s="50">
        <v>0</v>
      </c>
      <c r="AA73" s="72">
        <v>73</v>
      </c>
      <c r="AB73" s="72"/>
      <c r="AC73" s="73"/>
      <c r="AD73" s="80" t="s">
        <v>1000</v>
      </c>
      <c r="AE73" s="87" t="s">
        <v>1109</v>
      </c>
      <c r="AF73" s="80">
        <v>859</v>
      </c>
      <c r="AG73" s="80">
        <v>1606</v>
      </c>
      <c r="AH73" s="80">
        <v>460</v>
      </c>
      <c r="AI73" s="80">
        <v>15</v>
      </c>
      <c r="AJ73" s="80">
        <v>291</v>
      </c>
      <c r="AK73" s="80">
        <v>134</v>
      </c>
      <c r="AL73" s="80" t="b">
        <v>0</v>
      </c>
      <c r="AM73" s="82">
        <v>44299.107245370367</v>
      </c>
      <c r="AN73" s="80"/>
      <c r="AO73" s="80" t="s">
        <v>1296</v>
      </c>
      <c r="AP73" s="85" t="str">
        <f>HYPERLINK("https://t.co/6osOQPXbUn")</f>
        <v>https://t.co/6osOQPXbUn</v>
      </c>
      <c r="AQ73" s="85" t="str">
        <f>HYPERLINK("https://www.ic4ml.org")</f>
        <v>https://www.ic4ml.org</v>
      </c>
      <c r="AR73" s="80" t="s">
        <v>1400</v>
      </c>
      <c r="AS73" s="80"/>
      <c r="AT73" s="80"/>
      <c r="AU73" s="80"/>
      <c r="AV73" s="80"/>
      <c r="AW73" s="85" t="str">
        <f>HYPERLINK("https://t.co/6osOQPXbUn")</f>
        <v>https://t.co/6osOQPXbUn</v>
      </c>
      <c r="AX73" s="80" t="b">
        <v>0</v>
      </c>
      <c r="AY73" s="80"/>
      <c r="AZ73" s="80"/>
      <c r="BA73" s="80" t="b">
        <v>0</v>
      </c>
      <c r="BB73" s="80" t="b">
        <v>1</v>
      </c>
      <c r="BC73" s="80" t="b">
        <v>1</v>
      </c>
      <c r="BD73" s="80" t="b">
        <v>0</v>
      </c>
      <c r="BE73" s="80" t="b">
        <v>0</v>
      </c>
      <c r="BF73" s="80" t="b">
        <v>0</v>
      </c>
      <c r="BG73" s="80" t="b">
        <v>0</v>
      </c>
      <c r="BH73" s="85" t="str">
        <f>HYPERLINK("https://pbs.twimg.com/profile_banners/1381797774707077124/1620738711")</f>
        <v>https://pbs.twimg.com/profile_banners/1381797774707077124/1620738711</v>
      </c>
      <c r="BI73" s="80"/>
      <c r="BJ73" s="80" t="s">
        <v>1455</v>
      </c>
      <c r="BK73" s="80" t="b">
        <v>0</v>
      </c>
      <c r="BL73" s="80"/>
      <c r="BM73" s="80" t="s">
        <v>65</v>
      </c>
      <c r="BN73" s="80" t="s">
        <v>1457</v>
      </c>
      <c r="BO73" s="85" t="str">
        <f>HYPERLINK("https://twitter.com/ic4ml")</f>
        <v>https://twitter.com/ic4ml</v>
      </c>
      <c r="BP73" s="80" t="str">
        <f>REPLACE(INDEX(GroupVertices[Group], MATCH("~"&amp;Vertices[[#This Row],[Vertex]],GroupVertices[Vertex],0)),1,1,"")</f>
        <v>4</v>
      </c>
      <c r="BQ73" s="49"/>
      <c r="BR73" s="50"/>
      <c r="BS73" s="49"/>
      <c r="BT73" s="50"/>
      <c r="BU73" s="49"/>
      <c r="BV73" s="50"/>
      <c r="BW73" s="49"/>
      <c r="BX73" s="50"/>
      <c r="BY73" s="49"/>
      <c r="BZ73" s="49"/>
      <c r="CA73" s="49"/>
      <c r="CB73" s="49"/>
      <c r="CC73" s="49"/>
      <c r="CD73" s="49"/>
      <c r="CE73" s="49"/>
      <c r="CF73" s="49"/>
      <c r="CG73" s="49"/>
      <c r="CH73" s="49"/>
      <c r="CI73" s="49"/>
      <c r="CJ73" s="2"/>
      <c r="CK73" s="3"/>
      <c r="CL73" s="3"/>
      <c r="CM73" s="3"/>
      <c r="CN73" s="3"/>
    </row>
    <row r="74" spans="1:92" x14ac:dyDescent="0.25">
      <c r="A74" s="65" t="s">
        <v>331</v>
      </c>
      <c r="B74" s="66"/>
      <c r="C74" s="66" t="s">
        <v>64</v>
      </c>
      <c r="D74" s="67">
        <v>100</v>
      </c>
      <c r="E74" s="69"/>
      <c r="F74" s="104" t="str">
        <f>HYPERLINK("https://pbs.twimg.com/profile_images/133684579/Portrait_2_normal.jpg")</f>
        <v>https://pbs.twimg.com/profile_images/133684579/Portrait_2_normal.jpg</v>
      </c>
      <c r="G74" s="66"/>
      <c r="H74" s="70" t="s">
        <v>331</v>
      </c>
      <c r="I74" s="71"/>
      <c r="J74" s="71" t="s">
        <v>159</v>
      </c>
      <c r="K74" s="70" t="s">
        <v>1528</v>
      </c>
      <c r="L74" s="74">
        <v>1</v>
      </c>
      <c r="M74" s="75">
        <v>4677.16845703125</v>
      </c>
      <c r="N74" s="75">
        <v>394.73178100585938</v>
      </c>
      <c r="O74" s="76"/>
      <c r="P74" s="77"/>
      <c r="Q74" s="77"/>
      <c r="R74" s="90"/>
      <c r="S74" s="49">
        <v>1</v>
      </c>
      <c r="T74" s="49">
        <v>0</v>
      </c>
      <c r="U74" s="50">
        <v>0</v>
      </c>
      <c r="V74" s="50">
        <v>0.24423500000000001</v>
      </c>
      <c r="W74" s="50">
        <v>1.3672E-2</v>
      </c>
      <c r="X74" s="50">
        <v>7.0650000000000001E-3</v>
      </c>
      <c r="Y74" s="50">
        <v>0</v>
      </c>
      <c r="Z74" s="50">
        <v>0</v>
      </c>
      <c r="AA74" s="72">
        <v>74</v>
      </c>
      <c r="AB74" s="72"/>
      <c r="AC74" s="73"/>
      <c r="AD74" s="80" t="s">
        <v>1001</v>
      </c>
      <c r="AE74" s="87" t="s">
        <v>1110</v>
      </c>
      <c r="AF74" s="80">
        <v>67</v>
      </c>
      <c r="AG74" s="80">
        <v>12</v>
      </c>
      <c r="AH74" s="80">
        <v>22</v>
      </c>
      <c r="AI74" s="80">
        <v>2</v>
      </c>
      <c r="AJ74" s="80">
        <v>1</v>
      </c>
      <c r="AK74" s="80">
        <v>0</v>
      </c>
      <c r="AL74" s="80" t="b">
        <v>0</v>
      </c>
      <c r="AM74" s="82">
        <v>39914.722708333335</v>
      </c>
      <c r="AN74" s="80" t="s">
        <v>1205</v>
      </c>
      <c r="AO74" s="80" t="s">
        <v>1297</v>
      </c>
      <c r="AP74" s="85" t="str">
        <f>HYPERLINK("http://t.co/t2DHFi6OLe")</f>
        <v>http://t.co/t2DHFi6OLe</v>
      </c>
      <c r="AQ74" s="85" t="str">
        <f>HYPERLINK("http://denielliott.com")</f>
        <v>http://denielliott.com</v>
      </c>
      <c r="AR74" s="80" t="s">
        <v>1401</v>
      </c>
      <c r="AS74" s="80"/>
      <c r="AT74" s="80"/>
      <c r="AU74" s="80"/>
      <c r="AV74" s="80"/>
      <c r="AW74" s="85" t="str">
        <f>HYPERLINK("http://t.co/t2DHFi6OLe")</f>
        <v>http://t.co/t2DHFi6OLe</v>
      </c>
      <c r="AX74" s="80" t="b">
        <v>0</v>
      </c>
      <c r="AY74" s="80"/>
      <c r="AZ74" s="80"/>
      <c r="BA74" s="80" t="b">
        <v>1</v>
      </c>
      <c r="BB74" s="80" t="b">
        <v>1</v>
      </c>
      <c r="BC74" s="80" t="b">
        <v>0</v>
      </c>
      <c r="BD74" s="80" t="b">
        <v>0</v>
      </c>
      <c r="BE74" s="80" t="b">
        <v>0</v>
      </c>
      <c r="BF74" s="80" t="b">
        <v>0</v>
      </c>
      <c r="BG74" s="80" t="b">
        <v>0</v>
      </c>
      <c r="BH74" s="80"/>
      <c r="BI74" s="80"/>
      <c r="BJ74" s="80" t="s">
        <v>1455</v>
      </c>
      <c r="BK74" s="80" t="b">
        <v>0</v>
      </c>
      <c r="BL74" s="80"/>
      <c r="BM74" s="80" t="s">
        <v>65</v>
      </c>
      <c r="BN74" s="80" t="s">
        <v>1457</v>
      </c>
      <c r="BO74" s="85" t="str">
        <f>HYPERLINK("https://twitter.com/denielliott")</f>
        <v>https://twitter.com/denielliott</v>
      </c>
      <c r="BP74" s="80" t="str">
        <f>REPLACE(INDEX(GroupVertices[Group], MATCH("~"&amp;Vertices[[#This Row],[Vertex]],GroupVertices[Vertex],0)),1,1,"")</f>
        <v>4</v>
      </c>
      <c r="BQ74" s="49"/>
      <c r="BR74" s="50"/>
      <c r="BS74" s="49"/>
      <c r="BT74" s="50"/>
      <c r="BU74" s="49"/>
      <c r="BV74" s="50"/>
      <c r="BW74" s="49"/>
      <c r="BX74" s="50"/>
      <c r="BY74" s="49"/>
      <c r="BZ74" s="49"/>
      <c r="CA74" s="49"/>
      <c r="CB74" s="49"/>
      <c r="CC74" s="49"/>
      <c r="CD74" s="49"/>
      <c r="CE74" s="49"/>
      <c r="CF74" s="49"/>
      <c r="CG74" s="49"/>
      <c r="CH74" s="49"/>
      <c r="CI74" s="49"/>
      <c r="CJ74" s="2"/>
      <c r="CK74" s="3"/>
      <c r="CL74" s="3"/>
      <c r="CM74" s="3"/>
      <c r="CN74" s="3"/>
    </row>
    <row r="75" spans="1:92" x14ac:dyDescent="0.25">
      <c r="A75" s="65" t="s">
        <v>332</v>
      </c>
      <c r="B75" s="66"/>
      <c r="C75" s="66" t="s">
        <v>64</v>
      </c>
      <c r="D75" s="67">
        <v>100</v>
      </c>
      <c r="E75" s="69"/>
      <c r="F75" s="104" t="str">
        <f>HYPERLINK("https://pbs.twimg.com/profile_images/1468053085494951940/p1lez46x_normal.jpg")</f>
        <v>https://pbs.twimg.com/profile_images/1468053085494951940/p1lez46x_normal.jpg</v>
      </c>
      <c r="G75" s="66"/>
      <c r="H75" s="70" t="s">
        <v>332</v>
      </c>
      <c r="I75" s="71"/>
      <c r="J75" s="71" t="s">
        <v>159</v>
      </c>
      <c r="K75" s="70" t="s">
        <v>1529</v>
      </c>
      <c r="L75" s="74">
        <v>1</v>
      </c>
      <c r="M75" s="75">
        <v>5234.40380859375</v>
      </c>
      <c r="N75" s="75">
        <v>3107.5546875</v>
      </c>
      <c r="O75" s="76"/>
      <c r="P75" s="77"/>
      <c r="Q75" s="77"/>
      <c r="R75" s="90"/>
      <c r="S75" s="49">
        <v>1</v>
      </c>
      <c r="T75" s="49">
        <v>0</v>
      </c>
      <c r="U75" s="50">
        <v>0</v>
      </c>
      <c r="V75" s="50">
        <v>0.24423500000000001</v>
      </c>
      <c r="W75" s="50">
        <v>1.3672E-2</v>
      </c>
      <c r="X75" s="50">
        <v>7.0650000000000001E-3</v>
      </c>
      <c r="Y75" s="50">
        <v>0</v>
      </c>
      <c r="Z75" s="50">
        <v>0</v>
      </c>
      <c r="AA75" s="72">
        <v>75</v>
      </c>
      <c r="AB75" s="72"/>
      <c r="AC75" s="73"/>
      <c r="AD75" s="80" t="s">
        <v>1002</v>
      </c>
      <c r="AE75" s="87" t="s">
        <v>1111</v>
      </c>
      <c r="AF75" s="80">
        <v>742</v>
      </c>
      <c r="AG75" s="80">
        <v>425</v>
      </c>
      <c r="AH75" s="80">
        <v>2033</v>
      </c>
      <c r="AI75" s="80">
        <v>7</v>
      </c>
      <c r="AJ75" s="80">
        <v>8160</v>
      </c>
      <c r="AK75" s="80">
        <v>158</v>
      </c>
      <c r="AL75" s="80" t="b">
        <v>0</v>
      </c>
      <c r="AM75" s="82">
        <v>41661.009664351855</v>
      </c>
      <c r="AN75" s="80"/>
      <c r="AO75" s="80" t="s">
        <v>1298</v>
      </c>
      <c r="AP75" s="85" t="str">
        <f>HYPERLINK("https://t.co/4SD7A7nDVS")</f>
        <v>https://t.co/4SD7A7nDVS</v>
      </c>
      <c r="AQ75" s="85" t="str">
        <f>HYPERLINK("http://alexisromerowalker.com")</f>
        <v>http://alexisromerowalker.com</v>
      </c>
      <c r="AR75" s="80" t="s">
        <v>1402</v>
      </c>
      <c r="AS75" s="80"/>
      <c r="AT75" s="80"/>
      <c r="AU75" s="80"/>
      <c r="AV75" s="80">
        <v>1.7041565198796401E+18</v>
      </c>
      <c r="AW75" s="85" t="str">
        <f>HYPERLINK("https://t.co/4SD7A7nDVS")</f>
        <v>https://t.co/4SD7A7nDVS</v>
      </c>
      <c r="AX75" s="80" t="b">
        <v>0</v>
      </c>
      <c r="AY75" s="80"/>
      <c r="AZ75" s="80"/>
      <c r="BA75" s="80" t="b">
        <v>0</v>
      </c>
      <c r="BB75" s="80" t="b">
        <v>0</v>
      </c>
      <c r="BC75" s="80" t="b">
        <v>1</v>
      </c>
      <c r="BD75" s="80" t="b">
        <v>0</v>
      </c>
      <c r="BE75" s="80" t="b">
        <v>1</v>
      </c>
      <c r="BF75" s="80" t="b">
        <v>0</v>
      </c>
      <c r="BG75" s="80" t="b">
        <v>0</v>
      </c>
      <c r="BH75" s="85" t="str">
        <f>HYPERLINK("https://pbs.twimg.com/profile_banners/2303902250/1677080975")</f>
        <v>https://pbs.twimg.com/profile_banners/2303902250/1677080975</v>
      </c>
      <c r="BI75" s="80"/>
      <c r="BJ75" s="80" t="s">
        <v>1455</v>
      </c>
      <c r="BK75" s="80" t="b">
        <v>0</v>
      </c>
      <c r="BL75" s="80"/>
      <c r="BM75" s="80" t="s">
        <v>65</v>
      </c>
      <c r="BN75" s="80" t="s">
        <v>1457</v>
      </c>
      <c r="BO75" s="85" t="str">
        <f>HYPERLINK("https://twitter.com/alexisromwalker")</f>
        <v>https://twitter.com/alexisromwalker</v>
      </c>
      <c r="BP75" s="80" t="str">
        <f>REPLACE(INDEX(GroupVertices[Group], MATCH("~"&amp;Vertices[[#This Row],[Vertex]],GroupVertices[Vertex],0)),1,1,"")</f>
        <v>4</v>
      </c>
      <c r="BQ75" s="49"/>
      <c r="BR75" s="50"/>
      <c r="BS75" s="49"/>
      <c r="BT75" s="50"/>
      <c r="BU75" s="49"/>
      <c r="BV75" s="50"/>
      <c r="BW75" s="49"/>
      <c r="BX75" s="50"/>
      <c r="BY75" s="49"/>
      <c r="BZ75" s="49"/>
      <c r="CA75" s="49"/>
      <c r="CB75" s="49"/>
      <c r="CC75" s="49"/>
      <c r="CD75" s="49"/>
      <c r="CE75" s="49"/>
      <c r="CF75" s="49"/>
      <c r="CG75" s="49"/>
      <c r="CH75" s="49"/>
      <c r="CI75" s="49"/>
      <c r="CJ75" s="2"/>
      <c r="CK75" s="3"/>
      <c r="CL75" s="3"/>
      <c r="CM75" s="3"/>
      <c r="CN75" s="3"/>
    </row>
    <row r="76" spans="1:92" x14ac:dyDescent="0.25">
      <c r="A76" s="65" t="s">
        <v>333</v>
      </c>
      <c r="B76" s="66"/>
      <c r="C76" s="66" t="s">
        <v>64</v>
      </c>
      <c r="D76" s="67">
        <v>100</v>
      </c>
      <c r="E76" s="69"/>
      <c r="F76" s="104" t="str">
        <f>HYPERLINK("https://pbs.twimg.com/profile_images/1647677037384007686/6R2_lO1Q_normal.jpg")</f>
        <v>https://pbs.twimg.com/profile_images/1647677037384007686/6R2_lO1Q_normal.jpg</v>
      </c>
      <c r="G76" s="66"/>
      <c r="H76" s="70" t="s">
        <v>333</v>
      </c>
      <c r="I76" s="71"/>
      <c r="J76" s="71" t="s">
        <v>159</v>
      </c>
      <c r="K76" s="70" t="s">
        <v>1530</v>
      </c>
      <c r="L76" s="74">
        <v>1</v>
      </c>
      <c r="M76" s="75">
        <v>4933.69970703125</v>
      </c>
      <c r="N76" s="75">
        <v>2320.283203125</v>
      </c>
      <c r="O76" s="76"/>
      <c r="P76" s="77"/>
      <c r="Q76" s="77"/>
      <c r="R76" s="90"/>
      <c r="S76" s="49">
        <v>1</v>
      </c>
      <c r="T76" s="49">
        <v>0</v>
      </c>
      <c r="U76" s="50">
        <v>0</v>
      </c>
      <c r="V76" s="50">
        <v>0.24423500000000001</v>
      </c>
      <c r="W76" s="50">
        <v>1.3672E-2</v>
      </c>
      <c r="X76" s="50">
        <v>7.0650000000000001E-3</v>
      </c>
      <c r="Y76" s="50">
        <v>0</v>
      </c>
      <c r="Z76" s="50">
        <v>0</v>
      </c>
      <c r="AA76" s="72">
        <v>76</v>
      </c>
      <c r="AB76" s="72"/>
      <c r="AC76" s="73"/>
      <c r="AD76" s="80" t="s">
        <v>1003</v>
      </c>
      <c r="AE76" s="87" t="s">
        <v>1112</v>
      </c>
      <c r="AF76" s="80">
        <v>1511</v>
      </c>
      <c r="AG76" s="80">
        <v>310</v>
      </c>
      <c r="AH76" s="80">
        <v>12720</v>
      </c>
      <c r="AI76" s="80">
        <v>60</v>
      </c>
      <c r="AJ76" s="80">
        <v>3135</v>
      </c>
      <c r="AK76" s="80">
        <v>660</v>
      </c>
      <c r="AL76" s="80" t="b">
        <v>0</v>
      </c>
      <c r="AM76" s="82">
        <v>39800.173506944448</v>
      </c>
      <c r="AN76" s="80" t="s">
        <v>1206</v>
      </c>
      <c r="AO76" s="80" t="s">
        <v>1299</v>
      </c>
      <c r="AP76" s="85" t="str">
        <f>HYPERLINK("https://t.co/cGOXL56qZI")</f>
        <v>https://t.co/cGOXL56qZI</v>
      </c>
      <c r="AQ76" s="85" t="str">
        <f>HYPERLINK("https://prjohnson.org/")</f>
        <v>https://prjohnson.org/</v>
      </c>
      <c r="AR76" s="80" t="s">
        <v>1403</v>
      </c>
      <c r="AS76" s="80"/>
      <c r="AT76" s="80"/>
      <c r="AU76" s="80"/>
      <c r="AV76" s="80"/>
      <c r="AW76" s="85" t="str">
        <f>HYPERLINK("https://t.co/cGOXL56qZI")</f>
        <v>https://t.co/cGOXL56qZI</v>
      </c>
      <c r="AX76" s="80" t="b">
        <v>0</v>
      </c>
      <c r="AY76" s="80"/>
      <c r="AZ76" s="80"/>
      <c r="BA76" s="80" t="b">
        <v>1</v>
      </c>
      <c r="BB76" s="80" t="b">
        <v>0</v>
      </c>
      <c r="BC76" s="80" t="b">
        <v>0</v>
      </c>
      <c r="BD76" s="80" t="b">
        <v>0</v>
      </c>
      <c r="BE76" s="80" t="b">
        <v>1</v>
      </c>
      <c r="BF76" s="80" t="b">
        <v>0</v>
      </c>
      <c r="BG76" s="80" t="b">
        <v>0</v>
      </c>
      <c r="BH76" s="85" t="str">
        <f>HYPERLINK("https://pbs.twimg.com/profile_banners/18208497/1619448924")</f>
        <v>https://pbs.twimg.com/profile_banners/18208497/1619448924</v>
      </c>
      <c r="BI76" s="80"/>
      <c r="BJ76" s="80" t="s">
        <v>1455</v>
      </c>
      <c r="BK76" s="80" t="b">
        <v>0</v>
      </c>
      <c r="BL76" s="80"/>
      <c r="BM76" s="80" t="s">
        <v>65</v>
      </c>
      <c r="BN76" s="80" t="s">
        <v>1457</v>
      </c>
      <c r="BO76" s="85" t="str">
        <f>HYPERLINK("https://twitter.com/pr_johnson")</f>
        <v>https://twitter.com/pr_johnson</v>
      </c>
      <c r="BP76" s="80" t="str">
        <f>REPLACE(INDEX(GroupVertices[Group], MATCH("~"&amp;Vertices[[#This Row],[Vertex]],GroupVertices[Vertex],0)),1,1,"")</f>
        <v>4</v>
      </c>
      <c r="BQ76" s="49"/>
      <c r="BR76" s="50"/>
      <c r="BS76" s="49"/>
      <c r="BT76" s="50"/>
      <c r="BU76" s="49"/>
      <c r="BV76" s="50"/>
      <c r="BW76" s="49"/>
      <c r="BX76" s="50"/>
      <c r="BY76" s="49"/>
      <c r="BZ76" s="49"/>
      <c r="CA76" s="49"/>
      <c r="CB76" s="49"/>
      <c r="CC76" s="49"/>
      <c r="CD76" s="49"/>
      <c r="CE76" s="49"/>
      <c r="CF76" s="49"/>
      <c r="CG76" s="49"/>
      <c r="CH76" s="49"/>
      <c r="CI76" s="49"/>
      <c r="CJ76" s="2"/>
      <c r="CK76" s="3"/>
      <c r="CL76" s="3"/>
      <c r="CM76" s="3"/>
      <c r="CN76" s="3"/>
    </row>
    <row r="77" spans="1:92" x14ac:dyDescent="0.25">
      <c r="A77" s="65" t="s">
        <v>334</v>
      </c>
      <c r="B77" s="66"/>
      <c r="C77" s="66" t="s">
        <v>64</v>
      </c>
      <c r="D77" s="67">
        <v>100</v>
      </c>
      <c r="E77" s="69"/>
      <c r="F77" s="104" t="str">
        <f>HYPERLINK("https://pbs.twimg.com/profile_images/1023961702436679680/9vTgEQvZ_normal.jpg")</f>
        <v>https://pbs.twimg.com/profile_images/1023961702436679680/9vTgEQvZ_normal.jpg</v>
      </c>
      <c r="G77" s="66"/>
      <c r="H77" s="70" t="s">
        <v>334</v>
      </c>
      <c r="I77" s="71"/>
      <c r="J77" s="71" t="s">
        <v>159</v>
      </c>
      <c r="K77" s="70" t="s">
        <v>1531</v>
      </c>
      <c r="L77" s="74">
        <v>1</v>
      </c>
      <c r="M77" s="75">
        <v>5327.3359375</v>
      </c>
      <c r="N77" s="75">
        <v>1758.8385009765625</v>
      </c>
      <c r="O77" s="76"/>
      <c r="P77" s="77"/>
      <c r="Q77" s="77"/>
      <c r="R77" s="90"/>
      <c r="S77" s="49">
        <v>1</v>
      </c>
      <c r="T77" s="49">
        <v>0</v>
      </c>
      <c r="U77" s="50">
        <v>0</v>
      </c>
      <c r="V77" s="50">
        <v>0.24423500000000001</v>
      </c>
      <c r="W77" s="50">
        <v>1.3672E-2</v>
      </c>
      <c r="X77" s="50">
        <v>7.0650000000000001E-3</v>
      </c>
      <c r="Y77" s="50">
        <v>0</v>
      </c>
      <c r="Z77" s="50">
        <v>0</v>
      </c>
      <c r="AA77" s="72">
        <v>77</v>
      </c>
      <c r="AB77" s="72"/>
      <c r="AC77" s="73"/>
      <c r="AD77" s="80" t="s">
        <v>1004</v>
      </c>
      <c r="AE77" s="87" t="s">
        <v>1113</v>
      </c>
      <c r="AF77" s="80">
        <v>498</v>
      </c>
      <c r="AG77" s="80">
        <v>60</v>
      </c>
      <c r="AH77" s="80">
        <v>1267</v>
      </c>
      <c r="AI77" s="80">
        <v>12</v>
      </c>
      <c r="AJ77" s="80">
        <v>238</v>
      </c>
      <c r="AK77" s="80">
        <v>137</v>
      </c>
      <c r="AL77" s="80" t="b">
        <v>0</v>
      </c>
      <c r="AM77" s="82">
        <v>43311.623599537037</v>
      </c>
      <c r="AN77" s="80"/>
      <c r="AO77" s="80" t="s">
        <v>1300</v>
      </c>
      <c r="AP77" s="85" t="str">
        <f>HYPERLINK("https://t.co/XLX1w3khcV")</f>
        <v>https://t.co/XLX1w3khcV</v>
      </c>
      <c r="AQ77" s="85" t="str">
        <f>HYPERLINK("http://medaej.weebly.com/")</f>
        <v>http://medaej.weebly.com/</v>
      </c>
      <c r="AR77" s="80" t="s">
        <v>1404</v>
      </c>
      <c r="AS77" s="80"/>
      <c r="AT77" s="80"/>
      <c r="AU77" s="80"/>
      <c r="AV77" s="80"/>
      <c r="AW77" s="85" t="str">
        <f>HYPERLINK("https://t.co/XLX1w3khcV")</f>
        <v>https://t.co/XLX1w3khcV</v>
      </c>
      <c r="AX77" s="80" t="b">
        <v>0</v>
      </c>
      <c r="AY77" s="80"/>
      <c r="AZ77" s="80"/>
      <c r="BA77" s="80" t="b">
        <v>0</v>
      </c>
      <c r="BB77" s="80" t="b">
        <v>1</v>
      </c>
      <c r="BC77" s="80" t="b">
        <v>0</v>
      </c>
      <c r="BD77" s="80" t="b">
        <v>0</v>
      </c>
      <c r="BE77" s="80" t="b">
        <v>0</v>
      </c>
      <c r="BF77" s="80" t="b">
        <v>0</v>
      </c>
      <c r="BG77" s="80" t="b">
        <v>0</v>
      </c>
      <c r="BH77" s="85" t="str">
        <f>HYPERLINK("https://pbs.twimg.com/profile_banners/1023945806850805760/1532969378")</f>
        <v>https://pbs.twimg.com/profile_banners/1023945806850805760/1532969378</v>
      </c>
      <c r="BI77" s="80"/>
      <c r="BJ77" s="80" t="s">
        <v>1455</v>
      </c>
      <c r="BK77" s="80" t="b">
        <v>0</v>
      </c>
      <c r="BL77" s="80"/>
      <c r="BM77" s="80" t="s">
        <v>65</v>
      </c>
      <c r="BN77" s="80" t="s">
        <v>1457</v>
      </c>
      <c r="BO77" s="85" t="str">
        <f>HYPERLINK("https://twitter.com/aejmcethics")</f>
        <v>https://twitter.com/aejmcethics</v>
      </c>
      <c r="BP77" s="80" t="str">
        <f>REPLACE(INDEX(GroupVertices[Group], MATCH("~"&amp;Vertices[[#This Row],[Vertex]],GroupVertices[Vertex],0)),1,1,"")</f>
        <v>4</v>
      </c>
      <c r="BQ77" s="49"/>
      <c r="BR77" s="50"/>
      <c r="BS77" s="49"/>
      <c r="BT77" s="50"/>
      <c r="BU77" s="49"/>
      <c r="BV77" s="50"/>
      <c r="BW77" s="49"/>
      <c r="BX77" s="50"/>
      <c r="BY77" s="49"/>
      <c r="BZ77" s="49"/>
      <c r="CA77" s="49"/>
      <c r="CB77" s="49"/>
      <c r="CC77" s="49"/>
      <c r="CD77" s="49"/>
      <c r="CE77" s="49"/>
      <c r="CF77" s="49"/>
      <c r="CG77" s="49"/>
      <c r="CH77" s="49"/>
      <c r="CI77" s="49"/>
      <c r="CJ77" s="2"/>
      <c r="CK77" s="3"/>
      <c r="CL77" s="3"/>
      <c r="CM77" s="3"/>
      <c r="CN77" s="3"/>
    </row>
    <row r="78" spans="1:92" x14ac:dyDescent="0.25">
      <c r="A78" s="65" t="s">
        <v>281</v>
      </c>
      <c r="B78" s="66"/>
      <c r="C78" s="66" t="s">
        <v>64</v>
      </c>
      <c r="D78" s="67">
        <v>382.0359479411764</v>
      </c>
      <c r="E78" s="69"/>
      <c r="F78" s="104" t="str">
        <f>HYPERLINK("https://pbs.twimg.com/profile_images/1411054146111873024/g2JD9Gqs_normal.jpg")</f>
        <v>https://pbs.twimg.com/profile_images/1411054146111873024/g2JD9Gqs_normal.jpg</v>
      </c>
      <c r="G78" s="66"/>
      <c r="H78" s="70" t="s">
        <v>281</v>
      </c>
      <c r="I78" s="71"/>
      <c r="J78" s="71" t="s">
        <v>75</v>
      </c>
      <c r="K78" s="70" t="s">
        <v>1532</v>
      </c>
      <c r="L78" s="74">
        <v>446.36460108239936</v>
      </c>
      <c r="M78" s="75">
        <v>6376.58935546875</v>
      </c>
      <c r="N78" s="75">
        <v>7181.6494140625</v>
      </c>
      <c r="O78" s="76"/>
      <c r="P78" s="77"/>
      <c r="Q78" s="77"/>
      <c r="R78" s="90"/>
      <c r="S78" s="49">
        <v>2</v>
      </c>
      <c r="T78" s="49">
        <v>7</v>
      </c>
      <c r="U78" s="50">
        <v>410.96666699999997</v>
      </c>
      <c r="V78" s="50">
        <v>0.33321200000000001</v>
      </c>
      <c r="W78" s="50">
        <v>0.14629800000000001</v>
      </c>
      <c r="X78" s="50">
        <v>9.9069999999999991E-3</v>
      </c>
      <c r="Y78" s="50">
        <v>0.16666666666666666</v>
      </c>
      <c r="Z78" s="50">
        <v>0.2857142857142857</v>
      </c>
      <c r="AA78" s="72">
        <v>78</v>
      </c>
      <c r="AB78" s="72"/>
      <c r="AC78" s="73"/>
      <c r="AD78" s="80" t="s">
        <v>1005</v>
      </c>
      <c r="AE78" s="87" t="s">
        <v>1114</v>
      </c>
      <c r="AF78" s="80">
        <v>2640</v>
      </c>
      <c r="AG78" s="80">
        <v>2534</v>
      </c>
      <c r="AH78" s="80">
        <v>5853</v>
      </c>
      <c r="AI78" s="80">
        <v>43</v>
      </c>
      <c r="AJ78" s="80">
        <v>9028</v>
      </c>
      <c r="AK78" s="80">
        <v>399</v>
      </c>
      <c r="AL78" s="80" t="b">
        <v>0</v>
      </c>
      <c r="AM78" s="82">
        <v>39829.545034722221</v>
      </c>
      <c r="AN78" s="80"/>
      <c r="AO78" s="80" t="s">
        <v>1301</v>
      </c>
      <c r="AP78" s="85" t="str">
        <f>HYPERLINK("https://t.co/UW6HzKvPSh")</f>
        <v>https://t.co/UW6HzKvPSh</v>
      </c>
      <c r="AQ78" s="85" t="str">
        <f>HYPERLINK("http://gregperreault.com")</f>
        <v>http://gregperreault.com</v>
      </c>
      <c r="AR78" s="80" t="s">
        <v>1405</v>
      </c>
      <c r="AS78" s="80"/>
      <c r="AT78" s="80"/>
      <c r="AU78" s="80"/>
      <c r="AV78" s="80">
        <v>1.7009856822427699E+18</v>
      </c>
      <c r="AW78" s="85" t="str">
        <f>HYPERLINK("https://t.co/UW6HzKvPSh")</f>
        <v>https://t.co/UW6HzKvPSh</v>
      </c>
      <c r="AX78" s="80" t="b">
        <v>0</v>
      </c>
      <c r="AY78" s="80"/>
      <c r="AZ78" s="80"/>
      <c r="BA78" s="80" t="b">
        <v>0</v>
      </c>
      <c r="BB78" s="80" t="b">
        <v>0</v>
      </c>
      <c r="BC78" s="80" t="b">
        <v>0</v>
      </c>
      <c r="BD78" s="80" t="b">
        <v>0</v>
      </c>
      <c r="BE78" s="80" t="b">
        <v>1</v>
      </c>
      <c r="BF78" s="80" t="b">
        <v>0</v>
      </c>
      <c r="BG78" s="80" t="b">
        <v>0</v>
      </c>
      <c r="BH78" s="85" t="str">
        <f>HYPERLINK("https://pbs.twimg.com/profile_banners/19065198/1676834887")</f>
        <v>https://pbs.twimg.com/profile_banners/19065198/1676834887</v>
      </c>
      <c r="BI78" s="80"/>
      <c r="BJ78" s="80" t="s">
        <v>1455</v>
      </c>
      <c r="BK78" s="80" t="b">
        <v>0</v>
      </c>
      <c r="BL78" s="80"/>
      <c r="BM78" s="80" t="s">
        <v>66</v>
      </c>
      <c r="BN78" s="80" t="s">
        <v>1457</v>
      </c>
      <c r="BO78" s="85" t="str">
        <f>HYPERLINK("https://twitter.com/gregperreault")</f>
        <v>https://twitter.com/gregperreault</v>
      </c>
      <c r="BP78" s="80" t="str">
        <f>REPLACE(INDEX(GroupVertices[Group], MATCH("~"&amp;Vertices[[#This Row],[Vertex]],GroupVertices[Vertex],0)),1,1,"")</f>
        <v>6</v>
      </c>
      <c r="BQ78" s="49">
        <v>6</v>
      </c>
      <c r="BR78" s="50">
        <v>4.7619047619047619</v>
      </c>
      <c r="BS78" s="49">
        <v>0</v>
      </c>
      <c r="BT78" s="50">
        <v>0</v>
      </c>
      <c r="BU78" s="49">
        <v>0</v>
      </c>
      <c r="BV78" s="50">
        <v>0</v>
      </c>
      <c r="BW78" s="49">
        <v>68</v>
      </c>
      <c r="BX78" s="50">
        <v>53.968253968253968</v>
      </c>
      <c r="BY78" s="49">
        <v>126</v>
      </c>
      <c r="BZ78" s="49" t="s">
        <v>9595</v>
      </c>
      <c r="CA78" s="49" t="s">
        <v>9595</v>
      </c>
      <c r="CB78" s="49" t="s">
        <v>506</v>
      </c>
      <c r="CC78" s="49" t="s">
        <v>506</v>
      </c>
      <c r="CD78" s="49" t="s">
        <v>9884</v>
      </c>
      <c r="CE78" s="49" t="s">
        <v>9891</v>
      </c>
      <c r="CF78" s="116" t="s">
        <v>9939</v>
      </c>
      <c r="CG78" s="116" t="s">
        <v>9939</v>
      </c>
      <c r="CH78" s="116" t="s">
        <v>10009</v>
      </c>
      <c r="CI78" s="116" t="s">
        <v>10027</v>
      </c>
      <c r="CJ78" s="2"/>
      <c r="CK78" s="3"/>
      <c r="CL78" s="3"/>
      <c r="CM78" s="3"/>
      <c r="CN78" s="3"/>
    </row>
    <row r="79" spans="1:92" x14ac:dyDescent="0.25">
      <c r="A79" s="65" t="s">
        <v>335</v>
      </c>
      <c r="B79" s="66"/>
      <c r="C79" s="66" t="s">
        <v>64</v>
      </c>
      <c r="D79" s="67">
        <v>100</v>
      </c>
      <c r="E79" s="69"/>
      <c r="F79" s="104" t="str">
        <f>HYPERLINK("https://pbs.twimg.com/profile_images/1583854043511853059/yivZ-MJF_normal.jpg")</f>
        <v>https://pbs.twimg.com/profile_images/1583854043511853059/yivZ-MJF_normal.jpg</v>
      </c>
      <c r="G79" s="66"/>
      <c r="H79" s="70" t="s">
        <v>335</v>
      </c>
      <c r="I79" s="71"/>
      <c r="J79" s="71" t="s">
        <v>159</v>
      </c>
      <c r="K79" s="70" t="s">
        <v>1533</v>
      </c>
      <c r="L79" s="74">
        <v>1</v>
      </c>
      <c r="M79" s="75">
        <v>5463.9345703125</v>
      </c>
      <c r="N79" s="75">
        <v>7115.150390625</v>
      </c>
      <c r="O79" s="76"/>
      <c r="P79" s="77"/>
      <c r="Q79" s="77"/>
      <c r="R79" s="90"/>
      <c r="S79" s="49">
        <v>1</v>
      </c>
      <c r="T79" s="49">
        <v>0</v>
      </c>
      <c r="U79" s="50">
        <v>0</v>
      </c>
      <c r="V79" s="50">
        <v>0.24030599999999999</v>
      </c>
      <c r="W79" s="50">
        <v>1.7881000000000001E-2</v>
      </c>
      <c r="X79" s="50">
        <v>7.0670000000000004E-3</v>
      </c>
      <c r="Y79" s="50">
        <v>0</v>
      </c>
      <c r="Z79" s="50">
        <v>0</v>
      </c>
      <c r="AA79" s="72">
        <v>79</v>
      </c>
      <c r="AB79" s="72"/>
      <c r="AC79" s="73"/>
      <c r="AD79" s="80" t="s">
        <v>1006</v>
      </c>
      <c r="AE79" s="87" t="s">
        <v>1115</v>
      </c>
      <c r="AF79" s="80">
        <v>196</v>
      </c>
      <c r="AG79" s="80">
        <v>81</v>
      </c>
      <c r="AH79" s="80">
        <v>403</v>
      </c>
      <c r="AI79" s="80">
        <v>1</v>
      </c>
      <c r="AJ79" s="80">
        <v>636</v>
      </c>
      <c r="AK79" s="80">
        <v>261</v>
      </c>
      <c r="AL79" s="80" t="b">
        <v>0</v>
      </c>
      <c r="AM79" s="82">
        <v>43256.798020833332</v>
      </c>
      <c r="AN79" s="80" t="s">
        <v>1207</v>
      </c>
      <c r="AO79" s="80" t="s">
        <v>1302</v>
      </c>
      <c r="AP79" s="85" t="str">
        <f>HYPERLINK("https://t.co/ngUZ8qcGqz")</f>
        <v>https://t.co/ngUZ8qcGqz</v>
      </c>
      <c r="AQ79" s="85" t="str">
        <f>HYPERLINK("http://communication.appstate.edu")</f>
        <v>http://communication.appstate.edu</v>
      </c>
      <c r="AR79" s="80" t="s">
        <v>1406</v>
      </c>
      <c r="AS79" s="80"/>
      <c r="AT79" s="80"/>
      <c r="AU79" s="80"/>
      <c r="AV79" s="80"/>
      <c r="AW79" s="85" t="str">
        <f>HYPERLINK("https://t.co/ngUZ8qcGqz")</f>
        <v>https://t.co/ngUZ8qcGqz</v>
      </c>
      <c r="AX79" s="80" t="b">
        <v>0</v>
      </c>
      <c r="AY79" s="80"/>
      <c r="AZ79" s="80"/>
      <c r="BA79" s="80" t="b">
        <v>0</v>
      </c>
      <c r="BB79" s="80" t="b">
        <v>1</v>
      </c>
      <c r="BC79" s="80" t="b">
        <v>1</v>
      </c>
      <c r="BD79" s="80" t="b">
        <v>0</v>
      </c>
      <c r="BE79" s="80" t="b">
        <v>0</v>
      </c>
      <c r="BF79" s="80" t="b">
        <v>0</v>
      </c>
      <c r="BG79" s="80" t="b">
        <v>0</v>
      </c>
      <c r="BH79" s="85" t="str">
        <f>HYPERLINK("https://pbs.twimg.com/profile_banners/1004077682605346816/1692472210")</f>
        <v>https://pbs.twimg.com/profile_banners/1004077682605346816/1692472210</v>
      </c>
      <c r="BI79" s="80"/>
      <c r="BJ79" s="80" t="s">
        <v>1455</v>
      </c>
      <c r="BK79" s="80" t="b">
        <v>0</v>
      </c>
      <c r="BL79" s="80"/>
      <c r="BM79" s="80" t="s">
        <v>65</v>
      </c>
      <c r="BN79" s="80" t="s">
        <v>1457</v>
      </c>
      <c r="BO79" s="85" t="str">
        <f>HYPERLINK("https://twitter.com/appstatecomdept")</f>
        <v>https://twitter.com/appstatecomdept</v>
      </c>
      <c r="BP79" s="80" t="str">
        <f>REPLACE(INDEX(GroupVertices[Group], MATCH("~"&amp;Vertices[[#This Row],[Vertex]],GroupVertices[Vertex],0)),1,1,"")</f>
        <v>6</v>
      </c>
      <c r="BQ79" s="49"/>
      <c r="BR79" s="50"/>
      <c r="BS79" s="49"/>
      <c r="BT79" s="50"/>
      <c r="BU79" s="49"/>
      <c r="BV79" s="50"/>
      <c r="BW79" s="49"/>
      <c r="BX79" s="50"/>
      <c r="BY79" s="49"/>
      <c r="BZ79" s="49"/>
      <c r="CA79" s="49"/>
      <c r="CB79" s="49"/>
      <c r="CC79" s="49"/>
      <c r="CD79" s="49"/>
      <c r="CE79" s="49"/>
      <c r="CF79" s="49"/>
      <c r="CG79" s="49"/>
      <c r="CH79" s="49"/>
      <c r="CI79" s="49"/>
      <c r="CJ79" s="2"/>
      <c r="CK79" s="3"/>
      <c r="CL79" s="3"/>
      <c r="CM79" s="3"/>
      <c r="CN79" s="3"/>
    </row>
    <row r="80" spans="1:92" x14ac:dyDescent="0.25">
      <c r="A80" s="65" t="s">
        <v>336</v>
      </c>
      <c r="B80" s="66"/>
      <c r="C80" s="66" t="s">
        <v>64</v>
      </c>
      <c r="D80" s="67">
        <v>100</v>
      </c>
      <c r="E80" s="69"/>
      <c r="F80" s="104" t="str">
        <f>HYPERLINK("https://pbs.twimg.com/profile_images/1177589150259695617/LEJ6WijI_normal.jpg")</f>
        <v>https://pbs.twimg.com/profile_images/1177589150259695617/LEJ6WijI_normal.jpg</v>
      </c>
      <c r="G80" s="66"/>
      <c r="H80" s="70" t="s">
        <v>336</v>
      </c>
      <c r="I80" s="71"/>
      <c r="J80" s="71" t="s">
        <v>159</v>
      </c>
      <c r="K80" s="70" t="s">
        <v>1534</v>
      </c>
      <c r="L80" s="74">
        <v>1</v>
      </c>
      <c r="M80" s="75">
        <v>6610.43115234375</v>
      </c>
      <c r="N80" s="75">
        <v>6438.36181640625</v>
      </c>
      <c r="O80" s="76"/>
      <c r="P80" s="77"/>
      <c r="Q80" s="77"/>
      <c r="R80" s="90"/>
      <c r="S80" s="49">
        <v>3</v>
      </c>
      <c r="T80" s="49">
        <v>0</v>
      </c>
      <c r="U80" s="50">
        <v>0</v>
      </c>
      <c r="V80" s="50">
        <v>0.31561299999999998</v>
      </c>
      <c r="W80" s="50">
        <v>0.10484300000000001</v>
      </c>
      <c r="X80" s="50">
        <v>7.4729999999999996E-3</v>
      </c>
      <c r="Y80" s="50">
        <v>0.66666666666666663</v>
      </c>
      <c r="Z80" s="50">
        <v>0</v>
      </c>
      <c r="AA80" s="72">
        <v>80</v>
      </c>
      <c r="AB80" s="72"/>
      <c r="AC80" s="73"/>
      <c r="AD80" s="80" t="s">
        <v>1007</v>
      </c>
      <c r="AE80" s="87" t="s">
        <v>1116</v>
      </c>
      <c r="AF80" s="80">
        <v>2115</v>
      </c>
      <c r="AG80" s="80">
        <v>275</v>
      </c>
      <c r="AH80" s="80">
        <v>4037</v>
      </c>
      <c r="AI80" s="80">
        <v>36</v>
      </c>
      <c r="AJ80" s="80">
        <v>1406</v>
      </c>
      <c r="AK80" s="80">
        <v>1815</v>
      </c>
      <c r="AL80" s="80" t="b">
        <v>0</v>
      </c>
      <c r="AM80" s="82">
        <v>40267.927847222221</v>
      </c>
      <c r="AN80" s="80" t="s">
        <v>1208</v>
      </c>
      <c r="AO80" s="80" t="s">
        <v>1303</v>
      </c>
      <c r="AP80" s="85" t="str">
        <f>HYPERLINK("https://t.co/Xeejj7pi9o")</f>
        <v>https://t.co/Xeejj7pi9o</v>
      </c>
      <c r="AQ80" s="85" t="str">
        <f>HYPERLINK("https://ci.uky.edu")</f>
        <v>https://ci.uky.edu</v>
      </c>
      <c r="AR80" s="80" t="s">
        <v>1407</v>
      </c>
      <c r="AS80" s="80"/>
      <c r="AT80" s="80"/>
      <c r="AU80" s="80"/>
      <c r="AV80" s="80"/>
      <c r="AW80" s="85" t="str">
        <f>HYPERLINK("https://t.co/Xeejj7pi9o")</f>
        <v>https://t.co/Xeejj7pi9o</v>
      </c>
      <c r="AX80" s="80" t="b">
        <v>0</v>
      </c>
      <c r="AY80" s="80"/>
      <c r="AZ80" s="80"/>
      <c r="BA80" s="80" t="b">
        <v>0</v>
      </c>
      <c r="BB80" s="80" t="b">
        <v>1</v>
      </c>
      <c r="BC80" s="80" t="b">
        <v>0</v>
      </c>
      <c r="BD80" s="80" t="b">
        <v>0</v>
      </c>
      <c r="BE80" s="80" t="b">
        <v>1</v>
      </c>
      <c r="BF80" s="80" t="b">
        <v>0</v>
      </c>
      <c r="BG80" s="80" t="b">
        <v>0</v>
      </c>
      <c r="BH80" s="85" t="str">
        <f>HYPERLINK("https://pbs.twimg.com/profile_banners/128025797/1689620701")</f>
        <v>https://pbs.twimg.com/profile_banners/128025797/1689620701</v>
      </c>
      <c r="BI80" s="80"/>
      <c r="BJ80" s="80" t="s">
        <v>1455</v>
      </c>
      <c r="BK80" s="80" t="b">
        <v>0</v>
      </c>
      <c r="BL80" s="80"/>
      <c r="BM80" s="80" t="s">
        <v>65</v>
      </c>
      <c r="BN80" s="80" t="s">
        <v>1457</v>
      </c>
      <c r="BO80" s="85" t="str">
        <f>HYPERLINK("https://twitter.com/uk_ci")</f>
        <v>https://twitter.com/uk_ci</v>
      </c>
      <c r="BP80" s="80" t="str">
        <f>REPLACE(INDEX(GroupVertices[Group], MATCH("~"&amp;Vertices[[#This Row],[Vertex]],GroupVertices[Vertex],0)),1,1,"")</f>
        <v>6</v>
      </c>
      <c r="BQ80" s="49"/>
      <c r="BR80" s="50"/>
      <c r="BS80" s="49"/>
      <c r="BT80" s="50"/>
      <c r="BU80" s="49"/>
      <c r="BV80" s="50"/>
      <c r="BW80" s="49"/>
      <c r="BX80" s="50"/>
      <c r="BY80" s="49"/>
      <c r="BZ80" s="49"/>
      <c r="CA80" s="49"/>
      <c r="CB80" s="49"/>
      <c r="CC80" s="49"/>
      <c r="CD80" s="49"/>
      <c r="CE80" s="49"/>
      <c r="CF80" s="49"/>
      <c r="CG80" s="49"/>
      <c r="CH80" s="49"/>
      <c r="CI80" s="49"/>
      <c r="CJ80" s="2"/>
      <c r="CK80" s="3"/>
      <c r="CL80" s="3"/>
      <c r="CM80" s="3"/>
      <c r="CN80" s="3"/>
    </row>
    <row r="81" spans="1:92" x14ac:dyDescent="0.25">
      <c r="A81" s="65" t="s">
        <v>294</v>
      </c>
      <c r="B81" s="66"/>
      <c r="C81" s="66" t="s">
        <v>64</v>
      </c>
      <c r="D81" s="67">
        <v>100</v>
      </c>
      <c r="E81" s="69"/>
      <c r="F81" s="104" t="str">
        <f>HYPERLINK("https://pbs.twimg.com/profile_images/1161687454635700227/2U3mrkeY_normal.png")</f>
        <v>https://pbs.twimg.com/profile_images/1161687454635700227/2U3mrkeY_normal.png</v>
      </c>
      <c r="G81" s="66"/>
      <c r="H81" s="70" t="s">
        <v>294</v>
      </c>
      <c r="I81" s="71"/>
      <c r="J81" s="71" t="s">
        <v>159</v>
      </c>
      <c r="K81" s="70" t="s">
        <v>1535</v>
      </c>
      <c r="L81" s="74">
        <v>1</v>
      </c>
      <c r="M81" s="75">
        <v>5758.11767578125</v>
      </c>
      <c r="N81" s="75">
        <v>6503.35888671875</v>
      </c>
      <c r="O81" s="76"/>
      <c r="P81" s="77"/>
      <c r="Q81" s="77"/>
      <c r="R81" s="90"/>
      <c r="S81" s="49">
        <v>2</v>
      </c>
      <c r="T81" s="49">
        <v>1</v>
      </c>
      <c r="U81" s="50">
        <v>0</v>
      </c>
      <c r="V81" s="50">
        <v>0.25683099999999998</v>
      </c>
      <c r="W81" s="50">
        <v>5.1583999999999998E-2</v>
      </c>
      <c r="X81" s="50">
        <v>7.1939999999999999E-3</v>
      </c>
      <c r="Y81" s="50">
        <v>1</v>
      </c>
      <c r="Z81" s="50">
        <v>0.5</v>
      </c>
      <c r="AA81" s="72">
        <v>81</v>
      </c>
      <c r="AB81" s="72"/>
      <c r="AC81" s="73"/>
      <c r="AD81" s="80" t="s">
        <v>1008</v>
      </c>
      <c r="AE81" s="87" t="s">
        <v>1117</v>
      </c>
      <c r="AF81" s="80">
        <v>1391</v>
      </c>
      <c r="AG81" s="80">
        <v>473</v>
      </c>
      <c r="AH81" s="80">
        <v>1252</v>
      </c>
      <c r="AI81" s="80">
        <v>66</v>
      </c>
      <c r="AJ81" s="80">
        <v>190</v>
      </c>
      <c r="AK81" s="80">
        <v>90</v>
      </c>
      <c r="AL81" s="80" t="b">
        <v>0</v>
      </c>
      <c r="AM81" s="82">
        <v>40816.042905092596</v>
      </c>
      <c r="AN81" s="80"/>
      <c r="AO81" s="80" t="s">
        <v>1304</v>
      </c>
      <c r="AP81" s="85" t="str">
        <f>HYPERLINK("http://t.co/aPQbNiVCsu")</f>
        <v>http://t.co/aPQbNiVCsu</v>
      </c>
      <c r="AQ81" s="85" t="str">
        <f>HYPERLINK("http://aejmcpolcomm.weebly.com/")</f>
        <v>http://aejmcpolcomm.weebly.com/</v>
      </c>
      <c r="AR81" s="80" t="s">
        <v>1408</v>
      </c>
      <c r="AS81" s="80"/>
      <c r="AT81" s="80"/>
      <c r="AU81" s="80"/>
      <c r="AV81" s="80"/>
      <c r="AW81" s="85" t="str">
        <f>HYPERLINK("http://t.co/aPQbNiVCsu")</f>
        <v>http://t.co/aPQbNiVCsu</v>
      </c>
      <c r="AX81" s="80" t="b">
        <v>0</v>
      </c>
      <c r="AY81" s="80"/>
      <c r="AZ81" s="80"/>
      <c r="BA81" s="80" t="b">
        <v>0</v>
      </c>
      <c r="BB81" s="80" t="b">
        <v>1</v>
      </c>
      <c r="BC81" s="80" t="b">
        <v>1</v>
      </c>
      <c r="BD81" s="80" t="b">
        <v>0</v>
      </c>
      <c r="BE81" s="80" t="b">
        <v>0</v>
      </c>
      <c r="BF81" s="80" t="b">
        <v>0</v>
      </c>
      <c r="BG81" s="80" t="b">
        <v>0</v>
      </c>
      <c r="BH81" s="85" t="str">
        <f>HYPERLINK("https://pbs.twimg.com/profile_banners/382407937/1565802775")</f>
        <v>https://pbs.twimg.com/profile_banners/382407937/1565802775</v>
      </c>
      <c r="BI81" s="80"/>
      <c r="BJ81" s="80" t="s">
        <v>1455</v>
      </c>
      <c r="BK81" s="80" t="b">
        <v>0</v>
      </c>
      <c r="BL81" s="80"/>
      <c r="BM81" s="80" t="s">
        <v>66</v>
      </c>
      <c r="BN81" s="80" t="s">
        <v>1457</v>
      </c>
      <c r="BO81" s="85" t="str">
        <f>HYPERLINK("https://twitter.com/aejmc_polcomm")</f>
        <v>https://twitter.com/aejmc_polcomm</v>
      </c>
      <c r="BP81" s="80" t="str">
        <f>REPLACE(INDEX(GroupVertices[Group], MATCH("~"&amp;Vertices[[#This Row],[Vertex]],GroupVertices[Vertex],0)),1,1,"")</f>
        <v>6</v>
      </c>
      <c r="BQ81" s="49">
        <v>3</v>
      </c>
      <c r="BR81" s="50">
        <v>12.5</v>
      </c>
      <c r="BS81" s="49">
        <v>0</v>
      </c>
      <c r="BT81" s="50">
        <v>0</v>
      </c>
      <c r="BU81" s="49">
        <v>0</v>
      </c>
      <c r="BV81" s="50">
        <v>0</v>
      </c>
      <c r="BW81" s="49">
        <v>9</v>
      </c>
      <c r="BX81" s="50">
        <v>37.5</v>
      </c>
      <c r="BY81" s="49">
        <v>24</v>
      </c>
      <c r="BZ81" s="49"/>
      <c r="CA81" s="49"/>
      <c r="CB81" s="49"/>
      <c r="CC81" s="49"/>
      <c r="CD81" s="49" t="s">
        <v>470</v>
      </c>
      <c r="CE81" s="49" t="s">
        <v>470</v>
      </c>
      <c r="CF81" s="116" t="s">
        <v>9900</v>
      </c>
      <c r="CG81" s="116" t="s">
        <v>9900</v>
      </c>
      <c r="CH81" s="116" t="s">
        <v>9970</v>
      </c>
      <c r="CI81" s="116" t="s">
        <v>9970</v>
      </c>
      <c r="CJ81" s="2"/>
      <c r="CK81" s="3"/>
      <c r="CL81" s="3"/>
      <c r="CM81" s="3"/>
      <c r="CN81" s="3"/>
    </row>
    <row r="82" spans="1:92" x14ac:dyDescent="0.25">
      <c r="A82" s="65" t="s">
        <v>283</v>
      </c>
      <c r="B82" s="66"/>
      <c r="C82" s="66" t="s">
        <v>64</v>
      </c>
      <c r="D82" s="67">
        <v>100</v>
      </c>
      <c r="E82" s="69"/>
      <c r="F82" s="104" t="str">
        <f>HYPERLINK("https://pbs.twimg.com/profile_images/1627050137070755847/LYNRis13_normal.jpg")</f>
        <v>https://pbs.twimg.com/profile_images/1627050137070755847/LYNRis13_normal.jpg</v>
      </c>
      <c r="G82" s="66"/>
      <c r="H82" s="70" t="s">
        <v>283</v>
      </c>
      <c r="I82" s="71"/>
      <c r="J82" s="71" t="s">
        <v>159</v>
      </c>
      <c r="K82" s="70" t="s">
        <v>1536</v>
      </c>
      <c r="L82" s="74">
        <v>1</v>
      </c>
      <c r="M82" s="75">
        <v>2029.1888427734375</v>
      </c>
      <c r="N82" s="75">
        <v>3268.9560546875</v>
      </c>
      <c r="O82" s="76"/>
      <c r="P82" s="77"/>
      <c r="Q82" s="77"/>
      <c r="R82" s="90"/>
      <c r="S82" s="49">
        <v>0</v>
      </c>
      <c r="T82" s="49">
        <v>1</v>
      </c>
      <c r="U82" s="50">
        <v>0</v>
      </c>
      <c r="V82" s="50">
        <v>0.309083</v>
      </c>
      <c r="W82" s="50">
        <v>7.3974999999999999E-2</v>
      </c>
      <c r="X82" s="50">
        <v>6.9379999999999997E-3</v>
      </c>
      <c r="Y82" s="50">
        <v>0</v>
      </c>
      <c r="Z82" s="50">
        <v>0</v>
      </c>
      <c r="AA82" s="72">
        <v>82</v>
      </c>
      <c r="AB82" s="72"/>
      <c r="AC82" s="73"/>
      <c r="AD82" s="80" t="s">
        <v>1009</v>
      </c>
      <c r="AE82" s="87" t="s">
        <v>1118</v>
      </c>
      <c r="AF82" s="80">
        <v>270</v>
      </c>
      <c r="AG82" s="80">
        <v>169</v>
      </c>
      <c r="AH82" s="80">
        <v>483</v>
      </c>
      <c r="AI82" s="80">
        <v>8</v>
      </c>
      <c r="AJ82" s="80">
        <v>709</v>
      </c>
      <c r="AK82" s="80">
        <v>9</v>
      </c>
      <c r="AL82" s="80" t="b">
        <v>0</v>
      </c>
      <c r="AM82" s="82">
        <v>42116.040347222224</v>
      </c>
      <c r="AN82" s="80" t="s">
        <v>1170</v>
      </c>
      <c r="AO82" s="80" t="s">
        <v>1305</v>
      </c>
      <c r="AP82" s="85" t="str">
        <f>HYPERLINK("https://t.co/NHJK0zlRPt")</f>
        <v>https://t.co/NHJK0zlRPt</v>
      </c>
      <c r="AQ82" s="85" t="str">
        <f>HYPERLINK("http://deniswu.org")</f>
        <v>http://deniswu.org</v>
      </c>
      <c r="AR82" s="80" t="s">
        <v>1409</v>
      </c>
      <c r="AS82" s="80"/>
      <c r="AT82" s="80"/>
      <c r="AU82" s="80"/>
      <c r="AV82" s="80">
        <v>1.61024099128563E+18</v>
      </c>
      <c r="AW82" s="85" t="str">
        <f>HYPERLINK("https://t.co/NHJK0zlRPt")</f>
        <v>https://t.co/NHJK0zlRPt</v>
      </c>
      <c r="AX82" s="80" t="b">
        <v>0</v>
      </c>
      <c r="AY82" s="80"/>
      <c r="AZ82" s="80"/>
      <c r="BA82" s="80" t="b">
        <v>0</v>
      </c>
      <c r="BB82" s="80" t="b">
        <v>0</v>
      </c>
      <c r="BC82" s="80" t="b">
        <v>0</v>
      </c>
      <c r="BD82" s="80" t="b">
        <v>0</v>
      </c>
      <c r="BE82" s="80" t="b">
        <v>1</v>
      </c>
      <c r="BF82" s="80" t="b">
        <v>0</v>
      </c>
      <c r="BG82" s="80" t="b">
        <v>0</v>
      </c>
      <c r="BH82" s="85" t="str">
        <f>HYPERLINK("https://pbs.twimg.com/profile_banners/3193013278/1597543938")</f>
        <v>https://pbs.twimg.com/profile_banners/3193013278/1597543938</v>
      </c>
      <c r="BI82" s="80"/>
      <c r="BJ82" s="80" t="s">
        <v>1455</v>
      </c>
      <c r="BK82" s="80" t="b">
        <v>0</v>
      </c>
      <c r="BL82" s="80"/>
      <c r="BM82" s="80" t="s">
        <v>66</v>
      </c>
      <c r="BN82" s="80" t="s">
        <v>1457</v>
      </c>
      <c r="BO82" s="85" t="str">
        <f>HYPERLINK("https://twitter.com/hdeniswu")</f>
        <v>https://twitter.com/hdeniswu</v>
      </c>
      <c r="BP82" s="80" t="str">
        <f>REPLACE(INDEX(GroupVertices[Group], MATCH("~"&amp;Vertices[[#This Row],[Vertex]],GroupVertices[Vertex],0)),1,1,"")</f>
        <v>1</v>
      </c>
      <c r="BQ82" s="49">
        <v>2</v>
      </c>
      <c r="BR82" s="50">
        <v>9.0909090909090917</v>
      </c>
      <c r="BS82" s="49">
        <v>0</v>
      </c>
      <c r="BT82" s="50">
        <v>0</v>
      </c>
      <c r="BU82" s="49">
        <v>0</v>
      </c>
      <c r="BV82" s="50">
        <v>0</v>
      </c>
      <c r="BW82" s="49">
        <v>12</v>
      </c>
      <c r="BX82" s="50">
        <v>54.545454545454547</v>
      </c>
      <c r="BY82" s="49">
        <v>22</v>
      </c>
      <c r="BZ82" s="49"/>
      <c r="CA82" s="49"/>
      <c r="CB82" s="49"/>
      <c r="CC82" s="49"/>
      <c r="CD82" s="49"/>
      <c r="CE82" s="49"/>
      <c r="CF82" s="116" t="s">
        <v>9940</v>
      </c>
      <c r="CG82" s="116" t="s">
        <v>9940</v>
      </c>
      <c r="CH82" s="116" t="s">
        <v>10010</v>
      </c>
      <c r="CI82" s="116" t="s">
        <v>10010</v>
      </c>
      <c r="CJ82" s="2"/>
      <c r="CK82" s="3"/>
      <c r="CL82" s="3"/>
      <c r="CM82" s="3"/>
      <c r="CN82" s="3"/>
    </row>
    <row r="83" spans="1:92" x14ac:dyDescent="0.25">
      <c r="A83" s="65" t="s">
        <v>284</v>
      </c>
      <c r="B83" s="66"/>
      <c r="C83" s="66" t="s">
        <v>64</v>
      </c>
      <c r="D83" s="67">
        <v>524.11764705882354</v>
      </c>
      <c r="E83" s="69"/>
      <c r="F83" s="104" t="str">
        <f>HYPERLINK("https://pbs.twimg.com/profile_images/1060299959570849793/ZJPqNMgP_normal.jpg")</f>
        <v>https://pbs.twimg.com/profile_images/1060299959570849793/ZJPqNMgP_normal.jpg</v>
      </c>
      <c r="G83" s="66"/>
      <c r="H83" s="70" t="s">
        <v>284</v>
      </c>
      <c r="I83" s="71"/>
      <c r="J83" s="71" t="s">
        <v>75</v>
      </c>
      <c r="K83" s="70" t="s">
        <v>1537</v>
      </c>
      <c r="L83" s="74">
        <v>670.72663617247292</v>
      </c>
      <c r="M83" s="75">
        <v>7961.37353515625</v>
      </c>
      <c r="N83" s="75">
        <v>3846.29833984375</v>
      </c>
      <c r="O83" s="76"/>
      <c r="P83" s="77"/>
      <c r="Q83" s="77"/>
      <c r="R83" s="90"/>
      <c r="S83" s="49">
        <v>1</v>
      </c>
      <c r="T83" s="49">
        <v>5</v>
      </c>
      <c r="U83" s="50">
        <v>618</v>
      </c>
      <c r="V83" s="50">
        <v>0.31672800000000001</v>
      </c>
      <c r="W83" s="50">
        <v>9.4769999999999993E-2</v>
      </c>
      <c r="X83" s="50">
        <v>1.0404999999999999E-2</v>
      </c>
      <c r="Y83" s="50">
        <v>0.05</v>
      </c>
      <c r="Z83" s="50">
        <v>0.2</v>
      </c>
      <c r="AA83" s="72">
        <v>83</v>
      </c>
      <c r="AB83" s="72"/>
      <c r="AC83" s="73"/>
      <c r="AD83" s="80" t="s">
        <v>1010</v>
      </c>
      <c r="AE83" s="87" t="s">
        <v>1119</v>
      </c>
      <c r="AF83" s="80">
        <v>508</v>
      </c>
      <c r="AG83" s="80">
        <v>29</v>
      </c>
      <c r="AH83" s="80">
        <v>877</v>
      </c>
      <c r="AI83" s="80">
        <v>32</v>
      </c>
      <c r="AJ83" s="80">
        <v>1289</v>
      </c>
      <c r="AK83" s="80">
        <v>98</v>
      </c>
      <c r="AL83" s="80" t="b">
        <v>0</v>
      </c>
      <c r="AM83" s="82">
        <v>40094.634953703702</v>
      </c>
      <c r="AN83" s="80" t="s">
        <v>1186</v>
      </c>
      <c r="AO83" s="80" t="s">
        <v>1306</v>
      </c>
      <c r="AP83" s="85" t="str">
        <f>HYPERLINK("http://t.co/yXJ14RNKM4")</f>
        <v>http://t.co/yXJ14RNKM4</v>
      </c>
      <c r="AQ83" s="85" t="str">
        <f>HYPERLINK("http://www.interpersonal-divide.org")</f>
        <v>http://www.interpersonal-divide.org</v>
      </c>
      <c r="AR83" s="80" t="s">
        <v>1410</v>
      </c>
      <c r="AS83" s="80"/>
      <c r="AT83" s="80"/>
      <c r="AU83" s="80"/>
      <c r="AV83" s="80"/>
      <c r="AW83" s="85" t="str">
        <f>HYPERLINK("http://t.co/yXJ14RNKM4")</f>
        <v>http://t.co/yXJ14RNKM4</v>
      </c>
      <c r="AX83" s="80" t="b">
        <v>0</v>
      </c>
      <c r="AY83" s="80"/>
      <c r="AZ83" s="80"/>
      <c r="BA83" s="80" t="b">
        <v>0</v>
      </c>
      <c r="BB83" s="80" t="b">
        <v>1</v>
      </c>
      <c r="BC83" s="80" t="b">
        <v>0</v>
      </c>
      <c r="BD83" s="80" t="b">
        <v>0</v>
      </c>
      <c r="BE83" s="80" t="b">
        <v>0</v>
      </c>
      <c r="BF83" s="80" t="b">
        <v>0</v>
      </c>
      <c r="BG83" s="80" t="b">
        <v>0</v>
      </c>
      <c r="BH83" s="80"/>
      <c r="BI83" s="80"/>
      <c r="BJ83" s="80" t="s">
        <v>1455</v>
      </c>
      <c r="BK83" s="80" t="b">
        <v>0</v>
      </c>
      <c r="BL83" s="80"/>
      <c r="BM83" s="80" t="s">
        <v>66</v>
      </c>
      <c r="BN83" s="80" t="s">
        <v>1457</v>
      </c>
      <c r="BO83" s="85" t="str">
        <f>HYPERLINK("https://twitter.com/michael_bugeja")</f>
        <v>https://twitter.com/michael_bugeja</v>
      </c>
      <c r="BP83" s="80" t="str">
        <f>REPLACE(INDEX(GroupVertices[Group], MATCH("~"&amp;Vertices[[#This Row],[Vertex]],GroupVertices[Vertex],0)),1,1,"")</f>
        <v>9</v>
      </c>
      <c r="BQ83" s="49">
        <v>5</v>
      </c>
      <c r="BR83" s="50">
        <v>11.363636363636363</v>
      </c>
      <c r="BS83" s="49">
        <v>0</v>
      </c>
      <c r="BT83" s="50">
        <v>0</v>
      </c>
      <c r="BU83" s="49">
        <v>0</v>
      </c>
      <c r="BV83" s="50">
        <v>0</v>
      </c>
      <c r="BW83" s="49">
        <v>18</v>
      </c>
      <c r="BX83" s="50">
        <v>40.909090909090907</v>
      </c>
      <c r="BY83" s="49">
        <v>44</v>
      </c>
      <c r="BZ83" s="49" t="s">
        <v>9603</v>
      </c>
      <c r="CA83" s="49" t="s">
        <v>9603</v>
      </c>
      <c r="CB83" s="49" t="s">
        <v>511</v>
      </c>
      <c r="CC83" s="49" t="s">
        <v>511</v>
      </c>
      <c r="CD83" s="49"/>
      <c r="CE83" s="49"/>
      <c r="CF83" s="116" t="s">
        <v>9941</v>
      </c>
      <c r="CG83" s="116" t="s">
        <v>9941</v>
      </c>
      <c r="CH83" s="116" t="s">
        <v>10011</v>
      </c>
      <c r="CI83" s="116" t="s">
        <v>10011</v>
      </c>
      <c r="CJ83" s="2"/>
      <c r="CK83" s="3"/>
      <c r="CL83" s="3"/>
      <c r="CM83" s="3"/>
      <c r="CN83" s="3"/>
    </row>
    <row r="84" spans="1:92" x14ac:dyDescent="0.25">
      <c r="A84" s="65" t="s">
        <v>337</v>
      </c>
      <c r="B84" s="66"/>
      <c r="C84" s="66" t="s">
        <v>64</v>
      </c>
      <c r="D84" s="67">
        <v>100</v>
      </c>
      <c r="E84" s="69"/>
      <c r="F84" s="104" t="str">
        <f>HYPERLINK("https://pbs.twimg.com/profile_images/1395129177687330822/4DoDg1Lu_normal.jpg")</f>
        <v>https://pbs.twimg.com/profile_images/1395129177687330822/4DoDg1Lu_normal.jpg</v>
      </c>
      <c r="G84" s="66"/>
      <c r="H84" s="70" t="s">
        <v>337</v>
      </c>
      <c r="I84" s="71"/>
      <c r="J84" s="71" t="s">
        <v>159</v>
      </c>
      <c r="K84" s="70" t="s">
        <v>1538</v>
      </c>
      <c r="L84" s="74">
        <v>1</v>
      </c>
      <c r="M84" s="75">
        <v>7597.9228515625</v>
      </c>
      <c r="N84" s="75">
        <v>3968.68798828125</v>
      </c>
      <c r="O84" s="76"/>
      <c r="P84" s="77"/>
      <c r="Q84" s="77"/>
      <c r="R84" s="90"/>
      <c r="S84" s="49">
        <v>1</v>
      </c>
      <c r="T84" s="49">
        <v>0</v>
      </c>
      <c r="U84" s="50">
        <v>0</v>
      </c>
      <c r="V84" s="50">
        <v>0.23161300000000001</v>
      </c>
      <c r="W84" s="50">
        <v>1.1583E-2</v>
      </c>
      <c r="X84" s="50">
        <v>7.1669999999999998E-3</v>
      </c>
      <c r="Y84" s="50">
        <v>0</v>
      </c>
      <c r="Z84" s="50">
        <v>0</v>
      </c>
      <c r="AA84" s="72">
        <v>84</v>
      </c>
      <c r="AB84" s="72"/>
      <c r="AC84" s="73"/>
      <c r="AD84" s="80" t="s">
        <v>1011</v>
      </c>
      <c r="AE84" s="87" t="s">
        <v>1120</v>
      </c>
      <c r="AF84" s="80">
        <v>48136</v>
      </c>
      <c r="AG84" s="80">
        <v>428</v>
      </c>
      <c r="AH84" s="80">
        <v>18625</v>
      </c>
      <c r="AI84" s="80">
        <v>410</v>
      </c>
      <c r="AJ84" s="80">
        <v>2584</v>
      </c>
      <c r="AK84" s="80">
        <v>1517</v>
      </c>
      <c r="AL84" s="80" t="b">
        <v>0</v>
      </c>
      <c r="AM84" s="82">
        <v>40484.807847222219</v>
      </c>
      <c r="AN84" s="80" t="s">
        <v>1186</v>
      </c>
      <c r="AO84" s="80" t="s">
        <v>1307</v>
      </c>
      <c r="AP84" s="85" t="str">
        <f>HYPERLINK("https://t.co/QtLW15PN9Z")</f>
        <v>https://t.co/QtLW15PN9Z</v>
      </c>
      <c r="AQ84" s="85" t="str">
        <f>HYPERLINK("http://www.iastate.edu")</f>
        <v>http://www.iastate.edu</v>
      </c>
      <c r="AR84" s="80" t="s">
        <v>511</v>
      </c>
      <c r="AS84" s="80"/>
      <c r="AT84" s="80"/>
      <c r="AU84" s="80"/>
      <c r="AV84" s="80"/>
      <c r="AW84" s="85" t="str">
        <f>HYPERLINK("https://t.co/QtLW15PN9Z")</f>
        <v>https://t.co/QtLW15PN9Z</v>
      </c>
      <c r="AX84" s="80" t="b">
        <v>0</v>
      </c>
      <c r="AY84" s="80"/>
      <c r="AZ84" s="80"/>
      <c r="BA84" s="80" t="b">
        <v>1</v>
      </c>
      <c r="BB84" s="80" t="b">
        <v>1</v>
      </c>
      <c r="BC84" s="80" t="b">
        <v>0</v>
      </c>
      <c r="BD84" s="80" t="b">
        <v>0</v>
      </c>
      <c r="BE84" s="80" t="b">
        <v>1</v>
      </c>
      <c r="BF84" s="80" t="b">
        <v>0</v>
      </c>
      <c r="BG84" s="80" t="b">
        <v>0</v>
      </c>
      <c r="BH84" s="85" t="str">
        <f>HYPERLINK("https://pbs.twimg.com/profile_banners/211258879/1485450052")</f>
        <v>https://pbs.twimg.com/profile_banners/211258879/1485450052</v>
      </c>
      <c r="BI84" s="80"/>
      <c r="BJ84" s="80" t="s">
        <v>1455</v>
      </c>
      <c r="BK84" s="80" t="b">
        <v>0</v>
      </c>
      <c r="BL84" s="80"/>
      <c r="BM84" s="80" t="s">
        <v>65</v>
      </c>
      <c r="BN84" s="80" t="s">
        <v>1457</v>
      </c>
      <c r="BO84" s="85" t="str">
        <f>HYPERLINK("https://twitter.com/iowastateu")</f>
        <v>https://twitter.com/iowastateu</v>
      </c>
      <c r="BP84" s="80" t="str">
        <f>REPLACE(INDEX(GroupVertices[Group], MATCH("~"&amp;Vertices[[#This Row],[Vertex]],GroupVertices[Vertex],0)),1,1,"")</f>
        <v>9</v>
      </c>
      <c r="BQ84" s="49"/>
      <c r="BR84" s="50"/>
      <c r="BS84" s="49"/>
      <c r="BT84" s="50"/>
      <c r="BU84" s="49"/>
      <c r="BV84" s="50"/>
      <c r="BW84" s="49"/>
      <c r="BX84" s="50"/>
      <c r="BY84" s="49"/>
      <c r="BZ84" s="49"/>
      <c r="CA84" s="49"/>
      <c r="CB84" s="49"/>
      <c r="CC84" s="49"/>
      <c r="CD84" s="49"/>
      <c r="CE84" s="49"/>
      <c r="CF84" s="49"/>
      <c r="CG84" s="49"/>
      <c r="CH84" s="49"/>
      <c r="CI84" s="49"/>
      <c r="CJ84" s="2"/>
      <c r="CK84" s="3"/>
      <c r="CL84" s="3"/>
      <c r="CM84" s="3"/>
      <c r="CN84" s="3"/>
    </row>
    <row r="85" spans="1:92" x14ac:dyDescent="0.25">
      <c r="A85" s="65" t="s">
        <v>338</v>
      </c>
      <c r="B85" s="66"/>
      <c r="C85" s="66" t="s">
        <v>64</v>
      </c>
      <c r="D85" s="67">
        <v>100</v>
      </c>
      <c r="E85" s="69"/>
      <c r="F85" s="104" t="str">
        <f>HYPERLINK("https://pbs.twimg.com/profile_images/1675570480571621376/J8UcjBCK_normal.jpg")</f>
        <v>https://pbs.twimg.com/profile_images/1675570480571621376/J8UcjBCK_normal.jpg</v>
      </c>
      <c r="G85" s="66"/>
      <c r="H85" s="70" t="s">
        <v>338</v>
      </c>
      <c r="I85" s="71"/>
      <c r="J85" s="71" t="s">
        <v>159</v>
      </c>
      <c r="K85" s="70" t="s">
        <v>1539</v>
      </c>
      <c r="L85" s="74">
        <v>1</v>
      </c>
      <c r="M85" s="75">
        <v>7116.7744140625</v>
      </c>
      <c r="N85" s="75">
        <v>3723.907470703125</v>
      </c>
      <c r="O85" s="76"/>
      <c r="P85" s="77"/>
      <c r="Q85" s="77"/>
      <c r="R85" s="90"/>
      <c r="S85" s="49">
        <v>1</v>
      </c>
      <c r="T85" s="49">
        <v>0</v>
      </c>
      <c r="U85" s="50">
        <v>0</v>
      </c>
      <c r="V85" s="50">
        <v>0.23161300000000001</v>
      </c>
      <c r="W85" s="50">
        <v>1.1583E-2</v>
      </c>
      <c r="X85" s="50">
        <v>7.1669999999999998E-3</v>
      </c>
      <c r="Y85" s="50">
        <v>0</v>
      </c>
      <c r="Z85" s="50">
        <v>0</v>
      </c>
      <c r="AA85" s="72">
        <v>85</v>
      </c>
      <c r="AB85" s="72"/>
      <c r="AC85" s="73"/>
      <c r="AD85" s="80" t="s">
        <v>1012</v>
      </c>
      <c r="AE85" s="87" t="s">
        <v>1121</v>
      </c>
      <c r="AF85" s="80">
        <v>363</v>
      </c>
      <c r="AG85" s="80">
        <v>0</v>
      </c>
      <c r="AH85" s="80">
        <v>282</v>
      </c>
      <c r="AI85" s="80">
        <v>3</v>
      </c>
      <c r="AJ85" s="80">
        <v>858</v>
      </c>
      <c r="AK85" s="80">
        <v>1</v>
      </c>
      <c r="AL85" s="80" t="b">
        <v>0</v>
      </c>
      <c r="AM85" s="82">
        <v>43462.184895833336</v>
      </c>
      <c r="AN85" s="80" t="s">
        <v>159</v>
      </c>
      <c r="AO85" s="80"/>
      <c r="AP85" s="80"/>
      <c r="AQ85" s="80"/>
      <c r="AR85" s="80"/>
      <c r="AS85" s="80"/>
      <c r="AT85" s="80"/>
      <c r="AU85" s="80"/>
      <c r="AV85" s="80">
        <v>1.2056163806507699E+18</v>
      </c>
      <c r="AW85" s="80"/>
      <c r="AX85" s="80" t="b">
        <v>0</v>
      </c>
      <c r="AY85" s="80"/>
      <c r="AZ85" s="80"/>
      <c r="BA85" s="80" t="b">
        <v>1</v>
      </c>
      <c r="BB85" s="80" t="b">
        <v>0</v>
      </c>
      <c r="BC85" s="80" t="b">
        <v>0</v>
      </c>
      <c r="BD85" s="80" t="b">
        <v>0</v>
      </c>
      <c r="BE85" s="80" t="b">
        <v>0</v>
      </c>
      <c r="BF85" s="80" t="b">
        <v>0</v>
      </c>
      <c r="BG85" s="80" t="b">
        <v>0</v>
      </c>
      <c r="BH85" s="80"/>
      <c r="BI85" s="80"/>
      <c r="BJ85" s="80" t="s">
        <v>1455</v>
      </c>
      <c r="BK85" s="80" t="b">
        <v>0</v>
      </c>
      <c r="BL85" s="80"/>
      <c r="BM85" s="80" t="s">
        <v>65</v>
      </c>
      <c r="BN85" s="80" t="s">
        <v>1457</v>
      </c>
      <c r="BO85" s="85" t="str">
        <f>HYPERLINK("https://twitter.com/gratitude")</f>
        <v>https://twitter.com/gratitude</v>
      </c>
      <c r="BP85" s="80" t="str">
        <f>REPLACE(INDEX(GroupVertices[Group], MATCH("~"&amp;Vertices[[#This Row],[Vertex]],GroupVertices[Vertex],0)),1,1,"")</f>
        <v>9</v>
      </c>
      <c r="BQ85" s="49"/>
      <c r="BR85" s="50"/>
      <c r="BS85" s="49"/>
      <c r="BT85" s="50"/>
      <c r="BU85" s="49"/>
      <c r="BV85" s="50"/>
      <c r="BW85" s="49"/>
      <c r="BX85" s="50"/>
      <c r="BY85" s="49"/>
      <c r="BZ85" s="49"/>
      <c r="CA85" s="49"/>
      <c r="CB85" s="49"/>
      <c r="CC85" s="49"/>
      <c r="CD85" s="49"/>
      <c r="CE85" s="49"/>
      <c r="CF85" s="49"/>
      <c r="CG85" s="49"/>
      <c r="CH85" s="49"/>
      <c r="CI85" s="49"/>
      <c r="CJ85" s="2"/>
      <c r="CK85" s="3"/>
      <c r="CL85" s="3"/>
      <c r="CM85" s="3"/>
      <c r="CN85" s="3"/>
    </row>
    <row r="86" spans="1:92" x14ac:dyDescent="0.25">
      <c r="A86" s="65" t="s">
        <v>285</v>
      </c>
      <c r="B86" s="66"/>
      <c r="C86" s="66" t="s">
        <v>64</v>
      </c>
      <c r="D86" s="67">
        <v>100</v>
      </c>
      <c r="E86" s="69"/>
      <c r="F86" s="104" t="str">
        <f>HYPERLINK("https://pbs.twimg.com/profile_images/1434178901991960580/rcQbpYJ1_normal.jpg")</f>
        <v>https://pbs.twimg.com/profile_images/1434178901991960580/rcQbpYJ1_normal.jpg</v>
      </c>
      <c r="G86" s="66"/>
      <c r="H86" s="70" t="s">
        <v>285</v>
      </c>
      <c r="I86" s="71"/>
      <c r="J86" s="71" t="s">
        <v>159</v>
      </c>
      <c r="K86" s="70" t="s">
        <v>1540</v>
      </c>
      <c r="L86" s="74">
        <v>1</v>
      </c>
      <c r="M86" s="75">
        <v>9541.3955078125</v>
      </c>
      <c r="N86" s="75">
        <v>653.22686767578125</v>
      </c>
      <c r="O86" s="76"/>
      <c r="P86" s="77"/>
      <c r="Q86" s="77"/>
      <c r="R86" s="90"/>
      <c r="S86" s="49">
        <v>0</v>
      </c>
      <c r="T86" s="49">
        <v>1</v>
      </c>
      <c r="U86" s="50">
        <v>0</v>
      </c>
      <c r="V86" s="50">
        <v>8.1300000000000001E-3</v>
      </c>
      <c r="W86" s="50">
        <v>0</v>
      </c>
      <c r="X86" s="50">
        <v>8.0649999999999993E-3</v>
      </c>
      <c r="Y86" s="50">
        <v>0</v>
      </c>
      <c r="Z86" s="50">
        <v>0</v>
      </c>
      <c r="AA86" s="72">
        <v>86</v>
      </c>
      <c r="AB86" s="72"/>
      <c r="AC86" s="73"/>
      <c r="AD86" s="80" t="s">
        <v>1013</v>
      </c>
      <c r="AE86" s="87" t="s">
        <v>1122</v>
      </c>
      <c r="AF86" s="80">
        <v>1288</v>
      </c>
      <c r="AG86" s="80">
        <v>1786</v>
      </c>
      <c r="AH86" s="80">
        <v>25640</v>
      </c>
      <c r="AI86" s="80">
        <v>73</v>
      </c>
      <c r="AJ86" s="80">
        <v>14306</v>
      </c>
      <c r="AK86" s="80">
        <v>2719</v>
      </c>
      <c r="AL86" s="80" t="b">
        <v>0</v>
      </c>
      <c r="AM86" s="82">
        <v>40492.008993055555</v>
      </c>
      <c r="AN86" s="80" t="s">
        <v>1187</v>
      </c>
      <c r="AO86" s="80" t="s">
        <v>1308</v>
      </c>
      <c r="AP86" s="85" t="str">
        <f>HYPERLINK("https://t.co/B1n8IYwZvU")</f>
        <v>https://t.co/B1n8IYwZvU</v>
      </c>
      <c r="AQ86" s="85" t="str">
        <f>HYPERLINK("http://mjfuhlhage.net")</f>
        <v>http://mjfuhlhage.net</v>
      </c>
      <c r="AR86" s="80" t="s">
        <v>1411</v>
      </c>
      <c r="AS86" s="80"/>
      <c r="AT86" s="80"/>
      <c r="AU86" s="80"/>
      <c r="AV86" s="80">
        <v>1.2957864137666401E+18</v>
      </c>
      <c r="AW86" s="85" t="str">
        <f>HYPERLINK("https://t.co/B1n8IYwZvU")</f>
        <v>https://t.co/B1n8IYwZvU</v>
      </c>
      <c r="AX86" s="80" t="b">
        <v>0</v>
      </c>
      <c r="AY86" s="80"/>
      <c r="AZ86" s="80"/>
      <c r="BA86" s="80" t="b">
        <v>0</v>
      </c>
      <c r="BB86" s="80" t="b">
        <v>0</v>
      </c>
      <c r="BC86" s="80" t="b">
        <v>0</v>
      </c>
      <c r="BD86" s="80" t="b">
        <v>0</v>
      </c>
      <c r="BE86" s="80" t="b">
        <v>1</v>
      </c>
      <c r="BF86" s="80" t="b">
        <v>0</v>
      </c>
      <c r="BG86" s="80" t="b">
        <v>0</v>
      </c>
      <c r="BH86" s="85" t="str">
        <f>HYPERLINK("https://pbs.twimg.com/profile_banners/213867085/1661464449")</f>
        <v>https://pbs.twimg.com/profile_banners/213867085/1661464449</v>
      </c>
      <c r="BI86" s="80"/>
      <c r="BJ86" s="80" t="s">
        <v>1455</v>
      </c>
      <c r="BK86" s="80" t="b">
        <v>0</v>
      </c>
      <c r="BL86" s="80"/>
      <c r="BM86" s="80" t="s">
        <v>66</v>
      </c>
      <c r="BN86" s="80" t="s">
        <v>1457</v>
      </c>
      <c r="BO86" s="85" t="str">
        <f>HYPERLINK("https://twitter.com/mjfuhlhage")</f>
        <v>https://twitter.com/mjfuhlhage</v>
      </c>
      <c r="BP86" s="80" t="str">
        <f>REPLACE(INDEX(GroupVertices[Group], MATCH("~"&amp;Vertices[[#This Row],[Vertex]],GroupVertices[Vertex],0)),1,1,"")</f>
        <v>14</v>
      </c>
      <c r="BQ86" s="49">
        <v>1</v>
      </c>
      <c r="BR86" s="50">
        <v>5.882352941176471</v>
      </c>
      <c r="BS86" s="49">
        <v>0</v>
      </c>
      <c r="BT86" s="50">
        <v>0</v>
      </c>
      <c r="BU86" s="49">
        <v>0</v>
      </c>
      <c r="BV86" s="50">
        <v>0</v>
      </c>
      <c r="BW86" s="49">
        <v>8</v>
      </c>
      <c r="BX86" s="50">
        <v>47.058823529411768</v>
      </c>
      <c r="BY86" s="49">
        <v>17</v>
      </c>
      <c r="BZ86" s="49"/>
      <c r="CA86" s="49"/>
      <c r="CB86" s="49"/>
      <c r="CC86" s="49"/>
      <c r="CD86" s="49"/>
      <c r="CE86" s="49"/>
      <c r="CF86" s="116" t="s">
        <v>9942</v>
      </c>
      <c r="CG86" s="116" t="s">
        <v>9942</v>
      </c>
      <c r="CH86" s="116" t="s">
        <v>10012</v>
      </c>
      <c r="CI86" s="116" t="s">
        <v>10012</v>
      </c>
      <c r="CJ86" s="2"/>
      <c r="CK86" s="3"/>
      <c r="CL86" s="3"/>
      <c r="CM86" s="3"/>
      <c r="CN86" s="3"/>
    </row>
    <row r="87" spans="1:92" x14ac:dyDescent="0.25">
      <c r="A87" s="65" t="s">
        <v>339</v>
      </c>
      <c r="B87" s="66"/>
      <c r="C87" s="66" t="s">
        <v>64</v>
      </c>
      <c r="D87" s="67">
        <v>100</v>
      </c>
      <c r="E87" s="69"/>
      <c r="F87" s="104" t="str">
        <f>HYPERLINK("https://pbs.twimg.com/profile_images/1687629648690135040/rGAw3JdF_normal.jpg")</f>
        <v>https://pbs.twimg.com/profile_images/1687629648690135040/rGAw3JdF_normal.jpg</v>
      </c>
      <c r="G87" s="66"/>
      <c r="H87" s="70" t="s">
        <v>339</v>
      </c>
      <c r="I87" s="71"/>
      <c r="J87" s="71" t="s">
        <v>159</v>
      </c>
      <c r="K87" s="70" t="s">
        <v>1541</v>
      </c>
      <c r="L87" s="74">
        <v>1</v>
      </c>
      <c r="M87" s="75">
        <v>9541.3955078125</v>
      </c>
      <c r="N87" s="75">
        <v>1548.1990966796875</v>
      </c>
      <c r="O87" s="76"/>
      <c r="P87" s="77"/>
      <c r="Q87" s="77"/>
      <c r="R87" s="90"/>
      <c r="S87" s="49">
        <v>1</v>
      </c>
      <c r="T87" s="49">
        <v>0</v>
      </c>
      <c r="U87" s="50">
        <v>0</v>
      </c>
      <c r="V87" s="50">
        <v>8.1300000000000001E-3</v>
      </c>
      <c r="W87" s="50">
        <v>0</v>
      </c>
      <c r="X87" s="50">
        <v>8.0649999999999993E-3</v>
      </c>
      <c r="Y87" s="50">
        <v>0</v>
      </c>
      <c r="Z87" s="50">
        <v>0</v>
      </c>
      <c r="AA87" s="72">
        <v>87</v>
      </c>
      <c r="AB87" s="72"/>
      <c r="AC87" s="73"/>
      <c r="AD87" s="80" t="s">
        <v>1014</v>
      </c>
      <c r="AE87" s="87" t="s">
        <v>878</v>
      </c>
      <c r="AF87" s="80">
        <v>12820</v>
      </c>
      <c r="AG87" s="80">
        <v>3805</v>
      </c>
      <c r="AH87" s="80">
        <v>77616</v>
      </c>
      <c r="AI87" s="80">
        <v>1021</v>
      </c>
      <c r="AJ87" s="80">
        <v>105855</v>
      </c>
      <c r="AK87" s="80">
        <v>5391</v>
      </c>
      <c r="AL87" s="80" t="b">
        <v>0</v>
      </c>
      <c r="AM87" s="82">
        <v>39443.99894675926</v>
      </c>
      <c r="AN87" s="80" t="s">
        <v>1209</v>
      </c>
      <c r="AO87" s="80" t="s">
        <v>1309</v>
      </c>
      <c r="AP87" s="85" t="str">
        <f>HYPERLINK("https://t.co/PwDfGOllN3")</f>
        <v>https://t.co/PwDfGOllN3</v>
      </c>
      <c r="AQ87" s="85" t="str">
        <f>HYPERLINK("http://carriebrown.info/")</f>
        <v>http://carriebrown.info/</v>
      </c>
      <c r="AR87" s="80" t="s">
        <v>1412</v>
      </c>
      <c r="AS87" s="80"/>
      <c r="AT87" s="80"/>
      <c r="AU87" s="80"/>
      <c r="AV87" s="80">
        <v>1.7009562242026399E+18</v>
      </c>
      <c r="AW87" s="85" t="str">
        <f>HYPERLINK("https://t.co/PwDfGOllN3")</f>
        <v>https://t.co/PwDfGOllN3</v>
      </c>
      <c r="AX87" s="80" t="b">
        <v>0</v>
      </c>
      <c r="AY87" s="80"/>
      <c r="AZ87" s="80"/>
      <c r="BA87" s="80" t="b">
        <v>0</v>
      </c>
      <c r="BB87" s="80" t="b">
        <v>1</v>
      </c>
      <c r="BC87" s="80" t="b">
        <v>0</v>
      </c>
      <c r="BD87" s="80" t="b">
        <v>0</v>
      </c>
      <c r="BE87" s="80" t="b">
        <v>1</v>
      </c>
      <c r="BF87" s="80" t="b">
        <v>0</v>
      </c>
      <c r="BG87" s="80" t="b">
        <v>0</v>
      </c>
      <c r="BH87" s="85" t="str">
        <f>HYPERLINK("https://pbs.twimg.com/profile_banners/11584622/1399691634")</f>
        <v>https://pbs.twimg.com/profile_banners/11584622/1399691634</v>
      </c>
      <c r="BI87" s="80"/>
      <c r="BJ87" s="80" t="s">
        <v>1455</v>
      </c>
      <c r="BK87" s="80" t="b">
        <v>0</v>
      </c>
      <c r="BL87" s="80"/>
      <c r="BM87" s="80" t="s">
        <v>65</v>
      </c>
      <c r="BN87" s="80" t="s">
        <v>1457</v>
      </c>
      <c r="BO87" s="85" t="str">
        <f>HYPERLINK("https://twitter.com/brizzyc")</f>
        <v>https://twitter.com/brizzyc</v>
      </c>
      <c r="BP87" s="80" t="str">
        <f>REPLACE(INDEX(GroupVertices[Group], MATCH("~"&amp;Vertices[[#This Row],[Vertex]],GroupVertices[Vertex],0)),1,1,"")</f>
        <v>14</v>
      </c>
      <c r="BQ87" s="49"/>
      <c r="BR87" s="50"/>
      <c r="BS87" s="49"/>
      <c r="BT87" s="50"/>
      <c r="BU87" s="49"/>
      <c r="BV87" s="50"/>
      <c r="BW87" s="49"/>
      <c r="BX87" s="50"/>
      <c r="BY87" s="49"/>
      <c r="BZ87" s="49"/>
      <c r="CA87" s="49"/>
      <c r="CB87" s="49"/>
      <c r="CC87" s="49"/>
      <c r="CD87" s="49"/>
      <c r="CE87" s="49"/>
      <c r="CF87" s="49"/>
      <c r="CG87" s="49"/>
      <c r="CH87" s="49"/>
      <c r="CI87" s="49"/>
      <c r="CJ87" s="2"/>
      <c r="CK87" s="3"/>
      <c r="CL87" s="3"/>
      <c r="CM87" s="3"/>
      <c r="CN87" s="3"/>
    </row>
    <row r="88" spans="1:92" x14ac:dyDescent="0.25">
      <c r="A88" s="65" t="s">
        <v>286</v>
      </c>
      <c r="B88" s="66"/>
      <c r="C88" s="66" t="s">
        <v>64</v>
      </c>
      <c r="D88" s="67">
        <v>100</v>
      </c>
      <c r="E88" s="69"/>
      <c r="F88" s="104" t="str">
        <f>HYPERLINK("https://pbs.twimg.com/profile_images/1222958034990829568/O3XAgaHo_normal.jpg")</f>
        <v>https://pbs.twimg.com/profile_images/1222958034990829568/O3XAgaHo_normal.jpg</v>
      </c>
      <c r="G88" s="66"/>
      <c r="H88" s="70" t="s">
        <v>286</v>
      </c>
      <c r="I88" s="71"/>
      <c r="J88" s="71" t="s">
        <v>159</v>
      </c>
      <c r="K88" s="70" t="s">
        <v>1542</v>
      </c>
      <c r="L88" s="74">
        <v>1</v>
      </c>
      <c r="M88" s="75">
        <v>5774.65283203125</v>
      </c>
      <c r="N88" s="75">
        <v>2423.82666015625</v>
      </c>
      <c r="O88" s="76"/>
      <c r="P88" s="77"/>
      <c r="Q88" s="77"/>
      <c r="R88" s="90"/>
      <c r="S88" s="49">
        <v>0</v>
      </c>
      <c r="T88" s="49">
        <v>1</v>
      </c>
      <c r="U88" s="50">
        <v>0</v>
      </c>
      <c r="V88" s="50">
        <v>3.0644000000000001E-2</v>
      </c>
      <c r="W88" s="50">
        <v>0</v>
      </c>
      <c r="X88" s="50">
        <v>7.1630000000000001E-3</v>
      </c>
      <c r="Y88" s="50">
        <v>0</v>
      </c>
      <c r="Z88" s="50">
        <v>0</v>
      </c>
      <c r="AA88" s="72">
        <v>88</v>
      </c>
      <c r="AB88" s="72"/>
      <c r="AC88" s="73"/>
      <c r="AD88" s="80" t="s">
        <v>1015</v>
      </c>
      <c r="AE88" s="87" t="s">
        <v>1123</v>
      </c>
      <c r="AF88" s="80">
        <v>399</v>
      </c>
      <c r="AG88" s="80">
        <v>872</v>
      </c>
      <c r="AH88" s="80">
        <v>192</v>
      </c>
      <c r="AI88" s="80">
        <v>4</v>
      </c>
      <c r="AJ88" s="80">
        <v>218</v>
      </c>
      <c r="AK88" s="80">
        <v>2</v>
      </c>
      <c r="AL88" s="80" t="b">
        <v>0</v>
      </c>
      <c r="AM88" s="82">
        <v>40803.267523148148</v>
      </c>
      <c r="AN88" s="80" t="s">
        <v>1210</v>
      </c>
      <c r="AO88" s="80" t="s">
        <v>1310</v>
      </c>
      <c r="AP88" s="85" t="str">
        <f>HYPERLINK("https://t.co/rqGpNuiUnd")</f>
        <v>https://t.co/rqGpNuiUnd</v>
      </c>
      <c r="AQ88" s="85" t="str">
        <f>HYPERLINK("https://ryerson.academia.edu/SiboChen")</f>
        <v>https://ryerson.academia.edu/SiboChen</v>
      </c>
      <c r="AR88" s="80" t="s">
        <v>1413</v>
      </c>
      <c r="AS88" s="80"/>
      <c r="AT88" s="80"/>
      <c r="AU88" s="80"/>
      <c r="AV88" s="80"/>
      <c r="AW88" s="85" t="str">
        <f>HYPERLINK("https://t.co/rqGpNuiUnd")</f>
        <v>https://t.co/rqGpNuiUnd</v>
      </c>
      <c r="AX88" s="80" t="b">
        <v>0</v>
      </c>
      <c r="AY88" s="80"/>
      <c r="AZ88" s="80"/>
      <c r="BA88" s="80" t="b">
        <v>0</v>
      </c>
      <c r="BB88" s="80" t="b">
        <v>1</v>
      </c>
      <c r="BC88" s="80" t="b">
        <v>1</v>
      </c>
      <c r="BD88" s="80" t="b">
        <v>0</v>
      </c>
      <c r="BE88" s="80" t="b">
        <v>0</v>
      </c>
      <c r="BF88" s="80" t="b">
        <v>0</v>
      </c>
      <c r="BG88" s="80" t="b">
        <v>0</v>
      </c>
      <c r="BH88" s="80"/>
      <c r="BI88" s="80"/>
      <c r="BJ88" s="80" t="s">
        <v>1455</v>
      </c>
      <c r="BK88" s="80" t="b">
        <v>0</v>
      </c>
      <c r="BL88" s="80"/>
      <c r="BM88" s="80" t="s">
        <v>66</v>
      </c>
      <c r="BN88" s="80" t="s">
        <v>1457</v>
      </c>
      <c r="BO88" s="85" t="str">
        <f>HYPERLINK("https://twitter.com/chensibo")</f>
        <v>https://twitter.com/chensibo</v>
      </c>
      <c r="BP88" s="80" t="str">
        <f>REPLACE(INDEX(GroupVertices[Group], MATCH("~"&amp;Vertices[[#This Row],[Vertex]],GroupVertices[Vertex],0)),1,1,"")</f>
        <v>7</v>
      </c>
      <c r="BQ88" s="49">
        <v>1</v>
      </c>
      <c r="BR88" s="50">
        <v>4.5454545454545459</v>
      </c>
      <c r="BS88" s="49">
        <v>0</v>
      </c>
      <c r="BT88" s="50">
        <v>0</v>
      </c>
      <c r="BU88" s="49">
        <v>0</v>
      </c>
      <c r="BV88" s="50">
        <v>0</v>
      </c>
      <c r="BW88" s="49">
        <v>14</v>
      </c>
      <c r="BX88" s="50">
        <v>63.636363636363633</v>
      </c>
      <c r="BY88" s="49">
        <v>22</v>
      </c>
      <c r="BZ88" s="49"/>
      <c r="CA88" s="49"/>
      <c r="CB88" s="49"/>
      <c r="CC88" s="49"/>
      <c r="CD88" s="49"/>
      <c r="CE88" s="49"/>
      <c r="CF88" s="116" t="s">
        <v>9910</v>
      </c>
      <c r="CG88" s="116" t="s">
        <v>9910</v>
      </c>
      <c r="CH88" s="116" t="s">
        <v>9980</v>
      </c>
      <c r="CI88" s="116" t="s">
        <v>9980</v>
      </c>
      <c r="CJ88" s="2"/>
      <c r="CK88" s="3"/>
      <c r="CL88" s="3"/>
      <c r="CM88" s="3"/>
      <c r="CN88" s="3"/>
    </row>
    <row r="89" spans="1:92" x14ac:dyDescent="0.25">
      <c r="A89" s="65" t="s">
        <v>287</v>
      </c>
      <c r="B89" s="66"/>
      <c r="C89" s="66" t="s">
        <v>64</v>
      </c>
      <c r="D89" s="67">
        <v>800</v>
      </c>
      <c r="E89" s="69"/>
      <c r="F89" s="104" t="str">
        <f>HYPERLINK("https://pbs.twimg.com/profile_images/875743415681650688/zx5VnYNU_normal.jpg")</f>
        <v>https://pbs.twimg.com/profile_images/875743415681650688/zx5VnYNU_normal.jpg</v>
      </c>
      <c r="G89" s="66"/>
      <c r="H89" s="70" t="s">
        <v>287</v>
      </c>
      <c r="I89" s="71"/>
      <c r="J89" s="71" t="s">
        <v>75</v>
      </c>
      <c r="K89" s="70" t="s">
        <v>1543</v>
      </c>
      <c r="L89" s="74">
        <v>1106.3740597021397</v>
      </c>
      <c r="M89" s="75">
        <v>3772.385009765625</v>
      </c>
      <c r="N89" s="75">
        <v>2928.00390625</v>
      </c>
      <c r="O89" s="76"/>
      <c r="P89" s="77"/>
      <c r="Q89" s="77"/>
      <c r="R89" s="90"/>
      <c r="S89" s="49">
        <v>1</v>
      </c>
      <c r="T89" s="49">
        <v>6</v>
      </c>
      <c r="U89" s="50">
        <v>1020</v>
      </c>
      <c r="V89" s="50">
        <v>0.25107600000000002</v>
      </c>
      <c r="W89" s="50">
        <v>1.4775E-2</v>
      </c>
      <c r="X89" s="50">
        <v>1.244E-2</v>
      </c>
      <c r="Y89" s="50">
        <v>0</v>
      </c>
      <c r="Z89" s="50">
        <v>0.16666666666666666</v>
      </c>
      <c r="AA89" s="72">
        <v>89</v>
      </c>
      <c r="AB89" s="72"/>
      <c r="AC89" s="73"/>
      <c r="AD89" s="80" t="s">
        <v>1016</v>
      </c>
      <c r="AE89" s="87" t="s">
        <v>1124</v>
      </c>
      <c r="AF89" s="80">
        <v>6326</v>
      </c>
      <c r="AG89" s="80">
        <v>274</v>
      </c>
      <c r="AH89" s="80">
        <v>14458</v>
      </c>
      <c r="AI89" s="80">
        <v>172</v>
      </c>
      <c r="AJ89" s="80">
        <v>10779</v>
      </c>
      <c r="AK89" s="80">
        <v>3811</v>
      </c>
      <c r="AL89" s="80" t="b">
        <v>0</v>
      </c>
      <c r="AM89" s="82">
        <v>40099.108680555553</v>
      </c>
      <c r="AN89" s="80" t="s">
        <v>1211</v>
      </c>
      <c r="AO89" s="80" t="s">
        <v>1311</v>
      </c>
      <c r="AP89" s="85" t="str">
        <f>HYPERLINK("https://t.co/rIxY2FiGKQ")</f>
        <v>https://t.co/rIxY2FiGKQ</v>
      </c>
      <c r="AQ89" s="85" t="str">
        <f>HYPERLINK("http://www.rowman.com")</f>
        <v>http://www.rowman.com</v>
      </c>
      <c r="AR89" s="80" t="s">
        <v>1414</v>
      </c>
      <c r="AS89" s="80"/>
      <c r="AT89" s="80"/>
      <c r="AU89" s="80"/>
      <c r="AV89" s="80">
        <v>1.69833151591712E+18</v>
      </c>
      <c r="AW89" s="85" t="str">
        <f>HYPERLINK("https://t.co/rIxY2FiGKQ")</f>
        <v>https://t.co/rIxY2FiGKQ</v>
      </c>
      <c r="AX89" s="80" t="b">
        <v>0</v>
      </c>
      <c r="AY89" s="80"/>
      <c r="AZ89" s="80"/>
      <c r="BA89" s="80" t="b">
        <v>0</v>
      </c>
      <c r="BB89" s="80" t="b">
        <v>1</v>
      </c>
      <c r="BC89" s="80" t="b">
        <v>0</v>
      </c>
      <c r="BD89" s="80" t="b">
        <v>0</v>
      </c>
      <c r="BE89" s="80" t="b">
        <v>1</v>
      </c>
      <c r="BF89" s="80" t="b">
        <v>0</v>
      </c>
      <c r="BG89" s="80" t="b">
        <v>0</v>
      </c>
      <c r="BH89" s="85" t="str">
        <f>HYPERLINK("https://pbs.twimg.com/profile_banners/81992242/1695643181")</f>
        <v>https://pbs.twimg.com/profile_banners/81992242/1695643181</v>
      </c>
      <c r="BI89" s="80"/>
      <c r="BJ89" s="80" t="s">
        <v>1455</v>
      </c>
      <c r="BK89" s="80" t="b">
        <v>0</v>
      </c>
      <c r="BL89" s="80"/>
      <c r="BM89" s="80" t="s">
        <v>66</v>
      </c>
      <c r="BN89" s="80" t="s">
        <v>1457</v>
      </c>
      <c r="BO89" s="85" t="str">
        <f>HYPERLINK("https://twitter.com/rlpgbooks")</f>
        <v>https://twitter.com/rlpgbooks</v>
      </c>
      <c r="BP89" s="80" t="str">
        <f>REPLACE(INDEX(GroupVertices[Group], MATCH("~"&amp;Vertices[[#This Row],[Vertex]],GroupVertices[Vertex],0)),1,1,"")</f>
        <v>4</v>
      </c>
      <c r="BQ89" s="49">
        <v>0</v>
      </c>
      <c r="BR89" s="50">
        <v>0</v>
      </c>
      <c r="BS89" s="49">
        <v>0</v>
      </c>
      <c r="BT89" s="50">
        <v>0</v>
      </c>
      <c r="BU89" s="49">
        <v>0</v>
      </c>
      <c r="BV89" s="50">
        <v>0</v>
      </c>
      <c r="BW89" s="49">
        <v>23</v>
      </c>
      <c r="BX89" s="50">
        <v>71.875</v>
      </c>
      <c r="BY89" s="49">
        <v>32</v>
      </c>
      <c r="BZ89" s="49" t="s">
        <v>9590</v>
      </c>
      <c r="CA89" s="49" t="s">
        <v>9590</v>
      </c>
      <c r="CB89" s="49" t="s">
        <v>512</v>
      </c>
      <c r="CC89" s="49" t="s">
        <v>512</v>
      </c>
      <c r="CD89" s="49"/>
      <c r="CE89" s="49"/>
      <c r="CF89" s="116" t="s">
        <v>9943</v>
      </c>
      <c r="CG89" s="116" t="s">
        <v>9943</v>
      </c>
      <c r="CH89" s="116" t="s">
        <v>10013</v>
      </c>
      <c r="CI89" s="116" t="s">
        <v>10013</v>
      </c>
      <c r="CJ89" s="2"/>
      <c r="CK89" s="3"/>
      <c r="CL89" s="3"/>
      <c r="CM89" s="3"/>
      <c r="CN89" s="3"/>
    </row>
    <row r="90" spans="1:92" x14ac:dyDescent="0.25">
      <c r="A90" s="65" t="s">
        <v>340</v>
      </c>
      <c r="B90" s="66"/>
      <c r="C90" s="66" t="s">
        <v>64</v>
      </c>
      <c r="D90" s="67">
        <v>100</v>
      </c>
      <c r="E90" s="69"/>
      <c r="F90" s="104" t="str">
        <f>HYPERLINK("https://pbs.twimg.com/profile_images/1712497062372052992/pTmtye2J_normal.png")</f>
        <v>https://pbs.twimg.com/profile_images/1712497062372052992/pTmtye2J_normal.png</v>
      </c>
      <c r="G90" s="66"/>
      <c r="H90" s="70" t="s">
        <v>340</v>
      </c>
      <c r="I90" s="71"/>
      <c r="J90" s="71" t="s">
        <v>159</v>
      </c>
      <c r="K90" s="70" t="s">
        <v>1544</v>
      </c>
      <c r="L90" s="74">
        <v>1</v>
      </c>
      <c r="M90" s="75">
        <v>3504.322509765625</v>
      </c>
      <c r="N90" s="75">
        <v>4438.7490234375</v>
      </c>
      <c r="O90" s="76"/>
      <c r="P90" s="77"/>
      <c r="Q90" s="77"/>
      <c r="R90" s="90"/>
      <c r="S90" s="49">
        <v>1</v>
      </c>
      <c r="T90" s="49">
        <v>0</v>
      </c>
      <c r="U90" s="50">
        <v>0</v>
      </c>
      <c r="V90" s="50">
        <v>0.194434</v>
      </c>
      <c r="W90" s="50">
        <v>1.8060000000000001E-3</v>
      </c>
      <c r="X90" s="50">
        <v>7.1659999999999996E-3</v>
      </c>
      <c r="Y90" s="50">
        <v>0</v>
      </c>
      <c r="Z90" s="50">
        <v>0</v>
      </c>
      <c r="AA90" s="72">
        <v>90</v>
      </c>
      <c r="AB90" s="72"/>
      <c r="AC90" s="73"/>
      <c r="AD90" s="80" t="s">
        <v>1017</v>
      </c>
      <c r="AE90" s="87" t="s">
        <v>1125</v>
      </c>
      <c r="AF90" s="80">
        <v>68320</v>
      </c>
      <c r="AG90" s="80">
        <v>1980</v>
      </c>
      <c r="AH90" s="80">
        <v>14591</v>
      </c>
      <c r="AI90" s="80">
        <v>964</v>
      </c>
      <c r="AJ90" s="80">
        <v>3057</v>
      </c>
      <c r="AK90" s="80">
        <v>1014</v>
      </c>
      <c r="AL90" s="80" t="b">
        <v>0</v>
      </c>
      <c r="AM90" s="82">
        <v>39801.846597222226</v>
      </c>
      <c r="AN90" s="80" t="s">
        <v>1175</v>
      </c>
      <c r="AO90" s="80" t="s">
        <v>1312</v>
      </c>
      <c r="AP90" s="85" t="str">
        <f>HYPERLINK("https://t.co/lCucNY8fhB")</f>
        <v>https://t.co/lCucNY8fhB</v>
      </c>
      <c r="AQ90" s="85" t="str">
        <f>HYPERLINK("http://www.asanet.org/")</f>
        <v>http://www.asanet.org/</v>
      </c>
      <c r="AR90" s="80" t="s">
        <v>1415</v>
      </c>
      <c r="AS90" s="85" t="str">
        <f>HYPERLINK("https://t.co/Y9f7A2fzsJ")</f>
        <v>https://t.co/Y9f7A2fzsJ</v>
      </c>
      <c r="AT90" s="85" t="str">
        <f>HYPERLINK("http://threads.net/@asanews")</f>
        <v>http://threads.net/@asanews</v>
      </c>
      <c r="AU90" s="80" t="s">
        <v>1450</v>
      </c>
      <c r="AV90" s="80">
        <v>1.62623348373471E+18</v>
      </c>
      <c r="AW90" s="85" t="str">
        <f>HYPERLINK("https://t.co/lCucNY8fhB")</f>
        <v>https://t.co/lCucNY8fhB</v>
      </c>
      <c r="AX90" s="80" t="b">
        <v>1</v>
      </c>
      <c r="AY90" s="80"/>
      <c r="AZ90" s="80"/>
      <c r="BA90" s="80" t="b">
        <v>0</v>
      </c>
      <c r="BB90" s="80" t="b">
        <v>0</v>
      </c>
      <c r="BC90" s="80" t="b">
        <v>0</v>
      </c>
      <c r="BD90" s="80" t="b">
        <v>0</v>
      </c>
      <c r="BE90" s="80" t="b">
        <v>0</v>
      </c>
      <c r="BF90" s="80" t="b">
        <v>0</v>
      </c>
      <c r="BG90" s="80" t="b">
        <v>0</v>
      </c>
      <c r="BH90" s="85" t="str">
        <f>HYPERLINK("https://pbs.twimg.com/profile_banners/18250336/1697125575")</f>
        <v>https://pbs.twimg.com/profile_banners/18250336/1697125575</v>
      </c>
      <c r="BI90" s="80"/>
      <c r="BJ90" s="80" t="s">
        <v>1455</v>
      </c>
      <c r="BK90" s="80" t="b">
        <v>0</v>
      </c>
      <c r="BL90" s="80"/>
      <c r="BM90" s="80" t="s">
        <v>65</v>
      </c>
      <c r="BN90" s="80" t="s">
        <v>1457</v>
      </c>
      <c r="BO90" s="85" t="str">
        <f>HYPERLINK("https://twitter.com/asanews")</f>
        <v>https://twitter.com/asanews</v>
      </c>
      <c r="BP90" s="80" t="str">
        <f>REPLACE(INDEX(GroupVertices[Group], MATCH("~"&amp;Vertices[[#This Row],[Vertex]],GroupVertices[Vertex],0)),1,1,"")</f>
        <v>4</v>
      </c>
      <c r="BQ90" s="49"/>
      <c r="BR90" s="50"/>
      <c r="BS90" s="49"/>
      <c r="BT90" s="50"/>
      <c r="BU90" s="49"/>
      <c r="BV90" s="50"/>
      <c r="BW90" s="49"/>
      <c r="BX90" s="50"/>
      <c r="BY90" s="49"/>
      <c r="BZ90" s="49"/>
      <c r="CA90" s="49"/>
      <c r="CB90" s="49"/>
      <c r="CC90" s="49"/>
      <c r="CD90" s="49"/>
      <c r="CE90" s="49"/>
      <c r="CF90" s="49"/>
      <c r="CG90" s="49"/>
      <c r="CH90" s="49"/>
      <c r="CI90" s="49"/>
      <c r="CJ90" s="2"/>
      <c r="CK90" s="3"/>
      <c r="CL90" s="3"/>
      <c r="CM90" s="3"/>
      <c r="CN90" s="3"/>
    </row>
    <row r="91" spans="1:92" x14ac:dyDescent="0.25">
      <c r="A91" s="65" t="s">
        <v>341</v>
      </c>
      <c r="B91" s="66"/>
      <c r="C91" s="66" t="s">
        <v>64</v>
      </c>
      <c r="D91" s="67">
        <v>100</v>
      </c>
      <c r="E91" s="69"/>
      <c r="F91" s="104" t="str">
        <f>HYPERLINK("https://pbs.twimg.com/profile_images/1096490350653390849/UBMik6Hb_normal.jpg")</f>
        <v>https://pbs.twimg.com/profile_images/1096490350653390849/UBMik6Hb_normal.jpg</v>
      </c>
      <c r="G91" s="66"/>
      <c r="H91" s="70" t="s">
        <v>341</v>
      </c>
      <c r="I91" s="71"/>
      <c r="J91" s="71" t="s">
        <v>159</v>
      </c>
      <c r="K91" s="70" t="s">
        <v>1545</v>
      </c>
      <c r="L91" s="74">
        <v>1</v>
      </c>
      <c r="M91" s="75">
        <v>3953.67724609375</v>
      </c>
      <c r="N91" s="75">
        <v>4732.037109375</v>
      </c>
      <c r="O91" s="76"/>
      <c r="P91" s="77"/>
      <c r="Q91" s="77"/>
      <c r="R91" s="90"/>
      <c r="S91" s="49">
        <v>1</v>
      </c>
      <c r="T91" s="49">
        <v>0</v>
      </c>
      <c r="U91" s="50">
        <v>0</v>
      </c>
      <c r="V91" s="50">
        <v>0.194434</v>
      </c>
      <c r="W91" s="50">
        <v>1.8060000000000001E-3</v>
      </c>
      <c r="X91" s="50">
        <v>7.1659999999999996E-3</v>
      </c>
      <c r="Y91" s="50">
        <v>0</v>
      </c>
      <c r="Z91" s="50">
        <v>0</v>
      </c>
      <c r="AA91" s="72">
        <v>91</v>
      </c>
      <c r="AB91" s="72"/>
      <c r="AC91" s="73"/>
      <c r="AD91" s="80" t="s">
        <v>1018</v>
      </c>
      <c r="AE91" s="87" t="s">
        <v>1126</v>
      </c>
      <c r="AF91" s="80">
        <v>351</v>
      </c>
      <c r="AG91" s="80">
        <v>329</v>
      </c>
      <c r="AH91" s="80">
        <v>298</v>
      </c>
      <c r="AI91" s="80">
        <v>9</v>
      </c>
      <c r="AJ91" s="80">
        <v>291</v>
      </c>
      <c r="AK91" s="80">
        <v>32</v>
      </c>
      <c r="AL91" s="80" t="b">
        <v>0</v>
      </c>
      <c r="AM91" s="82">
        <v>43420.947546296295</v>
      </c>
      <c r="AN91" s="80"/>
      <c r="AO91" s="80" t="s">
        <v>1313</v>
      </c>
      <c r="AP91" s="80"/>
      <c r="AQ91" s="80"/>
      <c r="AR91" s="80"/>
      <c r="AS91" s="80"/>
      <c r="AT91" s="80"/>
      <c r="AU91" s="80"/>
      <c r="AV91" s="80">
        <v>1.6175623948587699E+18</v>
      </c>
      <c r="AW91" s="80"/>
      <c r="AX91" s="80" t="b">
        <v>0</v>
      </c>
      <c r="AY91" s="80"/>
      <c r="AZ91" s="80"/>
      <c r="BA91" s="80" t="b">
        <v>0</v>
      </c>
      <c r="BB91" s="80" t="b">
        <v>1</v>
      </c>
      <c r="BC91" s="80" t="b">
        <v>1</v>
      </c>
      <c r="BD91" s="80" t="b">
        <v>0</v>
      </c>
      <c r="BE91" s="80" t="b">
        <v>1</v>
      </c>
      <c r="BF91" s="80" t="b">
        <v>0</v>
      </c>
      <c r="BG91" s="80" t="b">
        <v>0</v>
      </c>
      <c r="BH91" s="80"/>
      <c r="BI91" s="80"/>
      <c r="BJ91" s="80" t="s">
        <v>1455</v>
      </c>
      <c r="BK91" s="80" t="b">
        <v>0</v>
      </c>
      <c r="BL91" s="80"/>
      <c r="BM91" s="80" t="s">
        <v>65</v>
      </c>
      <c r="BN91" s="80" t="s">
        <v>1457</v>
      </c>
      <c r="BO91" s="85" t="str">
        <f>HYPERLINK("https://twitter.com/aargrad")</f>
        <v>https://twitter.com/aargrad</v>
      </c>
      <c r="BP91" s="80" t="str">
        <f>REPLACE(INDEX(GroupVertices[Group], MATCH("~"&amp;Vertices[[#This Row],[Vertex]],GroupVertices[Vertex],0)),1,1,"")</f>
        <v>4</v>
      </c>
      <c r="BQ91" s="49"/>
      <c r="BR91" s="50"/>
      <c r="BS91" s="49"/>
      <c r="BT91" s="50"/>
      <c r="BU91" s="49"/>
      <c r="BV91" s="50"/>
      <c r="BW91" s="49"/>
      <c r="BX91" s="50"/>
      <c r="BY91" s="49"/>
      <c r="BZ91" s="49"/>
      <c r="CA91" s="49"/>
      <c r="CB91" s="49"/>
      <c r="CC91" s="49"/>
      <c r="CD91" s="49"/>
      <c r="CE91" s="49"/>
      <c r="CF91" s="49"/>
      <c r="CG91" s="49"/>
      <c r="CH91" s="49"/>
      <c r="CI91" s="49"/>
      <c r="CJ91" s="2"/>
      <c r="CK91" s="3"/>
      <c r="CL91" s="3"/>
      <c r="CM91" s="3"/>
      <c r="CN91" s="3"/>
    </row>
    <row r="92" spans="1:92" x14ac:dyDescent="0.25">
      <c r="A92" s="65" t="s">
        <v>342</v>
      </c>
      <c r="B92" s="66"/>
      <c r="C92" s="66" t="s">
        <v>64</v>
      </c>
      <c r="D92" s="67">
        <v>100</v>
      </c>
      <c r="E92" s="69"/>
      <c r="F92" s="104" t="str">
        <f>HYPERLINK("https://pbs.twimg.com/profile_images/1516904872599339011/iIGZfBBN_normal.jpg")</f>
        <v>https://pbs.twimg.com/profile_images/1516904872599339011/iIGZfBBN_normal.jpg</v>
      </c>
      <c r="G92" s="66"/>
      <c r="H92" s="70" t="s">
        <v>342</v>
      </c>
      <c r="I92" s="71"/>
      <c r="J92" s="71" t="s">
        <v>159</v>
      </c>
      <c r="K92" s="70" t="s">
        <v>1546</v>
      </c>
      <c r="L92" s="74">
        <v>1</v>
      </c>
      <c r="M92" s="75">
        <v>3005.163818359375</v>
      </c>
      <c r="N92" s="75">
        <v>2722.73974609375</v>
      </c>
      <c r="O92" s="76"/>
      <c r="P92" s="77"/>
      <c r="Q92" s="77"/>
      <c r="R92" s="90"/>
      <c r="S92" s="49">
        <v>1</v>
      </c>
      <c r="T92" s="49">
        <v>0</v>
      </c>
      <c r="U92" s="50">
        <v>0</v>
      </c>
      <c r="V92" s="50">
        <v>0.194434</v>
      </c>
      <c r="W92" s="50">
        <v>1.8060000000000001E-3</v>
      </c>
      <c r="X92" s="50">
        <v>7.1659999999999996E-3</v>
      </c>
      <c r="Y92" s="50">
        <v>0</v>
      </c>
      <c r="Z92" s="50">
        <v>0</v>
      </c>
      <c r="AA92" s="72">
        <v>92</v>
      </c>
      <c r="AB92" s="72"/>
      <c r="AC92" s="73"/>
      <c r="AD92" s="80" t="s">
        <v>1019</v>
      </c>
      <c r="AE92" s="87" t="s">
        <v>1127</v>
      </c>
      <c r="AF92" s="80">
        <v>602</v>
      </c>
      <c r="AG92" s="80">
        <v>544</v>
      </c>
      <c r="AH92" s="80">
        <v>3335</v>
      </c>
      <c r="AI92" s="80">
        <v>6</v>
      </c>
      <c r="AJ92" s="80">
        <v>838</v>
      </c>
      <c r="AK92" s="80">
        <v>145</v>
      </c>
      <c r="AL92" s="80" t="b">
        <v>0</v>
      </c>
      <c r="AM92" s="82">
        <v>41342.000300925924</v>
      </c>
      <c r="AN92" s="80"/>
      <c r="AO92" s="80" t="s">
        <v>1314</v>
      </c>
      <c r="AP92" s="85" t="str">
        <f>HYPERLINK("https://t.co/mPMZ6QgcE5")</f>
        <v>https://t.co/mPMZ6QgcE5</v>
      </c>
      <c r="AQ92" s="85" t="str">
        <f>HYPERLINK("https://nemlagraduatecaucus.wordpress.com/")</f>
        <v>https://nemlagraduatecaucus.wordpress.com/</v>
      </c>
      <c r="AR92" s="80" t="s">
        <v>1416</v>
      </c>
      <c r="AS92" s="80"/>
      <c r="AT92" s="80"/>
      <c r="AU92" s="80"/>
      <c r="AV92" s="80">
        <v>1.68177956094833E+18</v>
      </c>
      <c r="AW92" s="85" t="str">
        <f>HYPERLINK("https://t.co/mPMZ6QgcE5")</f>
        <v>https://t.co/mPMZ6QgcE5</v>
      </c>
      <c r="AX92" s="80" t="b">
        <v>0</v>
      </c>
      <c r="AY92" s="80"/>
      <c r="AZ92" s="80"/>
      <c r="BA92" s="80" t="b">
        <v>0</v>
      </c>
      <c r="BB92" s="80" t="b">
        <v>1</v>
      </c>
      <c r="BC92" s="80" t="b">
        <v>1</v>
      </c>
      <c r="BD92" s="80" t="b">
        <v>0</v>
      </c>
      <c r="BE92" s="80" t="b">
        <v>1</v>
      </c>
      <c r="BF92" s="80" t="b">
        <v>0</v>
      </c>
      <c r="BG92" s="80" t="b">
        <v>0</v>
      </c>
      <c r="BH92" s="85" t="str">
        <f>HYPERLINK("https://pbs.twimg.com/profile_banners/1252999056/1584017353")</f>
        <v>https://pbs.twimg.com/profile_banners/1252999056/1584017353</v>
      </c>
      <c r="BI92" s="80"/>
      <c r="BJ92" s="80" t="s">
        <v>1455</v>
      </c>
      <c r="BK92" s="80" t="b">
        <v>0</v>
      </c>
      <c r="BL92" s="80"/>
      <c r="BM92" s="80" t="s">
        <v>65</v>
      </c>
      <c r="BN92" s="80" t="s">
        <v>1457</v>
      </c>
      <c r="BO92" s="85" t="str">
        <f>HYPERLINK("https://twitter.com/nemlagradcaucus")</f>
        <v>https://twitter.com/nemlagradcaucus</v>
      </c>
      <c r="BP92" s="80" t="str">
        <f>REPLACE(INDEX(GroupVertices[Group], MATCH("~"&amp;Vertices[[#This Row],[Vertex]],GroupVertices[Vertex],0)),1,1,"")</f>
        <v>4</v>
      </c>
      <c r="BQ92" s="49"/>
      <c r="BR92" s="50"/>
      <c r="BS92" s="49"/>
      <c r="BT92" s="50"/>
      <c r="BU92" s="49"/>
      <c r="BV92" s="50"/>
      <c r="BW92" s="49"/>
      <c r="BX92" s="50"/>
      <c r="BY92" s="49"/>
      <c r="BZ92" s="49"/>
      <c r="CA92" s="49"/>
      <c r="CB92" s="49"/>
      <c r="CC92" s="49"/>
      <c r="CD92" s="49"/>
      <c r="CE92" s="49"/>
      <c r="CF92" s="49"/>
      <c r="CG92" s="49"/>
      <c r="CH92" s="49"/>
      <c r="CI92" s="49"/>
      <c r="CJ92" s="2"/>
      <c r="CK92" s="3"/>
      <c r="CL92" s="3"/>
      <c r="CM92" s="3"/>
      <c r="CN92" s="3"/>
    </row>
    <row r="93" spans="1:92" x14ac:dyDescent="0.25">
      <c r="A93" s="65" t="s">
        <v>343</v>
      </c>
      <c r="B93" s="66"/>
      <c r="C93" s="66" t="s">
        <v>64</v>
      </c>
      <c r="D93" s="67">
        <v>100</v>
      </c>
      <c r="E93" s="69"/>
      <c r="F93" s="104" t="str">
        <f>HYPERLINK("https://pbs.twimg.com/profile_images/1479478426440450050/tZ5NAJoe_normal.jpg")</f>
        <v>https://pbs.twimg.com/profile_images/1479478426440450050/tZ5NAJoe_normal.jpg</v>
      </c>
      <c r="G93" s="66"/>
      <c r="H93" s="70" t="s">
        <v>343</v>
      </c>
      <c r="I93" s="71"/>
      <c r="J93" s="71" t="s">
        <v>159</v>
      </c>
      <c r="K93" s="70" t="s">
        <v>1547</v>
      </c>
      <c r="L93" s="74">
        <v>1</v>
      </c>
      <c r="M93" s="75">
        <v>3087.6025390625</v>
      </c>
      <c r="N93" s="75">
        <v>1750.5655517578125</v>
      </c>
      <c r="O93" s="76"/>
      <c r="P93" s="77"/>
      <c r="Q93" s="77"/>
      <c r="R93" s="90"/>
      <c r="S93" s="49">
        <v>1</v>
      </c>
      <c r="T93" s="49">
        <v>0</v>
      </c>
      <c r="U93" s="50">
        <v>0</v>
      </c>
      <c r="V93" s="50">
        <v>0.194434</v>
      </c>
      <c r="W93" s="50">
        <v>1.8060000000000001E-3</v>
      </c>
      <c r="X93" s="50">
        <v>7.1659999999999996E-3</v>
      </c>
      <c r="Y93" s="50">
        <v>0</v>
      </c>
      <c r="Z93" s="50">
        <v>0</v>
      </c>
      <c r="AA93" s="72">
        <v>93</v>
      </c>
      <c r="AB93" s="72"/>
      <c r="AC93" s="73"/>
      <c r="AD93" s="80" t="s">
        <v>1020</v>
      </c>
      <c r="AE93" s="87" t="s">
        <v>1128</v>
      </c>
      <c r="AF93" s="80">
        <v>629</v>
      </c>
      <c r="AG93" s="80">
        <v>759</v>
      </c>
      <c r="AH93" s="80">
        <v>258</v>
      </c>
      <c r="AI93" s="80">
        <v>0</v>
      </c>
      <c r="AJ93" s="80">
        <v>388</v>
      </c>
      <c r="AK93" s="80">
        <v>40</v>
      </c>
      <c r="AL93" s="80" t="b">
        <v>0</v>
      </c>
      <c r="AM93" s="82">
        <v>44460.670671296299</v>
      </c>
      <c r="AN93" s="80"/>
      <c r="AO93" s="80" t="s">
        <v>1315</v>
      </c>
      <c r="AP93" s="80"/>
      <c r="AQ93" s="80"/>
      <c r="AR93" s="80"/>
      <c r="AS93" s="80"/>
      <c r="AT93" s="80"/>
      <c r="AU93" s="80"/>
      <c r="AV93" s="80">
        <v>1.7074801504626199E+18</v>
      </c>
      <c r="AW93" s="80"/>
      <c r="AX93" s="80" t="b">
        <v>0</v>
      </c>
      <c r="AY93" s="80"/>
      <c r="AZ93" s="80"/>
      <c r="BA93" s="80" t="b">
        <v>0</v>
      </c>
      <c r="BB93" s="80" t="b">
        <v>1</v>
      </c>
      <c r="BC93" s="80" t="b">
        <v>1</v>
      </c>
      <c r="BD93" s="80" t="b">
        <v>0</v>
      </c>
      <c r="BE93" s="80" t="b">
        <v>0</v>
      </c>
      <c r="BF93" s="80" t="b">
        <v>0</v>
      </c>
      <c r="BG93" s="80" t="b">
        <v>0</v>
      </c>
      <c r="BH93" s="85" t="str">
        <f>HYPERLINK("https://pbs.twimg.com/profile_banners/1440346438370660356/1641570119")</f>
        <v>https://pbs.twimg.com/profile_banners/1440346438370660356/1641570119</v>
      </c>
      <c r="BI93" s="80"/>
      <c r="BJ93" s="80" t="s">
        <v>1455</v>
      </c>
      <c r="BK93" s="80" t="b">
        <v>0</v>
      </c>
      <c r="BL93" s="80"/>
      <c r="BM93" s="80" t="s">
        <v>65</v>
      </c>
      <c r="BN93" s="80" t="s">
        <v>1457</v>
      </c>
      <c r="BO93" s="85" t="str">
        <f>HYPERLINK("https://twitter.com/apagradecp")</f>
        <v>https://twitter.com/apagradecp</v>
      </c>
      <c r="BP93" s="80" t="str">
        <f>REPLACE(INDEX(GroupVertices[Group], MATCH("~"&amp;Vertices[[#This Row],[Vertex]],GroupVertices[Vertex],0)),1,1,"")</f>
        <v>4</v>
      </c>
      <c r="BQ93" s="49"/>
      <c r="BR93" s="50"/>
      <c r="BS93" s="49"/>
      <c r="BT93" s="50"/>
      <c r="BU93" s="49"/>
      <c r="BV93" s="50"/>
      <c r="BW93" s="49"/>
      <c r="BX93" s="50"/>
      <c r="BY93" s="49"/>
      <c r="BZ93" s="49"/>
      <c r="CA93" s="49"/>
      <c r="CB93" s="49"/>
      <c r="CC93" s="49"/>
      <c r="CD93" s="49"/>
      <c r="CE93" s="49"/>
      <c r="CF93" s="49"/>
      <c r="CG93" s="49"/>
      <c r="CH93" s="49"/>
      <c r="CI93" s="49"/>
      <c r="CJ93" s="2"/>
      <c r="CK93" s="3"/>
      <c r="CL93" s="3"/>
      <c r="CM93" s="3"/>
      <c r="CN93" s="3"/>
    </row>
    <row r="94" spans="1:92" x14ac:dyDescent="0.25">
      <c r="A94" s="65" t="s">
        <v>344</v>
      </c>
      <c r="B94" s="66"/>
      <c r="C94" s="66" t="s">
        <v>64</v>
      </c>
      <c r="D94" s="67">
        <v>100</v>
      </c>
      <c r="E94" s="69"/>
      <c r="F94" s="104" t="str">
        <f>HYPERLINK("https://pbs.twimg.com/profile_images/1284236702203228160/rrM1LUtC_normal.jpg")</f>
        <v>https://pbs.twimg.com/profile_images/1284236702203228160/rrM1LUtC_normal.jpg</v>
      </c>
      <c r="G94" s="66"/>
      <c r="H94" s="70" t="s">
        <v>344</v>
      </c>
      <c r="I94" s="71"/>
      <c r="J94" s="71" t="s">
        <v>159</v>
      </c>
      <c r="K94" s="70" t="s">
        <v>1548</v>
      </c>
      <c r="L94" s="74">
        <v>1</v>
      </c>
      <c r="M94" s="75">
        <v>3148.090087890625</v>
      </c>
      <c r="N94" s="75">
        <v>3719.47900390625</v>
      </c>
      <c r="O94" s="76"/>
      <c r="P94" s="77"/>
      <c r="Q94" s="77"/>
      <c r="R94" s="90"/>
      <c r="S94" s="49">
        <v>1</v>
      </c>
      <c r="T94" s="49">
        <v>0</v>
      </c>
      <c r="U94" s="50">
        <v>0</v>
      </c>
      <c r="V94" s="50">
        <v>0.194434</v>
      </c>
      <c r="W94" s="50">
        <v>1.8060000000000001E-3</v>
      </c>
      <c r="X94" s="50">
        <v>7.1659999999999996E-3</v>
      </c>
      <c r="Y94" s="50">
        <v>0</v>
      </c>
      <c r="Z94" s="50">
        <v>0</v>
      </c>
      <c r="AA94" s="72">
        <v>94</v>
      </c>
      <c r="AB94" s="72"/>
      <c r="AC94" s="73"/>
      <c r="AD94" s="80" t="s">
        <v>1021</v>
      </c>
      <c r="AE94" s="87" t="s">
        <v>1129</v>
      </c>
      <c r="AF94" s="80">
        <v>338</v>
      </c>
      <c r="AG94" s="80">
        <v>215</v>
      </c>
      <c r="AH94" s="80">
        <v>283</v>
      </c>
      <c r="AI94" s="80">
        <v>6</v>
      </c>
      <c r="AJ94" s="80">
        <v>125</v>
      </c>
      <c r="AK94" s="80">
        <v>32</v>
      </c>
      <c r="AL94" s="80" t="b">
        <v>0</v>
      </c>
      <c r="AM94" s="82">
        <v>43747.792881944442</v>
      </c>
      <c r="AN94" s="80"/>
      <c r="AO94" s="80" t="s">
        <v>1316</v>
      </c>
      <c r="AP94" s="85" t="str">
        <f>HYPERLINK("https://t.co/y2pWhKyGQF")</f>
        <v>https://t.co/y2pWhKyGQF</v>
      </c>
      <c r="AQ94" s="85" t="str">
        <f>HYPERLINK("http://apaonline.org/page/gsc")</f>
        <v>http://apaonline.org/page/gsc</v>
      </c>
      <c r="AR94" s="80" t="s">
        <v>1417</v>
      </c>
      <c r="AS94" s="85" t="str">
        <f>HYPERLINK("https://t.co/TD6kz5s8v7")</f>
        <v>https://t.co/TD6kz5s8v7</v>
      </c>
      <c r="AT94" s="85" t="str">
        <f>HYPERLINK("http://facebook.com/GraduateStuden")</f>
        <v>http://facebook.com/GraduateStuden</v>
      </c>
      <c r="AU94" s="80" t="s">
        <v>1451</v>
      </c>
      <c r="AV94" s="80"/>
      <c r="AW94" s="85" t="str">
        <f>HYPERLINK("https://t.co/y2pWhKyGQF")</f>
        <v>https://t.co/y2pWhKyGQF</v>
      </c>
      <c r="AX94" s="80" t="b">
        <v>0</v>
      </c>
      <c r="AY94" s="80"/>
      <c r="AZ94" s="80"/>
      <c r="BA94" s="80" t="b">
        <v>0</v>
      </c>
      <c r="BB94" s="80" t="b">
        <v>1</v>
      </c>
      <c r="BC94" s="80" t="b">
        <v>1</v>
      </c>
      <c r="BD94" s="80" t="b">
        <v>0</v>
      </c>
      <c r="BE94" s="80" t="b">
        <v>0</v>
      </c>
      <c r="BF94" s="80" t="b">
        <v>0</v>
      </c>
      <c r="BG94" s="80" t="b">
        <v>0</v>
      </c>
      <c r="BH94" s="85" t="str">
        <f>HYPERLINK("https://pbs.twimg.com/profile_banners/1182007531851468806/1570648060")</f>
        <v>https://pbs.twimg.com/profile_banners/1182007531851468806/1570648060</v>
      </c>
      <c r="BI94" s="80"/>
      <c r="BJ94" s="80" t="s">
        <v>1455</v>
      </c>
      <c r="BK94" s="80" t="b">
        <v>0</v>
      </c>
      <c r="BL94" s="80"/>
      <c r="BM94" s="80" t="s">
        <v>65</v>
      </c>
      <c r="BN94" s="80" t="s">
        <v>1457</v>
      </c>
      <c r="BO94" s="85" t="str">
        <f>HYPERLINK("https://twitter.com/apa_gsc")</f>
        <v>https://twitter.com/apa_gsc</v>
      </c>
      <c r="BP94" s="80" t="str">
        <f>REPLACE(INDEX(GroupVertices[Group], MATCH("~"&amp;Vertices[[#This Row],[Vertex]],GroupVertices[Vertex],0)),1,1,"")</f>
        <v>4</v>
      </c>
      <c r="BQ94" s="49"/>
      <c r="BR94" s="50"/>
      <c r="BS94" s="49"/>
      <c r="BT94" s="50"/>
      <c r="BU94" s="49"/>
      <c r="BV94" s="50"/>
      <c r="BW94" s="49"/>
      <c r="BX94" s="50"/>
      <c r="BY94" s="49"/>
      <c r="BZ94" s="49"/>
      <c r="CA94" s="49"/>
      <c r="CB94" s="49"/>
      <c r="CC94" s="49"/>
      <c r="CD94" s="49"/>
      <c r="CE94" s="49"/>
      <c r="CF94" s="49"/>
      <c r="CG94" s="49"/>
      <c r="CH94" s="49"/>
      <c r="CI94" s="49"/>
      <c r="CJ94" s="2"/>
      <c r="CK94" s="3"/>
      <c r="CL94" s="3"/>
      <c r="CM94" s="3"/>
      <c r="CN94" s="3"/>
    </row>
    <row r="95" spans="1:92" x14ac:dyDescent="0.25">
      <c r="A95" s="65" t="s">
        <v>345</v>
      </c>
      <c r="B95" s="66"/>
      <c r="C95" s="66" t="s">
        <v>64</v>
      </c>
      <c r="D95" s="67">
        <v>100</v>
      </c>
      <c r="E95" s="69"/>
      <c r="F95" s="104" t="str">
        <f>HYPERLINK("https://pbs.twimg.com/profile_images/719051533334089728/ntB0-EqE_normal.jpg")</f>
        <v>https://pbs.twimg.com/profile_images/719051533334089728/ntB0-EqE_normal.jpg</v>
      </c>
      <c r="G95" s="66"/>
      <c r="H95" s="70" t="s">
        <v>345</v>
      </c>
      <c r="I95" s="71"/>
      <c r="J95" s="71" t="s">
        <v>159</v>
      </c>
      <c r="K95" s="70" t="s">
        <v>1549</v>
      </c>
      <c r="L95" s="74">
        <v>1</v>
      </c>
      <c r="M95" s="75">
        <v>4450.22607421875</v>
      </c>
      <c r="N95" s="75">
        <v>4937.77783203125</v>
      </c>
      <c r="O95" s="76"/>
      <c r="P95" s="77"/>
      <c r="Q95" s="77"/>
      <c r="R95" s="90"/>
      <c r="S95" s="49">
        <v>1</v>
      </c>
      <c r="T95" s="49">
        <v>0</v>
      </c>
      <c r="U95" s="50">
        <v>0</v>
      </c>
      <c r="V95" s="50">
        <v>0.16356599999999999</v>
      </c>
      <c r="W95" s="50">
        <v>9.8200000000000002E-4</v>
      </c>
      <c r="X95" s="50">
        <v>7.3200000000000001E-3</v>
      </c>
      <c r="Y95" s="50">
        <v>0</v>
      </c>
      <c r="Z95" s="50">
        <v>0</v>
      </c>
      <c r="AA95" s="72">
        <v>95</v>
      </c>
      <c r="AB95" s="72"/>
      <c r="AC95" s="73"/>
      <c r="AD95" s="80" t="s">
        <v>1022</v>
      </c>
      <c r="AE95" s="87" t="s">
        <v>1130</v>
      </c>
      <c r="AF95" s="80">
        <v>86984</v>
      </c>
      <c r="AG95" s="80">
        <v>635</v>
      </c>
      <c r="AH95" s="80">
        <v>884</v>
      </c>
      <c r="AI95" s="80">
        <v>247</v>
      </c>
      <c r="AJ95" s="80">
        <v>158</v>
      </c>
      <c r="AK95" s="80">
        <v>30</v>
      </c>
      <c r="AL95" s="80" t="b">
        <v>0</v>
      </c>
      <c r="AM95" s="82">
        <v>39912.316747685189</v>
      </c>
      <c r="AN95" s="80" t="s">
        <v>1212</v>
      </c>
      <c r="AO95" s="80" t="s">
        <v>1317</v>
      </c>
      <c r="AP95" s="85" t="str">
        <f>HYPERLINK("http://t.co/gZ8vhnZOLV")</f>
        <v>http://t.co/gZ8vhnZOLV</v>
      </c>
      <c r="AQ95" s="85" t="str">
        <f>HYPERLINK("http://www.fangkc.com")</f>
        <v>http://www.fangkc.com</v>
      </c>
      <c r="AR95" s="80" t="s">
        <v>1418</v>
      </c>
      <c r="AS95" s="80"/>
      <c r="AT95" s="80"/>
      <c r="AU95" s="80"/>
      <c r="AV95" s="80"/>
      <c r="AW95" s="85" t="str">
        <f>HYPERLINK("http://t.co/gZ8vhnZOLV")</f>
        <v>http://t.co/gZ8vhnZOLV</v>
      </c>
      <c r="AX95" s="80" t="b">
        <v>0</v>
      </c>
      <c r="AY95" s="80"/>
      <c r="AZ95" s="80"/>
      <c r="BA95" s="80" t="b">
        <v>0</v>
      </c>
      <c r="BB95" s="80" t="b">
        <v>1</v>
      </c>
      <c r="BC95" s="80" t="b">
        <v>0</v>
      </c>
      <c r="BD95" s="80" t="b">
        <v>0</v>
      </c>
      <c r="BE95" s="80" t="b">
        <v>0</v>
      </c>
      <c r="BF95" s="80" t="b">
        <v>0</v>
      </c>
      <c r="BG95" s="80" t="b">
        <v>0</v>
      </c>
      <c r="BH95" s="85" t="str">
        <f>HYPERLINK("https://pbs.twimg.com/profile_banners/29942836/1594314720")</f>
        <v>https://pbs.twimg.com/profile_banners/29942836/1594314720</v>
      </c>
      <c r="BI95" s="80"/>
      <c r="BJ95" s="80" t="s">
        <v>1455</v>
      </c>
      <c r="BK95" s="80" t="b">
        <v>0</v>
      </c>
      <c r="BL95" s="80"/>
      <c r="BM95" s="80" t="s">
        <v>65</v>
      </c>
      <c r="BN95" s="80" t="s">
        <v>1457</v>
      </c>
      <c r="BO95" s="85" t="str">
        <f>HYPERLINK("https://twitter.com/fangkc")</f>
        <v>https://twitter.com/fangkc</v>
      </c>
      <c r="BP95" s="80" t="str">
        <f>REPLACE(INDEX(GroupVertices[Group], MATCH("~"&amp;Vertices[[#This Row],[Vertex]],GroupVertices[Vertex],0)),1,1,"")</f>
        <v>3</v>
      </c>
      <c r="BQ95" s="49"/>
      <c r="BR95" s="50"/>
      <c r="BS95" s="49"/>
      <c r="BT95" s="50"/>
      <c r="BU95" s="49"/>
      <c r="BV95" s="50"/>
      <c r="BW95" s="49"/>
      <c r="BX95" s="50"/>
      <c r="BY95" s="49"/>
      <c r="BZ95" s="49"/>
      <c r="CA95" s="49"/>
      <c r="CB95" s="49"/>
      <c r="CC95" s="49"/>
      <c r="CD95" s="49"/>
      <c r="CE95" s="49"/>
      <c r="CF95" s="49"/>
      <c r="CG95" s="49"/>
      <c r="CH95" s="49"/>
      <c r="CI95" s="49"/>
      <c r="CJ95" s="2"/>
      <c r="CK95" s="3"/>
      <c r="CL95" s="3"/>
      <c r="CM95" s="3"/>
      <c r="CN95" s="3"/>
    </row>
    <row r="96" spans="1:92" x14ac:dyDescent="0.25">
      <c r="A96" s="65" t="s">
        <v>346</v>
      </c>
      <c r="B96" s="66"/>
      <c r="C96" s="66" t="s">
        <v>64</v>
      </c>
      <c r="D96" s="67">
        <v>100</v>
      </c>
      <c r="E96" s="69"/>
      <c r="F96" s="104" t="str">
        <f>HYPERLINK("https://pbs.twimg.com/profile_images/1544120914748608513/6spHlz8v_normal.jpg")</f>
        <v>https://pbs.twimg.com/profile_images/1544120914748608513/6spHlz8v_normal.jpg</v>
      </c>
      <c r="G96" s="66"/>
      <c r="H96" s="70" t="s">
        <v>346</v>
      </c>
      <c r="I96" s="71"/>
      <c r="J96" s="71" t="s">
        <v>159</v>
      </c>
      <c r="K96" s="70" t="s">
        <v>1550</v>
      </c>
      <c r="L96" s="74">
        <v>1</v>
      </c>
      <c r="M96" s="75">
        <v>5313.03759765625</v>
      </c>
      <c r="N96" s="75">
        <v>5328.283203125</v>
      </c>
      <c r="O96" s="76"/>
      <c r="P96" s="77"/>
      <c r="Q96" s="77"/>
      <c r="R96" s="90"/>
      <c r="S96" s="49">
        <v>1</v>
      </c>
      <c r="T96" s="49">
        <v>0</v>
      </c>
      <c r="U96" s="50">
        <v>0</v>
      </c>
      <c r="V96" s="50">
        <v>0.16356599999999999</v>
      </c>
      <c r="W96" s="50">
        <v>9.8200000000000002E-4</v>
      </c>
      <c r="X96" s="50">
        <v>7.3200000000000001E-3</v>
      </c>
      <c r="Y96" s="50">
        <v>0</v>
      </c>
      <c r="Z96" s="50">
        <v>0</v>
      </c>
      <c r="AA96" s="72">
        <v>96</v>
      </c>
      <c r="AB96" s="72"/>
      <c r="AC96" s="73"/>
      <c r="AD96" s="80" t="s">
        <v>1023</v>
      </c>
      <c r="AE96" s="87" t="s">
        <v>1131</v>
      </c>
      <c r="AF96" s="80">
        <v>840</v>
      </c>
      <c r="AG96" s="80">
        <v>550</v>
      </c>
      <c r="AH96" s="80">
        <v>240</v>
      </c>
      <c r="AI96" s="80">
        <v>4</v>
      </c>
      <c r="AJ96" s="80">
        <v>1294</v>
      </c>
      <c r="AK96" s="80">
        <v>6</v>
      </c>
      <c r="AL96" s="80" t="b">
        <v>0</v>
      </c>
      <c r="AM96" s="82">
        <v>43126.247731481482</v>
      </c>
      <c r="AN96" s="80"/>
      <c r="AO96" s="80" t="s">
        <v>1318</v>
      </c>
      <c r="AP96" s="85" t="str">
        <f>HYPERLINK("https://t.co/wA9h5poZSy")</f>
        <v>https://t.co/wA9h5poZSy</v>
      </c>
      <c r="AQ96" s="85" t="str">
        <f>HYPERLINK("https://scholar.google.com/citations?user=iIRfgaYAAAAJ&amp;hl=en&amp;oi=ao")</f>
        <v>https://scholar.google.com/citations?user=iIRfgaYAAAAJ&amp;hl=en&amp;oi=ao</v>
      </c>
      <c r="AR96" s="80" t="s">
        <v>1419</v>
      </c>
      <c r="AS96" s="80"/>
      <c r="AT96" s="80"/>
      <c r="AU96" s="80"/>
      <c r="AV96" s="80"/>
      <c r="AW96" s="85" t="str">
        <f>HYPERLINK("https://t.co/wA9h5poZSy")</f>
        <v>https://t.co/wA9h5poZSy</v>
      </c>
      <c r="AX96" s="80" t="b">
        <v>0</v>
      </c>
      <c r="AY96" s="80"/>
      <c r="AZ96" s="80"/>
      <c r="BA96" s="80" t="b">
        <v>0</v>
      </c>
      <c r="BB96" s="80" t="b">
        <v>1</v>
      </c>
      <c r="BC96" s="80" t="b">
        <v>1</v>
      </c>
      <c r="BD96" s="80" t="b">
        <v>0</v>
      </c>
      <c r="BE96" s="80" t="b">
        <v>0</v>
      </c>
      <c r="BF96" s="80" t="b">
        <v>0</v>
      </c>
      <c r="BG96" s="80" t="b">
        <v>0</v>
      </c>
      <c r="BH96" s="85" t="str">
        <f>HYPERLINK("https://pbs.twimg.com/profile_banners/956767843730649088/1525184487")</f>
        <v>https://pbs.twimg.com/profile_banners/956767843730649088/1525184487</v>
      </c>
      <c r="BI96" s="80"/>
      <c r="BJ96" s="80" t="s">
        <v>1455</v>
      </c>
      <c r="BK96" s="80" t="b">
        <v>0</v>
      </c>
      <c r="BL96" s="80"/>
      <c r="BM96" s="80" t="s">
        <v>65</v>
      </c>
      <c r="BN96" s="80" t="s">
        <v>1457</v>
      </c>
      <c r="BO96" s="85" t="str">
        <f>HYPERLINK("https://twitter.com/tianyangyt")</f>
        <v>https://twitter.com/tianyangyt</v>
      </c>
      <c r="BP96" s="80" t="str">
        <f>REPLACE(INDEX(GroupVertices[Group], MATCH("~"&amp;Vertices[[#This Row],[Vertex]],GroupVertices[Vertex],0)),1,1,"")</f>
        <v>3</v>
      </c>
      <c r="BQ96" s="49"/>
      <c r="BR96" s="50"/>
      <c r="BS96" s="49"/>
      <c r="BT96" s="50"/>
      <c r="BU96" s="49"/>
      <c r="BV96" s="50"/>
      <c r="BW96" s="49"/>
      <c r="BX96" s="50"/>
      <c r="BY96" s="49"/>
      <c r="BZ96" s="49"/>
      <c r="CA96" s="49"/>
      <c r="CB96" s="49"/>
      <c r="CC96" s="49"/>
      <c r="CD96" s="49"/>
      <c r="CE96" s="49"/>
      <c r="CF96" s="49"/>
      <c r="CG96" s="49"/>
      <c r="CH96" s="49"/>
      <c r="CI96" s="49"/>
      <c r="CJ96" s="2"/>
      <c r="CK96" s="3"/>
      <c r="CL96" s="3"/>
      <c r="CM96" s="3"/>
      <c r="CN96" s="3"/>
    </row>
    <row r="97" spans="1:92" x14ac:dyDescent="0.25">
      <c r="A97" s="65" t="s">
        <v>290</v>
      </c>
      <c r="B97" s="66"/>
      <c r="C97" s="66" t="s">
        <v>64</v>
      </c>
      <c r="D97" s="67">
        <v>100</v>
      </c>
      <c r="E97" s="69"/>
      <c r="F97" s="104" t="str">
        <f>HYPERLINK("https://pbs.twimg.com/profile_images/1584045967027879937/izp8q46N_normal.jpg")</f>
        <v>https://pbs.twimg.com/profile_images/1584045967027879937/izp8q46N_normal.jpg</v>
      </c>
      <c r="G97" s="66"/>
      <c r="H97" s="70" t="s">
        <v>290</v>
      </c>
      <c r="I97" s="71"/>
      <c r="J97" s="71" t="s">
        <v>159</v>
      </c>
      <c r="K97" s="70" t="s">
        <v>1551</v>
      </c>
      <c r="L97" s="74">
        <v>1</v>
      </c>
      <c r="M97" s="75">
        <v>6601.1162109375</v>
      </c>
      <c r="N97" s="75">
        <v>1471.0462646484375</v>
      </c>
      <c r="O97" s="76"/>
      <c r="P97" s="77"/>
      <c r="Q97" s="77"/>
      <c r="R97" s="90"/>
      <c r="S97" s="49">
        <v>0</v>
      </c>
      <c r="T97" s="49">
        <v>1</v>
      </c>
      <c r="U97" s="50">
        <v>0</v>
      </c>
      <c r="V97" s="50">
        <v>0.232213</v>
      </c>
      <c r="W97" s="50">
        <v>1.2536E-2</v>
      </c>
      <c r="X97" s="50">
        <v>7.1110000000000001E-3</v>
      </c>
      <c r="Y97" s="50">
        <v>0</v>
      </c>
      <c r="Z97" s="50">
        <v>0</v>
      </c>
      <c r="AA97" s="72">
        <v>97</v>
      </c>
      <c r="AB97" s="72"/>
      <c r="AC97" s="73"/>
      <c r="AD97" s="80" t="s">
        <v>1024</v>
      </c>
      <c r="AE97" s="87" t="s">
        <v>891</v>
      </c>
      <c r="AF97" s="80">
        <v>107</v>
      </c>
      <c r="AG97" s="80">
        <v>282</v>
      </c>
      <c r="AH97" s="80">
        <v>265</v>
      </c>
      <c r="AI97" s="80">
        <v>0</v>
      </c>
      <c r="AJ97" s="80">
        <v>1304</v>
      </c>
      <c r="AK97" s="80">
        <v>27</v>
      </c>
      <c r="AL97" s="80" t="b">
        <v>0</v>
      </c>
      <c r="AM97" s="82">
        <v>43290.520497685182</v>
      </c>
      <c r="AN97" s="80" t="s">
        <v>1173</v>
      </c>
      <c r="AO97" s="80" t="s">
        <v>1319</v>
      </c>
      <c r="AP97" s="85" t="str">
        <f>HYPERLINK("https://t.co/DHtC0qQTw3")</f>
        <v>https://t.co/DHtC0qQTw3</v>
      </c>
      <c r="AQ97" s="85" t="str">
        <f>HYPERLINK("https://www.linkedin.com/in/uyendpp/")</f>
        <v>https://www.linkedin.com/in/uyendpp/</v>
      </c>
      <c r="AR97" s="80" t="s">
        <v>1420</v>
      </c>
      <c r="AS97" s="85" t="str">
        <f>HYPERLINK("https://t.co/1AO9qVxOEl")</f>
        <v>https://t.co/1AO9qVxOEl</v>
      </c>
      <c r="AT97" s="85" t="str">
        <f>HYPERLINK("http://facebook.com/1856aa")</f>
        <v>http://facebook.com/1856aa</v>
      </c>
      <c r="AU97" s="80" t="s">
        <v>1452</v>
      </c>
      <c r="AV97" s="80"/>
      <c r="AW97" s="85" t="str">
        <f>HYPERLINK("https://t.co/DHtC0qQTw3")</f>
        <v>https://t.co/DHtC0qQTw3</v>
      </c>
      <c r="AX97" s="80" t="b">
        <v>0</v>
      </c>
      <c r="AY97" s="80"/>
      <c r="AZ97" s="80"/>
      <c r="BA97" s="80" t="b">
        <v>0</v>
      </c>
      <c r="BB97" s="80" t="b">
        <v>1</v>
      </c>
      <c r="BC97" s="80" t="b">
        <v>0</v>
      </c>
      <c r="BD97" s="80" t="b">
        <v>0</v>
      </c>
      <c r="BE97" s="80" t="b">
        <v>0</v>
      </c>
      <c r="BF97" s="80" t="b">
        <v>0</v>
      </c>
      <c r="BG97" s="80" t="b">
        <v>0</v>
      </c>
      <c r="BH97" s="80"/>
      <c r="BI97" s="80"/>
      <c r="BJ97" s="80" t="s">
        <v>1455</v>
      </c>
      <c r="BK97" s="80" t="b">
        <v>0</v>
      </c>
      <c r="BL97" s="80"/>
      <c r="BM97" s="80" t="s">
        <v>66</v>
      </c>
      <c r="BN97" s="80" t="s">
        <v>1457</v>
      </c>
      <c r="BO97" s="85" t="str">
        <f>HYPERLINK("https://twitter.com/uyendpp")</f>
        <v>https://twitter.com/uyendpp</v>
      </c>
      <c r="BP97" s="80" t="str">
        <f>REPLACE(INDEX(GroupVertices[Group], MATCH("~"&amp;Vertices[[#This Row],[Vertex]],GroupVertices[Vertex],0)),1,1,"")</f>
        <v>10</v>
      </c>
      <c r="BQ97" s="49">
        <v>0</v>
      </c>
      <c r="BR97" s="50">
        <v>0</v>
      </c>
      <c r="BS97" s="49">
        <v>0</v>
      </c>
      <c r="BT97" s="50">
        <v>0</v>
      </c>
      <c r="BU97" s="49">
        <v>0</v>
      </c>
      <c r="BV97" s="50">
        <v>0</v>
      </c>
      <c r="BW97" s="49">
        <v>13</v>
      </c>
      <c r="BX97" s="50">
        <v>54.166666666666664</v>
      </c>
      <c r="BY97" s="49">
        <v>24</v>
      </c>
      <c r="BZ97" s="49"/>
      <c r="CA97" s="49"/>
      <c r="CB97" s="49"/>
      <c r="CC97" s="49"/>
      <c r="CD97" s="49"/>
      <c r="CE97" s="49"/>
      <c r="CF97" s="116" t="s">
        <v>9927</v>
      </c>
      <c r="CG97" s="116" t="s">
        <v>9927</v>
      </c>
      <c r="CH97" s="116" t="s">
        <v>9997</v>
      </c>
      <c r="CI97" s="116" t="s">
        <v>9997</v>
      </c>
      <c r="CJ97" s="2"/>
      <c r="CK97" s="3"/>
      <c r="CL97" s="3"/>
      <c r="CM97" s="3"/>
      <c r="CN97" s="3"/>
    </row>
    <row r="98" spans="1:92" x14ac:dyDescent="0.25">
      <c r="A98" s="65" t="s">
        <v>291</v>
      </c>
      <c r="B98" s="66"/>
      <c r="C98" s="66" t="s">
        <v>64</v>
      </c>
      <c r="D98" s="67">
        <v>100</v>
      </c>
      <c r="E98" s="69"/>
      <c r="F98" s="104" t="str">
        <f>HYPERLINK("https://pbs.twimg.com/profile_images/689449033899704320/cLJDzNha_normal.jpg")</f>
        <v>https://pbs.twimg.com/profile_images/689449033899704320/cLJDzNha_normal.jpg</v>
      </c>
      <c r="G98" s="66"/>
      <c r="H98" s="70" t="s">
        <v>291</v>
      </c>
      <c r="I98" s="71"/>
      <c r="J98" s="71" t="s">
        <v>159</v>
      </c>
      <c r="K98" s="70" t="s">
        <v>1552</v>
      </c>
      <c r="L98" s="74">
        <v>1</v>
      </c>
      <c r="M98" s="75">
        <v>614.23651123046875</v>
      </c>
      <c r="N98" s="75">
        <v>8146.22509765625</v>
      </c>
      <c r="O98" s="76"/>
      <c r="P98" s="77"/>
      <c r="Q98" s="77"/>
      <c r="R98" s="90"/>
      <c r="S98" s="49">
        <v>0</v>
      </c>
      <c r="T98" s="49">
        <v>2</v>
      </c>
      <c r="U98" s="50">
        <v>0</v>
      </c>
      <c r="V98" s="50">
        <v>0.24423500000000001</v>
      </c>
      <c r="W98" s="50">
        <v>3.1330999999999998E-2</v>
      </c>
      <c r="X98" s="50">
        <v>7.2329999999999998E-3</v>
      </c>
      <c r="Y98" s="50">
        <v>0.5</v>
      </c>
      <c r="Z98" s="50">
        <v>0</v>
      </c>
      <c r="AA98" s="72">
        <v>98</v>
      </c>
      <c r="AB98" s="72"/>
      <c r="AC98" s="73"/>
      <c r="AD98" s="80" t="s">
        <v>1025</v>
      </c>
      <c r="AE98" s="87" t="s">
        <v>1132</v>
      </c>
      <c r="AF98" s="80">
        <v>1367</v>
      </c>
      <c r="AG98" s="80">
        <v>1997</v>
      </c>
      <c r="AH98" s="80">
        <v>11050</v>
      </c>
      <c r="AI98" s="80">
        <v>56</v>
      </c>
      <c r="AJ98" s="80">
        <v>13915</v>
      </c>
      <c r="AK98" s="80">
        <v>118</v>
      </c>
      <c r="AL98" s="80" t="b">
        <v>0</v>
      </c>
      <c r="AM98" s="82">
        <v>39869.764768518522</v>
      </c>
      <c r="AN98" s="80" t="s">
        <v>1213</v>
      </c>
      <c r="AO98" s="80" t="s">
        <v>1320</v>
      </c>
      <c r="AP98" s="80"/>
      <c r="AQ98" s="80"/>
      <c r="AR98" s="80"/>
      <c r="AS98" s="80"/>
      <c r="AT98" s="80"/>
      <c r="AU98" s="80"/>
      <c r="AV98" s="80"/>
      <c r="AW98" s="80"/>
      <c r="AX98" s="80" t="b">
        <v>0</v>
      </c>
      <c r="AY98" s="80"/>
      <c r="AZ98" s="80"/>
      <c r="BA98" s="80" t="b">
        <v>1</v>
      </c>
      <c r="BB98" s="80" t="b">
        <v>0</v>
      </c>
      <c r="BC98" s="80" t="b">
        <v>0</v>
      </c>
      <c r="BD98" s="80" t="b">
        <v>0</v>
      </c>
      <c r="BE98" s="80" t="b">
        <v>1</v>
      </c>
      <c r="BF98" s="80" t="b">
        <v>0</v>
      </c>
      <c r="BG98" s="80" t="b">
        <v>0</v>
      </c>
      <c r="BH98" s="85" t="str">
        <f>HYPERLINK("https://pbs.twimg.com/profile_banners/21897949/1453212433")</f>
        <v>https://pbs.twimg.com/profile_banners/21897949/1453212433</v>
      </c>
      <c r="BI98" s="80"/>
      <c r="BJ98" s="80" t="s">
        <v>1455</v>
      </c>
      <c r="BK98" s="80" t="b">
        <v>0</v>
      </c>
      <c r="BL98" s="80"/>
      <c r="BM98" s="80" t="s">
        <v>66</v>
      </c>
      <c r="BN98" s="80" t="s">
        <v>1457</v>
      </c>
      <c r="BO98" s="85" t="str">
        <f>HYPERLINK("https://twitter.com/enwillis")</f>
        <v>https://twitter.com/enwillis</v>
      </c>
      <c r="BP98" s="80" t="str">
        <f>REPLACE(INDEX(GroupVertices[Group], MATCH("~"&amp;Vertices[[#This Row],[Vertex]],GroupVertices[Vertex],0)),1,1,"")</f>
        <v>2</v>
      </c>
      <c r="BQ98" s="49">
        <v>0</v>
      </c>
      <c r="BR98" s="50">
        <v>0</v>
      </c>
      <c r="BS98" s="49">
        <v>0</v>
      </c>
      <c r="BT98" s="50">
        <v>0</v>
      </c>
      <c r="BU98" s="49">
        <v>0</v>
      </c>
      <c r="BV98" s="50">
        <v>0</v>
      </c>
      <c r="BW98" s="49">
        <v>10</v>
      </c>
      <c r="BX98" s="50">
        <v>58.823529411764703</v>
      </c>
      <c r="BY98" s="49">
        <v>17</v>
      </c>
      <c r="BZ98" s="49"/>
      <c r="CA98" s="49"/>
      <c r="CB98" s="49"/>
      <c r="CC98" s="49"/>
      <c r="CD98" s="49"/>
      <c r="CE98" s="49"/>
      <c r="CF98" s="116" t="s">
        <v>9907</v>
      </c>
      <c r="CG98" s="116" t="s">
        <v>9907</v>
      </c>
      <c r="CH98" s="116" t="s">
        <v>9977</v>
      </c>
      <c r="CI98" s="116" t="s">
        <v>9977</v>
      </c>
      <c r="CJ98" s="2"/>
      <c r="CK98" s="3"/>
      <c r="CL98" s="3"/>
      <c r="CM98" s="3"/>
      <c r="CN98" s="3"/>
    </row>
    <row r="99" spans="1:92" x14ac:dyDescent="0.25">
      <c r="A99" s="65" t="s">
        <v>293</v>
      </c>
      <c r="B99" s="66"/>
      <c r="C99" s="66" t="s">
        <v>64</v>
      </c>
      <c r="D99" s="67">
        <v>524.91830088235292</v>
      </c>
      <c r="E99" s="69"/>
      <c r="F99" s="104" t="str">
        <f>HYPERLINK("https://pbs.twimg.com/profile_images/1554277220742463489/Y-mHzutC_normal.jpg")</f>
        <v>https://pbs.twimg.com/profile_images/1554277220742463489/Y-mHzutC_normal.jpg</v>
      </c>
      <c r="G99" s="66"/>
      <c r="H99" s="70" t="s">
        <v>293</v>
      </c>
      <c r="I99" s="71"/>
      <c r="J99" s="71" t="s">
        <v>75</v>
      </c>
      <c r="K99" s="70" t="s">
        <v>1553</v>
      </c>
      <c r="L99" s="74">
        <v>671.99095326865972</v>
      </c>
      <c r="M99" s="75">
        <v>1048.1329345703125</v>
      </c>
      <c r="N99" s="75">
        <v>1654.6256103515625</v>
      </c>
      <c r="O99" s="76"/>
      <c r="P99" s="77"/>
      <c r="Q99" s="77"/>
      <c r="R99" s="90"/>
      <c r="S99" s="49">
        <v>2</v>
      </c>
      <c r="T99" s="49">
        <v>7</v>
      </c>
      <c r="U99" s="50">
        <v>619.16666699999996</v>
      </c>
      <c r="V99" s="50">
        <v>0.32012200000000002</v>
      </c>
      <c r="W99" s="50">
        <v>0.12600900000000001</v>
      </c>
      <c r="X99" s="50">
        <v>1.0952999999999999E-2</v>
      </c>
      <c r="Y99" s="50">
        <v>0.11904761904761904</v>
      </c>
      <c r="Z99" s="50">
        <v>0.2857142857142857</v>
      </c>
      <c r="AA99" s="72">
        <v>99</v>
      </c>
      <c r="AB99" s="72"/>
      <c r="AC99" s="73"/>
      <c r="AD99" s="80" t="s">
        <v>1026</v>
      </c>
      <c r="AE99" s="87" t="s">
        <v>1133</v>
      </c>
      <c r="AF99" s="80">
        <v>664</v>
      </c>
      <c r="AG99" s="80">
        <v>474</v>
      </c>
      <c r="AH99" s="80">
        <v>1514</v>
      </c>
      <c r="AI99" s="80">
        <v>9</v>
      </c>
      <c r="AJ99" s="80">
        <v>2107</v>
      </c>
      <c r="AK99" s="80">
        <v>404</v>
      </c>
      <c r="AL99" s="80" t="b">
        <v>0</v>
      </c>
      <c r="AM99" s="82">
        <v>41145.505474537036</v>
      </c>
      <c r="AN99" s="80"/>
      <c r="AO99" s="80" t="s">
        <v>1321</v>
      </c>
      <c r="AP99" s="85" t="str">
        <f>HYPERLINK("https://t.co/kPUXuPmegu")</f>
        <v>https://t.co/kPUXuPmegu</v>
      </c>
      <c r="AQ99" s="85" t="str">
        <f>HYPERLINK("http://www.youtube.com/@keontecoleman")</f>
        <v>http://www.youtube.com/@keontecoleman</v>
      </c>
      <c r="AR99" s="80" t="s">
        <v>1421</v>
      </c>
      <c r="AS99" s="80"/>
      <c r="AT99" s="80"/>
      <c r="AU99" s="80"/>
      <c r="AV99" s="80">
        <v>1.7068060663805E+18</v>
      </c>
      <c r="AW99" s="85" t="str">
        <f>HYPERLINK("https://t.co/kPUXuPmegu")</f>
        <v>https://t.co/kPUXuPmegu</v>
      </c>
      <c r="AX99" s="80" t="b">
        <v>0</v>
      </c>
      <c r="AY99" s="80"/>
      <c r="AZ99" s="80"/>
      <c r="BA99" s="80" t="b">
        <v>1</v>
      </c>
      <c r="BB99" s="80" t="b">
        <v>1</v>
      </c>
      <c r="BC99" s="80" t="b">
        <v>1</v>
      </c>
      <c r="BD99" s="80" t="b">
        <v>0</v>
      </c>
      <c r="BE99" s="80" t="b">
        <v>0</v>
      </c>
      <c r="BF99" s="80" t="b">
        <v>0</v>
      </c>
      <c r="BG99" s="80" t="b">
        <v>0</v>
      </c>
      <c r="BH99" s="85" t="str">
        <f>HYPERLINK("https://pbs.twimg.com/profile_banners/778037328/1635776848")</f>
        <v>https://pbs.twimg.com/profile_banners/778037328/1635776848</v>
      </c>
      <c r="BI99" s="80"/>
      <c r="BJ99" s="80" t="s">
        <v>1455</v>
      </c>
      <c r="BK99" s="80" t="b">
        <v>0</v>
      </c>
      <c r="BL99" s="80"/>
      <c r="BM99" s="80" t="s">
        <v>66</v>
      </c>
      <c r="BN99" s="80" t="s">
        <v>1457</v>
      </c>
      <c r="BO99" s="85" t="str">
        <f>HYPERLINK("https://twitter.com/keontecoleman")</f>
        <v>https://twitter.com/keontecoleman</v>
      </c>
      <c r="BP99" s="80" t="str">
        <f>REPLACE(INDEX(GroupVertices[Group], MATCH("~"&amp;Vertices[[#This Row],[Vertex]],GroupVertices[Vertex],0)),1,1,"")</f>
        <v>1</v>
      </c>
      <c r="BQ99" s="49">
        <v>5</v>
      </c>
      <c r="BR99" s="50">
        <v>15.151515151515152</v>
      </c>
      <c r="BS99" s="49">
        <v>0</v>
      </c>
      <c r="BT99" s="50">
        <v>0</v>
      </c>
      <c r="BU99" s="49">
        <v>0</v>
      </c>
      <c r="BV99" s="50">
        <v>0</v>
      </c>
      <c r="BW99" s="49">
        <v>15</v>
      </c>
      <c r="BX99" s="50">
        <v>45.454545454545453</v>
      </c>
      <c r="BY99" s="49">
        <v>33</v>
      </c>
      <c r="BZ99" s="49" t="s">
        <v>9859</v>
      </c>
      <c r="CA99" s="49" t="s">
        <v>9859</v>
      </c>
      <c r="CB99" s="49" t="s">
        <v>514</v>
      </c>
      <c r="CC99" s="49" t="s">
        <v>514</v>
      </c>
      <c r="CD99" s="49"/>
      <c r="CE99" s="49"/>
      <c r="CF99" s="116" t="s">
        <v>9944</v>
      </c>
      <c r="CG99" s="116" t="s">
        <v>9944</v>
      </c>
      <c r="CH99" s="116" t="s">
        <v>10014</v>
      </c>
      <c r="CI99" s="116" t="s">
        <v>10014</v>
      </c>
      <c r="CJ99" s="2"/>
      <c r="CK99" s="3"/>
      <c r="CL99" s="3"/>
      <c r="CM99" s="3"/>
      <c r="CN99" s="3"/>
    </row>
    <row r="100" spans="1:92" x14ac:dyDescent="0.25">
      <c r="A100" s="65" t="s">
        <v>347</v>
      </c>
      <c r="B100" s="66"/>
      <c r="C100" s="66" t="s">
        <v>64</v>
      </c>
      <c r="D100" s="67">
        <v>100</v>
      </c>
      <c r="E100" s="69"/>
      <c r="F100" s="104" t="str">
        <f>HYPERLINK("https://pbs.twimg.com/profile_images/1567998799213219842/ZV1XbWSn_normal.jpg")</f>
        <v>https://pbs.twimg.com/profile_images/1567998799213219842/ZV1XbWSn_normal.jpg</v>
      </c>
      <c r="G100" s="66"/>
      <c r="H100" s="70" t="s">
        <v>347</v>
      </c>
      <c r="I100" s="71"/>
      <c r="J100" s="71" t="s">
        <v>159</v>
      </c>
      <c r="K100" s="70" t="s">
        <v>1554</v>
      </c>
      <c r="L100" s="74">
        <v>1</v>
      </c>
      <c r="M100" s="75">
        <v>1265.0828857421875</v>
      </c>
      <c r="N100" s="75">
        <v>272.60647583007813</v>
      </c>
      <c r="O100" s="76"/>
      <c r="P100" s="77"/>
      <c r="Q100" s="77"/>
      <c r="R100" s="90"/>
      <c r="S100" s="49">
        <v>1</v>
      </c>
      <c r="T100" s="49">
        <v>0</v>
      </c>
      <c r="U100" s="50">
        <v>0</v>
      </c>
      <c r="V100" s="50">
        <v>0.23342199999999999</v>
      </c>
      <c r="W100" s="50">
        <v>1.5401E-2</v>
      </c>
      <c r="X100" s="50">
        <v>7.0899999999999999E-3</v>
      </c>
      <c r="Y100" s="50">
        <v>0</v>
      </c>
      <c r="Z100" s="50">
        <v>0</v>
      </c>
      <c r="AA100" s="72">
        <v>100</v>
      </c>
      <c r="AB100" s="72"/>
      <c r="AC100" s="73"/>
      <c r="AD100" s="80" t="s">
        <v>1027</v>
      </c>
      <c r="AE100" s="87" t="s">
        <v>1134</v>
      </c>
      <c r="AF100" s="80">
        <v>54</v>
      </c>
      <c r="AG100" s="80">
        <v>60</v>
      </c>
      <c r="AH100" s="80">
        <v>37</v>
      </c>
      <c r="AI100" s="80">
        <v>0</v>
      </c>
      <c r="AJ100" s="80">
        <v>12</v>
      </c>
      <c r="AK100" s="80">
        <v>6</v>
      </c>
      <c r="AL100" s="80" t="b">
        <v>0</v>
      </c>
      <c r="AM100" s="82">
        <v>44243.743807870371</v>
      </c>
      <c r="AN100" s="80"/>
      <c r="AO100" s="80" t="s">
        <v>1322</v>
      </c>
      <c r="AP100" s="80"/>
      <c r="AQ100" s="80"/>
      <c r="AR100" s="80"/>
      <c r="AS100" s="80"/>
      <c r="AT100" s="80"/>
      <c r="AU100" s="80"/>
      <c r="AV100" s="80"/>
      <c r="AW100" s="80"/>
      <c r="AX100" s="80" t="b">
        <v>0</v>
      </c>
      <c r="AY100" s="80"/>
      <c r="AZ100" s="80"/>
      <c r="BA100" s="80" t="b">
        <v>0</v>
      </c>
      <c r="BB100" s="80" t="b">
        <v>1</v>
      </c>
      <c r="BC100" s="80" t="b">
        <v>1</v>
      </c>
      <c r="BD100" s="80" t="b">
        <v>0</v>
      </c>
      <c r="BE100" s="80" t="b">
        <v>0</v>
      </c>
      <c r="BF100" s="80" t="b">
        <v>0</v>
      </c>
      <c r="BG100" s="80" t="b">
        <v>0</v>
      </c>
      <c r="BH100" s="85" t="str">
        <f>HYPERLINK("https://pbs.twimg.com/profile_banners/1361734811799412742/1648661325")</f>
        <v>https://pbs.twimg.com/profile_banners/1361734811799412742/1648661325</v>
      </c>
      <c r="BI100" s="80"/>
      <c r="BJ100" s="80" t="s">
        <v>1455</v>
      </c>
      <c r="BK100" s="80" t="b">
        <v>0</v>
      </c>
      <c r="BL100" s="80"/>
      <c r="BM100" s="80" t="s">
        <v>65</v>
      </c>
      <c r="BN100" s="80" t="s">
        <v>1457</v>
      </c>
      <c r="BO100" s="85" t="str">
        <f>HYPERLINK("https://twitter.com/decinakayley")</f>
        <v>https://twitter.com/decinakayley</v>
      </c>
      <c r="BP100" s="80" t="str">
        <f>REPLACE(INDEX(GroupVertices[Group], MATCH("~"&amp;Vertices[[#This Row],[Vertex]],GroupVertices[Vertex],0)),1,1,"")</f>
        <v>1</v>
      </c>
      <c r="BQ100" s="49"/>
      <c r="BR100" s="50"/>
      <c r="BS100" s="49"/>
      <c r="BT100" s="50"/>
      <c r="BU100" s="49"/>
      <c r="BV100" s="50"/>
      <c r="BW100" s="49"/>
      <c r="BX100" s="50"/>
      <c r="BY100" s="49"/>
      <c r="BZ100" s="49"/>
      <c r="CA100" s="49"/>
      <c r="CB100" s="49"/>
      <c r="CC100" s="49"/>
      <c r="CD100" s="49"/>
      <c r="CE100" s="49"/>
      <c r="CF100" s="49"/>
      <c r="CG100" s="49"/>
      <c r="CH100" s="49"/>
      <c r="CI100" s="49"/>
      <c r="CJ100" s="2"/>
      <c r="CK100" s="3"/>
      <c r="CL100" s="3"/>
      <c r="CM100" s="3"/>
      <c r="CN100" s="3"/>
    </row>
    <row r="101" spans="1:92" x14ac:dyDescent="0.25">
      <c r="A101" s="65" t="s">
        <v>348</v>
      </c>
      <c r="B101" s="66"/>
      <c r="C101" s="66" t="s">
        <v>64</v>
      </c>
      <c r="D101" s="67">
        <v>100</v>
      </c>
      <c r="E101" s="69"/>
      <c r="F101" s="104" t="str">
        <f>HYPERLINK("https://pbs.twimg.com/profile_images/1709206731413151744/pieLdqXF_normal.jpg")</f>
        <v>https://pbs.twimg.com/profile_images/1709206731413151744/pieLdqXF_normal.jpg</v>
      </c>
      <c r="G101" s="66"/>
      <c r="H101" s="70" t="s">
        <v>348</v>
      </c>
      <c r="I101" s="71"/>
      <c r="J101" s="71" t="s">
        <v>159</v>
      </c>
      <c r="K101" s="70" t="s">
        <v>1555</v>
      </c>
      <c r="L101" s="74">
        <v>1</v>
      </c>
      <c r="M101" s="75">
        <v>373.05889892578125</v>
      </c>
      <c r="N101" s="75">
        <v>1330.197265625</v>
      </c>
      <c r="O101" s="76"/>
      <c r="P101" s="77"/>
      <c r="Q101" s="77"/>
      <c r="R101" s="90"/>
      <c r="S101" s="49">
        <v>1</v>
      </c>
      <c r="T101" s="49">
        <v>0</v>
      </c>
      <c r="U101" s="50">
        <v>0</v>
      </c>
      <c r="V101" s="50">
        <v>0.23342199999999999</v>
      </c>
      <c r="W101" s="50">
        <v>1.5401E-2</v>
      </c>
      <c r="X101" s="50">
        <v>7.0899999999999999E-3</v>
      </c>
      <c r="Y101" s="50">
        <v>0</v>
      </c>
      <c r="Z101" s="50">
        <v>0</v>
      </c>
      <c r="AA101" s="72">
        <v>101</v>
      </c>
      <c r="AB101" s="72"/>
      <c r="AC101" s="73"/>
      <c r="AD101" s="80" t="s">
        <v>1028</v>
      </c>
      <c r="AE101" s="87" t="s">
        <v>1135</v>
      </c>
      <c r="AF101" s="80">
        <v>27</v>
      </c>
      <c r="AG101" s="80">
        <v>40</v>
      </c>
      <c r="AH101" s="80">
        <v>44</v>
      </c>
      <c r="AI101" s="80">
        <v>0</v>
      </c>
      <c r="AJ101" s="80">
        <v>94</v>
      </c>
      <c r="AK101" s="80">
        <v>13</v>
      </c>
      <c r="AL101" s="80" t="b">
        <v>0</v>
      </c>
      <c r="AM101" s="82">
        <v>44447.061354166668</v>
      </c>
      <c r="AN101" s="80" t="s">
        <v>1164</v>
      </c>
      <c r="AO101" s="80" t="s">
        <v>1323</v>
      </c>
      <c r="AP101" s="80"/>
      <c r="AQ101" s="80"/>
      <c r="AR101" s="80"/>
      <c r="AS101" s="80"/>
      <c r="AT101" s="80"/>
      <c r="AU101" s="80"/>
      <c r="AV101" s="80"/>
      <c r="AW101" s="80"/>
      <c r="AX101" s="80" t="b">
        <v>0</v>
      </c>
      <c r="AY101" s="80"/>
      <c r="AZ101" s="80"/>
      <c r="BA101" s="80" t="b">
        <v>0</v>
      </c>
      <c r="BB101" s="80" t="b">
        <v>1</v>
      </c>
      <c r="BC101" s="80" t="b">
        <v>1</v>
      </c>
      <c r="BD101" s="80" t="b">
        <v>0</v>
      </c>
      <c r="BE101" s="80" t="b">
        <v>0</v>
      </c>
      <c r="BF101" s="80" t="b">
        <v>0</v>
      </c>
      <c r="BG101" s="80" t="b">
        <v>0</v>
      </c>
      <c r="BH101" s="85" t="str">
        <f>HYPERLINK("https://pbs.twimg.com/profile_banners/1435414637835599875/1696341604")</f>
        <v>https://pbs.twimg.com/profile_banners/1435414637835599875/1696341604</v>
      </c>
      <c r="BI101" s="80"/>
      <c r="BJ101" s="80" t="s">
        <v>1455</v>
      </c>
      <c r="BK101" s="80" t="b">
        <v>0</v>
      </c>
      <c r="BL101" s="80"/>
      <c r="BM101" s="80" t="s">
        <v>65</v>
      </c>
      <c r="BN101" s="80" t="s">
        <v>1457</v>
      </c>
      <c r="BO101" s="85" t="str">
        <f>HYPERLINK("https://twitter.com/mwmcclos")</f>
        <v>https://twitter.com/mwmcclos</v>
      </c>
      <c r="BP101" s="80" t="str">
        <f>REPLACE(INDEX(GroupVertices[Group], MATCH("~"&amp;Vertices[[#This Row],[Vertex]],GroupVertices[Vertex],0)),1,1,"")</f>
        <v>1</v>
      </c>
      <c r="BQ101" s="49"/>
      <c r="BR101" s="50"/>
      <c r="BS101" s="49"/>
      <c r="BT101" s="50"/>
      <c r="BU101" s="49"/>
      <c r="BV101" s="50"/>
      <c r="BW101" s="49"/>
      <c r="BX101" s="50"/>
      <c r="BY101" s="49"/>
      <c r="BZ101" s="49"/>
      <c r="CA101" s="49"/>
      <c r="CB101" s="49"/>
      <c r="CC101" s="49"/>
      <c r="CD101" s="49"/>
      <c r="CE101" s="49"/>
      <c r="CF101" s="49"/>
      <c r="CG101" s="49"/>
      <c r="CH101" s="49"/>
      <c r="CI101" s="49"/>
      <c r="CJ101" s="2"/>
      <c r="CK101" s="3"/>
      <c r="CL101" s="3"/>
      <c r="CM101" s="3"/>
      <c r="CN101" s="3"/>
    </row>
    <row r="102" spans="1:92" x14ac:dyDescent="0.25">
      <c r="A102" s="65" t="s">
        <v>349</v>
      </c>
      <c r="B102" s="66"/>
      <c r="C102" s="66" t="s">
        <v>64</v>
      </c>
      <c r="D102" s="67">
        <v>100</v>
      </c>
      <c r="E102" s="69"/>
      <c r="F102" s="104" t="str">
        <f>HYPERLINK("https://pbs.twimg.com/profile_images/1372561827981373445/uuzJCPAn_normal.jpg")</f>
        <v>https://pbs.twimg.com/profile_images/1372561827981373445/uuzJCPAn_normal.jpg</v>
      </c>
      <c r="G102" s="66"/>
      <c r="H102" s="70" t="s">
        <v>349</v>
      </c>
      <c r="I102" s="71"/>
      <c r="J102" s="71" t="s">
        <v>159</v>
      </c>
      <c r="K102" s="70" t="s">
        <v>1556</v>
      </c>
      <c r="L102" s="74">
        <v>1</v>
      </c>
      <c r="M102" s="75">
        <v>742.80633544921875</v>
      </c>
      <c r="N102" s="75">
        <v>490.1624755859375</v>
      </c>
      <c r="O102" s="76"/>
      <c r="P102" s="77"/>
      <c r="Q102" s="77"/>
      <c r="R102" s="90"/>
      <c r="S102" s="49">
        <v>1</v>
      </c>
      <c r="T102" s="49">
        <v>0</v>
      </c>
      <c r="U102" s="50">
        <v>0</v>
      </c>
      <c r="V102" s="50">
        <v>0.23342199999999999</v>
      </c>
      <c r="W102" s="50">
        <v>1.5401E-2</v>
      </c>
      <c r="X102" s="50">
        <v>7.0899999999999999E-3</v>
      </c>
      <c r="Y102" s="50">
        <v>0</v>
      </c>
      <c r="Z102" s="50">
        <v>0</v>
      </c>
      <c r="AA102" s="72">
        <v>102</v>
      </c>
      <c r="AB102" s="72"/>
      <c r="AC102" s="73"/>
      <c r="AD102" s="80" t="s">
        <v>1029</v>
      </c>
      <c r="AE102" s="87" t="s">
        <v>1136</v>
      </c>
      <c r="AF102" s="80">
        <v>716</v>
      </c>
      <c r="AG102" s="80">
        <v>212</v>
      </c>
      <c r="AH102" s="80">
        <v>1910</v>
      </c>
      <c r="AI102" s="80">
        <v>13</v>
      </c>
      <c r="AJ102" s="80">
        <v>305</v>
      </c>
      <c r="AK102" s="80">
        <v>613</v>
      </c>
      <c r="AL102" s="80" t="b">
        <v>0</v>
      </c>
      <c r="AM102" s="82">
        <v>40697.010636574072</v>
      </c>
      <c r="AN102" s="80" t="s">
        <v>1214</v>
      </c>
      <c r="AO102" s="80" t="s">
        <v>1324</v>
      </c>
      <c r="AP102" s="85" t="str">
        <f>HYPERLINK("https://t.co/FeH9Pa2loe")</f>
        <v>https://t.co/FeH9Pa2loe</v>
      </c>
      <c r="AQ102" s="85" t="str">
        <f>HYPERLINK("http://www.nccnewsonline.com/")</f>
        <v>http://www.nccnewsonline.com/</v>
      </c>
      <c r="AR102" s="80" t="s">
        <v>1422</v>
      </c>
      <c r="AS102" s="80"/>
      <c r="AT102" s="80"/>
      <c r="AU102" s="80"/>
      <c r="AV102" s="80"/>
      <c r="AW102" s="85" t="str">
        <f>HYPERLINK("https://t.co/FeH9Pa2loe")</f>
        <v>https://t.co/FeH9Pa2loe</v>
      </c>
      <c r="AX102" s="80" t="b">
        <v>0</v>
      </c>
      <c r="AY102" s="80"/>
      <c r="AZ102" s="80"/>
      <c r="BA102" s="80" t="b">
        <v>0</v>
      </c>
      <c r="BB102" s="80" t="b">
        <v>1</v>
      </c>
      <c r="BC102" s="80" t="b">
        <v>1</v>
      </c>
      <c r="BD102" s="80" t="b">
        <v>0</v>
      </c>
      <c r="BE102" s="80" t="b">
        <v>1</v>
      </c>
      <c r="BF102" s="80" t="b">
        <v>0</v>
      </c>
      <c r="BG102" s="80" t="b">
        <v>0</v>
      </c>
      <c r="BH102" s="85" t="str">
        <f>HYPERLINK("https://pbs.twimg.com/profile_banners/309973530/1405979876")</f>
        <v>https://pbs.twimg.com/profile_banners/309973530/1405979876</v>
      </c>
      <c r="BI102" s="80"/>
      <c r="BJ102" s="80" t="s">
        <v>1455</v>
      </c>
      <c r="BK102" s="80" t="b">
        <v>0</v>
      </c>
      <c r="BL102" s="80"/>
      <c r="BM102" s="80" t="s">
        <v>65</v>
      </c>
      <c r="BN102" s="80" t="s">
        <v>1457</v>
      </c>
      <c r="BO102" s="85" t="str">
        <f>HYPERLINK("https://twitter.com/nccnewsonline")</f>
        <v>https://twitter.com/nccnewsonline</v>
      </c>
      <c r="BP102" s="80" t="str">
        <f>REPLACE(INDEX(GroupVertices[Group], MATCH("~"&amp;Vertices[[#This Row],[Vertex]],GroupVertices[Vertex],0)),1,1,"")</f>
        <v>1</v>
      </c>
      <c r="BQ102" s="49"/>
      <c r="BR102" s="50"/>
      <c r="BS102" s="49"/>
      <c r="BT102" s="50"/>
      <c r="BU102" s="49"/>
      <c r="BV102" s="50"/>
      <c r="BW102" s="49"/>
      <c r="BX102" s="50"/>
      <c r="BY102" s="49"/>
      <c r="BZ102" s="49"/>
      <c r="CA102" s="49"/>
      <c r="CB102" s="49"/>
      <c r="CC102" s="49"/>
      <c r="CD102" s="49"/>
      <c r="CE102" s="49"/>
      <c r="CF102" s="49"/>
      <c r="CG102" s="49"/>
      <c r="CH102" s="49"/>
      <c r="CI102" s="49"/>
      <c r="CJ102" s="2"/>
      <c r="CK102" s="3"/>
      <c r="CL102" s="3"/>
      <c r="CM102" s="3"/>
      <c r="CN102" s="3"/>
    </row>
    <row r="103" spans="1:92" x14ac:dyDescent="0.25">
      <c r="A103" s="65" t="s">
        <v>295</v>
      </c>
      <c r="B103" s="66"/>
      <c r="C103" s="66" t="s">
        <v>64</v>
      </c>
      <c r="D103" s="67">
        <v>100.80065382352942</v>
      </c>
      <c r="E103" s="69"/>
      <c r="F103" s="104" t="str">
        <f>HYPERLINK("https://pbs.twimg.com/profile_images/1346224080589115394/tMwjkFTB_normal.jpg")</f>
        <v>https://pbs.twimg.com/profile_images/1346224080589115394/tMwjkFTB_normal.jpg</v>
      </c>
      <c r="G103" s="66"/>
      <c r="H103" s="70" t="s">
        <v>295</v>
      </c>
      <c r="I103" s="71"/>
      <c r="J103" s="71" t="s">
        <v>75</v>
      </c>
      <c r="K103" s="70" t="s">
        <v>1557</v>
      </c>
      <c r="L103" s="74">
        <v>2.2643170961867805</v>
      </c>
      <c r="M103" s="75">
        <v>1345.3624267578125</v>
      </c>
      <c r="N103" s="75">
        <v>2141.802001953125</v>
      </c>
      <c r="O103" s="76"/>
      <c r="P103" s="77"/>
      <c r="Q103" s="77"/>
      <c r="R103" s="90"/>
      <c r="S103" s="49">
        <v>2</v>
      </c>
      <c r="T103" s="49">
        <v>5</v>
      </c>
      <c r="U103" s="50">
        <v>1.1666669999999999</v>
      </c>
      <c r="V103" s="50">
        <v>0.31672800000000001</v>
      </c>
      <c r="W103" s="50">
        <v>0.13576299999999999</v>
      </c>
      <c r="X103" s="50">
        <v>7.9970000000000006E-3</v>
      </c>
      <c r="Y103" s="50">
        <v>0.5</v>
      </c>
      <c r="Z103" s="50">
        <v>0.25</v>
      </c>
      <c r="AA103" s="72">
        <v>103</v>
      </c>
      <c r="AB103" s="72"/>
      <c r="AC103" s="73"/>
      <c r="AD103" s="80" t="s">
        <v>1030</v>
      </c>
      <c r="AE103" s="87" t="s">
        <v>1137</v>
      </c>
      <c r="AF103" s="80">
        <v>3576</v>
      </c>
      <c r="AG103" s="80">
        <v>586</v>
      </c>
      <c r="AH103" s="80">
        <v>6718</v>
      </c>
      <c r="AI103" s="80">
        <v>69</v>
      </c>
      <c r="AJ103" s="80">
        <v>1776</v>
      </c>
      <c r="AK103" s="80">
        <v>441</v>
      </c>
      <c r="AL103" s="80" t="b">
        <v>0</v>
      </c>
      <c r="AM103" s="82">
        <v>39959.590925925928</v>
      </c>
      <c r="AN103" s="80" t="s">
        <v>1164</v>
      </c>
      <c r="AO103" s="80" t="s">
        <v>1325</v>
      </c>
      <c r="AP103" s="85" t="str">
        <f>HYPERLINK("https://t.co/RmUYTZn2lc")</f>
        <v>https://t.co/RmUYTZn2lc</v>
      </c>
      <c r="AQ103" s="85" t="str">
        <f>HYPERLINK("http://newhouse.syr.edu")</f>
        <v>http://newhouse.syr.edu</v>
      </c>
      <c r="AR103" s="80" t="s">
        <v>1423</v>
      </c>
      <c r="AS103" s="80"/>
      <c r="AT103" s="80"/>
      <c r="AU103" s="80"/>
      <c r="AV103" s="80"/>
      <c r="AW103" s="85" t="str">
        <f>HYPERLINK("https://t.co/RmUYTZn2lc")</f>
        <v>https://t.co/RmUYTZn2lc</v>
      </c>
      <c r="AX103" s="80" t="b">
        <v>0</v>
      </c>
      <c r="AY103" s="80"/>
      <c r="AZ103" s="80"/>
      <c r="BA103" s="80" t="b">
        <v>0</v>
      </c>
      <c r="BB103" s="80" t="b">
        <v>1</v>
      </c>
      <c r="BC103" s="80" t="b">
        <v>0</v>
      </c>
      <c r="BD103" s="80" t="b">
        <v>0</v>
      </c>
      <c r="BE103" s="80" t="b">
        <v>0</v>
      </c>
      <c r="BF103" s="80" t="b">
        <v>0</v>
      </c>
      <c r="BG103" s="80" t="b">
        <v>0</v>
      </c>
      <c r="BH103" s="85" t="str">
        <f>HYPERLINK("https://pbs.twimg.com/profile_banners/42631107/1565315796")</f>
        <v>https://pbs.twimg.com/profile_banners/42631107/1565315796</v>
      </c>
      <c r="BI103" s="80"/>
      <c r="BJ103" s="80" t="s">
        <v>1455</v>
      </c>
      <c r="BK103" s="80" t="b">
        <v>0</v>
      </c>
      <c r="BL103" s="80"/>
      <c r="BM103" s="80" t="s">
        <v>66</v>
      </c>
      <c r="BN103" s="80" t="s">
        <v>1457</v>
      </c>
      <c r="BO103" s="85" t="str">
        <f>HYPERLINK("https://twitter.com/newhousebdj")</f>
        <v>https://twitter.com/newhousebdj</v>
      </c>
      <c r="BP103" s="80" t="str">
        <f>REPLACE(INDEX(GroupVertices[Group], MATCH("~"&amp;Vertices[[#This Row],[Vertex]],GroupVertices[Vertex],0)),1,1,"")</f>
        <v>1</v>
      </c>
      <c r="BQ103" s="49">
        <v>3</v>
      </c>
      <c r="BR103" s="50">
        <v>15</v>
      </c>
      <c r="BS103" s="49">
        <v>0</v>
      </c>
      <c r="BT103" s="50">
        <v>0</v>
      </c>
      <c r="BU103" s="49">
        <v>0</v>
      </c>
      <c r="BV103" s="50">
        <v>0</v>
      </c>
      <c r="BW103" s="49">
        <v>8</v>
      </c>
      <c r="BX103" s="50">
        <v>40</v>
      </c>
      <c r="BY103" s="49">
        <v>20</v>
      </c>
      <c r="BZ103" s="49"/>
      <c r="CA103" s="49"/>
      <c r="CB103" s="49"/>
      <c r="CC103" s="49"/>
      <c r="CD103" s="49"/>
      <c r="CE103" s="49"/>
      <c r="CF103" s="116" t="s">
        <v>9945</v>
      </c>
      <c r="CG103" s="116" t="s">
        <v>9945</v>
      </c>
      <c r="CH103" s="116" t="s">
        <v>10015</v>
      </c>
      <c r="CI103" s="116" t="s">
        <v>10015</v>
      </c>
      <c r="CJ103" s="2"/>
      <c r="CK103" s="3"/>
      <c r="CL103" s="3"/>
      <c r="CM103" s="3"/>
      <c r="CN103" s="3"/>
    </row>
    <row r="104" spans="1:92" x14ac:dyDescent="0.25">
      <c r="A104" s="65" t="s">
        <v>350</v>
      </c>
      <c r="B104" s="66"/>
      <c r="C104" s="66" t="s">
        <v>64</v>
      </c>
      <c r="D104" s="67">
        <v>100</v>
      </c>
      <c r="E104" s="69"/>
      <c r="F104" s="104" t="str">
        <f>HYPERLINK("https://pbs.twimg.com/profile_images/638699325959180288/5d-g_8F3_normal.jpg")</f>
        <v>https://pbs.twimg.com/profile_images/638699325959180288/5d-g_8F3_normal.jpg</v>
      </c>
      <c r="G104" s="66"/>
      <c r="H104" s="70" t="s">
        <v>350</v>
      </c>
      <c r="I104" s="71"/>
      <c r="J104" s="71" t="s">
        <v>159</v>
      </c>
      <c r="K104" s="70" t="s">
        <v>1558</v>
      </c>
      <c r="L104" s="74">
        <v>1</v>
      </c>
      <c r="M104" s="75">
        <v>1082.232666015625</v>
      </c>
      <c r="N104" s="75">
        <v>2128.530029296875</v>
      </c>
      <c r="O104" s="76"/>
      <c r="P104" s="77"/>
      <c r="Q104" s="77"/>
      <c r="R104" s="90"/>
      <c r="S104" s="49">
        <v>3</v>
      </c>
      <c r="T104" s="49">
        <v>0</v>
      </c>
      <c r="U104" s="50">
        <v>0</v>
      </c>
      <c r="V104" s="50">
        <v>0.31450600000000001</v>
      </c>
      <c r="W104" s="50">
        <v>0.10596899999999999</v>
      </c>
      <c r="X104" s="50">
        <v>7.4120000000000002E-3</v>
      </c>
      <c r="Y104" s="50">
        <v>0.83333333333333337</v>
      </c>
      <c r="Z104" s="50">
        <v>0</v>
      </c>
      <c r="AA104" s="72">
        <v>104</v>
      </c>
      <c r="AB104" s="72"/>
      <c r="AC104" s="73"/>
      <c r="AD104" s="80" t="s">
        <v>1031</v>
      </c>
      <c r="AE104" s="87" t="s">
        <v>1138</v>
      </c>
      <c r="AF104" s="80">
        <v>1257</v>
      </c>
      <c r="AG104" s="80">
        <v>1764</v>
      </c>
      <c r="AH104" s="80">
        <v>3426</v>
      </c>
      <c r="AI104" s="80">
        <v>12</v>
      </c>
      <c r="AJ104" s="80">
        <v>6303</v>
      </c>
      <c r="AK104" s="80">
        <v>49</v>
      </c>
      <c r="AL104" s="80" t="b">
        <v>0</v>
      </c>
      <c r="AM104" s="82">
        <v>41914.841874999998</v>
      </c>
      <c r="AN104" s="80"/>
      <c r="AO104" s="80" t="s">
        <v>1326</v>
      </c>
      <c r="AP104" s="85" t="str">
        <f>HYPERLINK("https://t.co/uft0jATFKJ")</f>
        <v>https://t.co/uft0jATFKJ</v>
      </c>
      <c r="AQ104" s="85" t="str">
        <f>HYPERLINK("http://www.NewsEngagementDay.org")</f>
        <v>http://www.NewsEngagementDay.org</v>
      </c>
      <c r="AR104" s="80" t="s">
        <v>1424</v>
      </c>
      <c r="AS104" s="80"/>
      <c r="AT104" s="80"/>
      <c r="AU104" s="80"/>
      <c r="AV104" s="80"/>
      <c r="AW104" s="85" t="str">
        <f>HYPERLINK("https://t.co/uft0jATFKJ")</f>
        <v>https://t.co/uft0jATFKJ</v>
      </c>
      <c r="AX104" s="80" t="b">
        <v>0</v>
      </c>
      <c r="AY104" s="80" t="b">
        <v>1</v>
      </c>
      <c r="AZ104" s="80" t="b">
        <v>1</v>
      </c>
      <c r="BA104" s="80" t="b">
        <v>1</v>
      </c>
      <c r="BB104" s="80" t="b">
        <v>1</v>
      </c>
      <c r="BC104" s="80" t="b">
        <v>0</v>
      </c>
      <c r="BD104" s="80" t="b">
        <v>0</v>
      </c>
      <c r="BE104" s="80" t="b">
        <v>0</v>
      </c>
      <c r="BF104" s="80" t="b">
        <v>0</v>
      </c>
      <c r="BG104" s="80" t="b">
        <v>0</v>
      </c>
      <c r="BH104" s="85" t="str">
        <f>HYPERLINK("https://pbs.twimg.com/profile_banners/2838351548/1666104961")</f>
        <v>https://pbs.twimg.com/profile_banners/2838351548/1666104961</v>
      </c>
      <c r="BI104" s="80"/>
      <c r="BJ104" s="80" t="s">
        <v>1455</v>
      </c>
      <c r="BK104" s="80" t="b">
        <v>1</v>
      </c>
      <c r="BL104" s="80"/>
      <c r="BM104" s="80" t="s">
        <v>65</v>
      </c>
      <c r="BN104" s="80" t="s">
        <v>1457</v>
      </c>
      <c r="BO104" s="85" t="str">
        <f>HYPERLINK("https://twitter.com/newsengagement")</f>
        <v>https://twitter.com/newsengagement</v>
      </c>
      <c r="BP104" s="80" t="str">
        <f>REPLACE(INDEX(GroupVertices[Group], MATCH("~"&amp;Vertices[[#This Row],[Vertex]],GroupVertices[Vertex],0)),1,1,"")</f>
        <v>1</v>
      </c>
      <c r="BQ104" s="49"/>
      <c r="BR104" s="50"/>
      <c r="BS104" s="49"/>
      <c r="BT104" s="50"/>
      <c r="BU104" s="49"/>
      <c r="BV104" s="50"/>
      <c r="BW104" s="49"/>
      <c r="BX104" s="50"/>
      <c r="BY104" s="49"/>
      <c r="BZ104" s="49"/>
      <c r="CA104" s="49"/>
      <c r="CB104" s="49"/>
      <c r="CC104" s="49"/>
      <c r="CD104" s="49"/>
      <c r="CE104" s="49"/>
      <c r="CF104" s="49"/>
      <c r="CG104" s="49"/>
      <c r="CH104" s="49"/>
      <c r="CI104" s="49"/>
      <c r="CJ104" s="2"/>
      <c r="CK104" s="3"/>
      <c r="CL104" s="3"/>
      <c r="CM104" s="3"/>
      <c r="CN104" s="3"/>
    </row>
    <row r="105" spans="1:92" x14ac:dyDescent="0.25">
      <c r="A105" s="65" t="s">
        <v>296</v>
      </c>
      <c r="B105" s="66"/>
      <c r="C105" s="66" t="s">
        <v>64</v>
      </c>
      <c r="D105" s="67">
        <v>100</v>
      </c>
      <c r="E105" s="69"/>
      <c r="F105" s="104" t="str">
        <f>HYPERLINK("https://pbs.twimg.com/profile_images/1110927896435150849/M16LTNRp_normal.png")</f>
        <v>https://pbs.twimg.com/profile_images/1110927896435150849/M16LTNRp_normal.png</v>
      </c>
      <c r="G105" s="66"/>
      <c r="H105" s="70" t="s">
        <v>296</v>
      </c>
      <c r="I105" s="71"/>
      <c r="J105" s="71" t="s">
        <v>159</v>
      </c>
      <c r="K105" s="70" t="s">
        <v>1559</v>
      </c>
      <c r="L105" s="74">
        <v>1</v>
      </c>
      <c r="M105" s="75">
        <v>8414.458984375</v>
      </c>
      <c r="N105" s="75">
        <v>5678.4443359375</v>
      </c>
      <c r="O105" s="76"/>
      <c r="P105" s="77"/>
      <c r="Q105" s="77"/>
      <c r="R105" s="90"/>
      <c r="S105" s="49">
        <v>1</v>
      </c>
      <c r="T105" s="49">
        <v>1</v>
      </c>
      <c r="U105" s="50">
        <v>0</v>
      </c>
      <c r="V105" s="50">
        <v>0.23161300000000001</v>
      </c>
      <c r="W105" s="50">
        <v>1.1583E-2</v>
      </c>
      <c r="X105" s="50">
        <v>7.1669999999999998E-3</v>
      </c>
      <c r="Y105" s="50">
        <v>0</v>
      </c>
      <c r="Z105" s="50">
        <v>1</v>
      </c>
      <c r="AA105" s="72">
        <v>105</v>
      </c>
      <c r="AB105" s="72"/>
      <c r="AC105" s="73"/>
      <c r="AD105" s="80" t="s">
        <v>1032</v>
      </c>
      <c r="AE105" s="87" t="s">
        <v>1139</v>
      </c>
      <c r="AF105" s="80">
        <v>13504</v>
      </c>
      <c r="AG105" s="80">
        <v>1085</v>
      </c>
      <c r="AH105" s="80">
        <v>13620</v>
      </c>
      <c r="AI105" s="80">
        <v>421</v>
      </c>
      <c r="AJ105" s="80">
        <v>3667</v>
      </c>
      <c r="AK105" s="80">
        <v>960</v>
      </c>
      <c r="AL105" s="80" t="b">
        <v>0</v>
      </c>
      <c r="AM105" s="82">
        <v>39786.919664351852</v>
      </c>
      <c r="AN105" s="80" t="s">
        <v>1175</v>
      </c>
      <c r="AO105" s="80" t="s">
        <v>1327</v>
      </c>
      <c r="AP105" s="85" t="str">
        <f>HYPERLINK("https://t.co/rpbrYwyK2V")</f>
        <v>https://t.co/rpbrYwyK2V</v>
      </c>
      <c r="AQ105" s="85" t="str">
        <f>HYPERLINK("http://www.natcom.org")</f>
        <v>http://www.natcom.org</v>
      </c>
      <c r="AR105" s="80" t="s">
        <v>1425</v>
      </c>
      <c r="AS105" s="80"/>
      <c r="AT105" s="80"/>
      <c r="AU105" s="80"/>
      <c r="AV105" s="80">
        <v>1.72010858585666E+18</v>
      </c>
      <c r="AW105" s="85" t="str">
        <f>HYPERLINK("https://t.co/rpbrYwyK2V")</f>
        <v>https://t.co/rpbrYwyK2V</v>
      </c>
      <c r="AX105" s="80" t="b">
        <v>0</v>
      </c>
      <c r="AY105" s="80"/>
      <c r="AZ105" s="80"/>
      <c r="BA105" s="80" t="b">
        <v>1</v>
      </c>
      <c r="BB105" s="80" t="b">
        <v>1</v>
      </c>
      <c r="BC105" s="80" t="b">
        <v>0</v>
      </c>
      <c r="BD105" s="80" t="b">
        <v>0</v>
      </c>
      <c r="BE105" s="80" t="b">
        <v>0</v>
      </c>
      <c r="BF105" s="80" t="b">
        <v>0</v>
      </c>
      <c r="BG105" s="80" t="b">
        <v>0</v>
      </c>
      <c r="BH105" s="85" t="str">
        <f>HYPERLINK("https://pbs.twimg.com/profile_banners/17880989/1687979418")</f>
        <v>https://pbs.twimg.com/profile_banners/17880989/1687979418</v>
      </c>
      <c r="BI105" s="80"/>
      <c r="BJ105" s="80" t="s">
        <v>1455</v>
      </c>
      <c r="BK105" s="80" t="b">
        <v>0</v>
      </c>
      <c r="BL105" s="80"/>
      <c r="BM105" s="80" t="s">
        <v>66</v>
      </c>
      <c r="BN105" s="80" t="s">
        <v>1457</v>
      </c>
      <c r="BO105" s="85" t="str">
        <f>HYPERLINK("https://twitter.com/natcomm")</f>
        <v>https://twitter.com/natcomm</v>
      </c>
      <c r="BP105" s="80" t="str">
        <f>REPLACE(INDEX(GroupVertices[Group], MATCH("~"&amp;Vertices[[#This Row],[Vertex]],GroupVertices[Vertex],0)),1,1,"")</f>
        <v>9</v>
      </c>
      <c r="BQ105" s="49">
        <v>1</v>
      </c>
      <c r="BR105" s="50">
        <v>3.7037037037037037</v>
      </c>
      <c r="BS105" s="49">
        <v>0</v>
      </c>
      <c r="BT105" s="50">
        <v>0</v>
      </c>
      <c r="BU105" s="49">
        <v>0</v>
      </c>
      <c r="BV105" s="50">
        <v>0</v>
      </c>
      <c r="BW105" s="49">
        <v>8</v>
      </c>
      <c r="BX105" s="50">
        <v>29.62962962962963</v>
      </c>
      <c r="BY105" s="49">
        <v>27</v>
      </c>
      <c r="BZ105" s="49"/>
      <c r="CA105" s="49"/>
      <c r="CB105" s="49"/>
      <c r="CC105" s="49"/>
      <c r="CD105" s="49"/>
      <c r="CE105" s="49"/>
      <c r="CF105" s="116" t="s">
        <v>9946</v>
      </c>
      <c r="CG105" s="116" t="s">
        <v>9946</v>
      </c>
      <c r="CH105" s="116" t="s">
        <v>10016</v>
      </c>
      <c r="CI105" s="116" t="s">
        <v>10016</v>
      </c>
      <c r="CJ105" s="2"/>
      <c r="CK105" s="3"/>
      <c r="CL105" s="3"/>
      <c r="CM105" s="3"/>
      <c r="CN105" s="3"/>
    </row>
    <row r="106" spans="1:92" x14ac:dyDescent="0.25">
      <c r="A106" s="65" t="s">
        <v>297</v>
      </c>
      <c r="B106" s="66"/>
      <c r="C106" s="66" t="s">
        <v>64</v>
      </c>
      <c r="D106" s="67">
        <v>100</v>
      </c>
      <c r="E106" s="69"/>
      <c r="F106" s="104" t="str">
        <f>HYPERLINK("https://pbs.twimg.com/profile_images/1549199628058386433/iqbxJw_t_normal.jpg")</f>
        <v>https://pbs.twimg.com/profile_images/1549199628058386433/iqbxJw_t_normal.jpg</v>
      </c>
      <c r="G106" s="66"/>
      <c r="H106" s="70" t="s">
        <v>297</v>
      </c>
      <c r="I106" s="71"/>
      <c r="J106" s="71" t="s">
        <v>159</v>
      </c>
      <c r="K106" s="70" t="s">
        <v>1560</v>
      </c>
      <c r="L106" s="74">
        <v>1</v>
      </c>
      <c r="M106" s="75">
        <v>6449.443359375</v>
      </c>
      <c r="N106" s="75">
        <v>2098.5556640625</v>
      </c>
      <c r="O106" s="76"/>
      <c r="P106" s="77"/>
      <c r="Q106" s="77"/>
      <c r="R106" s="90"/>
      <c r="S106" s="49">
        <v>0</v>
      </c>
      <c r="T106" s="49">
        <v>1</v>
      </c>
      <c r="U106" s="50">
        <v>0</v>
      </c>
      <c r="V106" s="50">
        <v>3.0644000000000001E-2</v>
      </c>
      <c r="W106" s="50">
        <v>0</v>
      </c>
      <c r="X106" s="50">
        <v>7.1630000000000001E-3</v>
      </c>
      <c r="Y106" s="50">
        <v>0</v>
      </c>
      <c r="Z106" s="50">
        <v>0</v>
      </c>
      <c r="AA106" s="72">
        <v>106</v>
      </c>
      <c r="AB106" s="72"/>
      <c r="AC106" s="73"/>
      <c r="AD106" s="80" t="s">
        <v>1033</v>
      </c>
      <c r="AE106" s="87" t="s">
        <v>1140</v>
      </c>
      <c r="AF106" s="80">
        <v>2027</v>
      </c>
      <c r="AG106" s="80">
        <v>2567</v>
      </c>
      <c r="AH106" s="80">
        <v>12699</v>
      </c>
      <c r="AI106" s="80">
        <v>21</v>
      </c>
      <c r="AJ106" s="80">
        <v>33291</v>
      </c>
      <c r="AK106" s="80">
        <v>415</v>
      </c>
      <c r="AL106" s="80" t="b">
        <v>0</v>
      </c>
      <c r="AM106" s="82">
        <v>41908.552939814814</v>
      </c>
      <c r="AN106" s="80" t="s">
        <v>1215</v>
      </c>
      <c r="AO106" s="80" t="s">
        <v>1328</v>
      </c>
      <c r="AP106" s="85" t="str">
        <f>HYPERLINK("https://t.co/Z5tKwGYxqc")</f>
        <v>https://t.co/Z5tKwGYxqc</v>
      </c>
      <c r="AQ106" s="85" t="str">
        <f>HYPERLINK("https://muhammadittefaq.com/")</f>
        <v>https://muhammadittefaq.com/</v>
      </c>
      <c r="AR106" s="80" t="s">
        <v>1426</v>
      </c>
      <c r="AS106" s="80"/>
      <c r="AT106" s="80"/>
      <c r="AU106" s="80"/>
      <c r="AV106" s="80"/>
      <c r="AW106" s="85" t="str">
        <f>HYPERLINK("https://t.co/Z5tKwGYxqc")</f>
        <v>https://t.co/Z5tKwGYxqc</v>
      </c>
      <c r="AX106" s="80" t="b">
        <v>0</v>
      </c>
      <c r="AY106" s="80" t="b">
        <v>1</v>
      </c>
      <c r="AZ106" s="80" t="b">
        <v>1</v>
      </c>
      <c r="BA106" s="80" t="b">
        <v>1</v>
      </c>
      <c r="BB106" s="80" t="b">
        <v>1</v>
      </c>
      <c r="BC106" s="80" t="b">
        <v>1</v>
      </c>
      <c r="BD106" s="80" t="b">
        <v>0</v>
      </c>
      <c r="BE106" s="80" t="b">
        <v>1</v>
      </c>
      <c r="BF106" s="80" t="b">
        <v>0</v>
      </c>
      <c r="BG106" s="80" t="b">
        <v>0</v>
      </c>
      <c r="BH106" s="85" t="str">
        <f>HYPERLINK("https://pbs.twimg.com/profile_banners/2832986725/1658965915")</f>
        <v>https://pbs.twimg.com/profile_banners/2832986725/1658965915</v>
      </c>
      <c r="BI106" s="80"/>
      <c r="BJ106" s="80" t="s">
        <v>1455</v>
      </c>
      <c r="BK106" s="80" t="b">
        <v>1</v>
      </c>
      <c r="BL106" s="80"/>
      <c r="BM106" s="80" t="s">
        <v>66</v>
      </c>
      <c r="BN106" s="80" t="s">
        <v>1457</v>
      </c>
      <c r="BO106" s="85" t="str">
        <f>HYPERLINK("https://twitter.com/ittefaqm")</f>
        <v>https://twitter.com/ittefaqm</v>
      </c>
      <c r="BP106" s="80" t="str">
        <f>REPLACE(INDEX(GroupVertices[Group], MATCH("~"&amp;Vertices[[#This Row],[Vertex]],GroupVertices[Vertex],0)),1,1,"")</f>
        <v>7</v>
      </c>
      <c r="BQ106" s="49">
        <v>1</v>
      </c>
      <c r="BR106" s="50">
        <v>4.5454545454545459</v>
      </c>
      <c r="BS106" s="49">
        <v>0</v>
      </c>
      <c r="BT106" s="50">
        <v>0</v>
      </c>
      <c r="BU106" s="49">
        <v>0</v>
      </c>
      <c r="BV106" s="50">
        <v>0</v>
      </c>
      <c r="BW106" s="49">
        <v>14</v>
      </c>
      <c r="BX106" s="50">
        <v>63.636363636363633</v>
      </c>
      <c r="BY106" s="49">
        <v>22</v>
      </c>
      <c r="BZ106" s="49"/>
      <c r="CA106" s="49"/>
      <c r="CB106" s="49"/>
      <c r="CC106" s="49"/>
      <c r="CD106" s="49"/>
      <c r="CE106" s="49"/>
      <c r="CF106" s="116" t="s">
        <v>9910</v>
      </c>
      <c r="CG106" s="116" t="s">
        <v>9910</v>
      </c>
      <c r="CH106" s="116" t="s">
        <v>9980</v>
      </c>
      <c r="CI106" s="116" t="s">
        <v>9980</v>
      </c>
      <c r="CJ106" s="2"/>
      <c r="CK106" s="3"/>
      <c r="CL106" s="3"/>
      <c r="CM106" s="3"/>
      <c r="CN106" s="3"/>
    </row>
    <row r="107" spans="1:92" x14ac:dyDescent="0.25">
      <c r="A107" s="65" t="s">
        <v>298</v>
      </c>
      <c r="B107" s="66"/>
      <c r="C107" s="66" t="s">
        <v>64</v>
      </c>
      <c r="D107" s="67">
        <v>448.62745098039215</v>
      </c>
      <c r="E107" s="69"/>
      <c r="F107" s="104" t="str">
        <f>HYPERLINK("https://pbs.twimg.com/profile_images/912667889395798022/pMoB2qc8_normal.jpg")</f>
        <v>https://pbs.twimg.com/profile_images/912667889395798022/pMoB2qc8_normal.jpg</v>
      </c>
      <c r="G107" s="66"/>
      <c r="H107" s="70" t="s">
        <v>298</v>
      </c>
      <c r="I107" s="71"/>
      <c r="J107" s="71" t="s">
        <v>75</v>
      </c>
      <c r="K107" s="70" t="s">
        <v>1561</v>
      </c>
      <c r="L107" s="74">
        <v>551.5196297340068</v>
      </c>
      <c r="M107" s="75">
        <v>8811.435546875</v>
      </c>
      <c r="N107" s="75">
        <v>8747.9033203125</v>
      </c>
      <c r="O107" s="76"/>
      <c r="P107" s="77"/>
      <c r="Q107" s="77"/>
      <c r="R107" s="90"/>
      <c r="S107" s="49">
        <v>2</v>
      </c>
      <c r="T107" s="49">
        <v>3</v>
      </c>
      <c r="U107" s="50">
        <v>508</v>
      </c>
      <c r="V107" s="50">
        <v>0.32476100000000002</v>
      </c>
      <c r="W107" s="50">
        <v>9.5954999999999999E-2</v>
      </c>
      <c r="X107" s="50">
        <v>8.9980000000000008E-3</v>
      </c>
      <c r="Y107" s="50">
        <v>0.15</v>
      </c>
      <c r="Z107" s="50">
        <v>0</v>
      </c>
      <c r="AA107" s="72">
        <v>107</v>
      </c>
      <c r="AB107" s="72"/>
      <c r="AC107" s="73"/>
      <c r="AD107" s="80" t="s">
        <v>1034</v>
      </c>
      <c r="AE107" s="87" t="s">
        <v>1141</v>
      </c>
      <c r="AF107" s="80">
        <v>6459</v>
      </c>
      <c r="AG107" s="80">
        <v>1475</v>
      </c>
      <c r="AH107" s="80">
        <v>167412</v>
      </c>
      <c r="AI107" s="80">
        <v>505</v>
      </c>
      <c r="AJ107" s="80">
        <v>49065</v>
      </c>
      <c r="AK107" s="80">
        <v>19530</v>
      </c>
      <c r="AL107" s="80" t="b">
        <v>0</v>
      </c>
      <c r="AM107" s="82">
        <v>39456.031215277777</v>
      </c>
      <c r="AN107" s="80" t="s">
        <v>1216</v>
      </c>
      <c r="AO107" s="80" t="s">
        <v>1329</v>
      </c>
      <c r="AP107" s="85" t="str">
        <f>HYPERLINK("https://t.co/FXF8LWikG0")</f>
        <v>https://t.co/FXF8LWikG0</v>
      </c>
      <c r="AQ107" s="85" t="str">
        <f>HYPERLINK("https://amzn.to/3DHnuRf")</f>
        <v>https://amzn.to/3DHnuRf</v>
      </c>
      <c r="AR107" s="80" t="s">
        <v>1427</v>
      </c>
      <c r="AS107" s="85" t="str">
        <f>HYPERLINK("https://t.co/AXr4S186OC")</f>
        <v>https://t.co/AXr4S186OC</v>
      </c>
      <c r="AT107" s="85" t="str">
        <f>HYPERLINK("http://amzn.to/2UaIVcv")</f>
        <v>http://amzn.to/2UaIVcv</v>
      </c>
      <c r="AU107" s="80" t="s">
        <v>1453</v>
      </c>
      <c r="AV107" s="80">
        <v>1.6813564085733701E+18</v>
      </c>
      <c r="AW107" s="85" t="str">
        <f>HYPERLINK("https://t.co/FXF8LWikG0")</f>
        <v>https://t.co/FXF8LWikG0</v>
      </c>
      <c r="AX107" s="80" t="b">
        <v>1</v>
      </c>
      <c r="AY107" s="80" t="b">
        <v>1</v>
      </c>
      <c r="AZ107" s="80" t="b">
        <v>1</v>
      </c>
      <c r="BA107" s="80" t="b">
        <v>1</v>
      </c>
      <c r="BB107" s="80" t="b">
        <v>1</v>
      </c>
      <c r="BC107" s="80" t="b">
        <v>0</v>
      </c>
      <c r="BD107" s="80" t="b">
        <v>0</v>
      </c>
      <c r="BE107" s="80" t="b">
        <v>1</v>
      </c>
      <c r="BF107" s="80" t="b">
        <v>0</v>
      </c>
      <c r="BG107" s="80" t="b">
        <v>0</v>
      </c>
      <c r="BH107" s="85" t="str">
        <f>HYPERLINK("https://pbs.twimg.com/profile_banners/12006842/1693589509")</f>
        <v>https://pbs.twimg.com/profile_banners/12006842/1693589509</v>
      </c>
      <c r="BI107" s="80"/>
      <c r="BJ107" s="80" t="s">
        <v>1455</v>
      </c>
      <c r="BK107" s="80" t="b">
        <v>1</v>
      </c>
      <c r="BL107" s="80"/>
      <c r="BM107" s="80" t="s">
        <v>66</v>
      </c>
      <c r="BN107" s="80" t="s">
        <v>1457</v>
      </c>
      <c r="BO107" s="85" t="str">
        <f>HYPERLINK("https://twitter.com/jeremyhl")</f>
        <v>https://twitter.com/jeremyhl</v>
      </c>
      <c r="BP107" s="80" t="str">
        <f>REPLACE(INDEX(GroupVertices[Group], MATCH("~"&amp;Vertices[[#This Row],[Vertex]],GroupVertices[Vertex],0)),1,1,"")</f>
        <v>5</v>
      </c>
      <c r="BQ107" s="49">
        <v>1</v>
      </c>
      <c r="BR107" s="50">
        <v>7.1428571428571432</v>
      </c>
      <c r="BS107" s="49">
        <v>0</v>
      </c>
      <c r="BT107" s="50">
        <v>0</v>
      </c>
      <c r="BU107" s="49">
        <v>0</v>
      </c>
      <c r="BV107" s="50">
        <v>0</v>
      </c>
      <c r="BW107" s="49">
        <v>8</v>
      </c>
      <c r="BX107" s="50">
        <v>57.142857142857146</v>
      </c>
      <c r="BY107" s="49">
        <v>14</v>
      </c>
      <c r="BZ107" s="49"/>
      <c r="CA107" s="49"/>
      <c r="CB107" s="49"/>
      <c r="CC107" s="49"/>
      <c r="CD107" s="49" t="s">
        <v>492</v>
      </c>
      <c r="CE107" s="49" t="s">
        <v>9892</v>
      </c>
      <c r="CF107" s="116" t="s">
        <v>9947</v>
      </c>
      <c r="CG107" s="116" t="s">
        <v>9947</v>
      </c>
      <c r="CH107" s="116" t="s">
        <v>10017</v>
      </c>
      <c r="CI107" s="116" t="s">
        <v>10017</v>
      </c>
      <c r="CJ107" s="2"/>
      <c r="CK107" s="3"/>
      <c r="CL107" s="3"/>
      <c r="CM107" s="3"/>
      <c r="CN107" s="3"/>
    </row>
    <row r="108" spans="1:92" x14ac:dyDescent="0.25">
      <c r="A108" s="65" t="s">
        <v>351</v>
      </c>
      <c r="B108" s="66"/>
      <c r="C108" s="66" t="s">
        <v>64</v>
      </c>
      <c r="D108" s="67">
        <v>100</v>
      </c>
      <c r="E108" s="69"/>
      <c r="F108" s="104" t="str">
        <f>HYPERLINK("https://pbs.twimg.com/profile_images/1607410723227054082/RaQz46j7_normal.jpg")</f>
        <v>https://pbs.twimg.com/profile_images/1607410723227054082/RaQz46j7_normal.jpg</v>
      </c>
      <c r="G108" s="66"/>
      <c r="H108" s="70" t="s">
        <v>351</v>
      </c>
      <c r="I108" s="71"/>
      <c r="J108" s="71" t="s">
        <v>159</v>
      </c>
      <c r="K108" s="70" t="s">
        <v>1562</v>
      </c>
      <c r="L108" s="74">
        <v>1</v>
      </c>
      <c r="M108" s="75">
        <v>8207.3193359375</v>
      </c>
      <c r="N108" s="75">
        <v>9726.392578125</v>
      </c>
      <c r="O108" s="76"/>
      <c r="P108" s="77"/>
      <c r="Q108" s="77"/>
      <c r="R108" s="90"/>
      <c r="S108" s="49">
        <v>1</v>
      </c>
      <c r="T108" s="49">
        <v>0</v>
      </c>
      <c r="U108" s="50">
        <v>0</v>
      </c>
      <c r="V108" s="50">
        <v>0.23587900000000001</v>
      </c>
      <c r="W108" s="50">
        <v>1.1728000000000001E-2</v>
      </c>
      <c r="X108" s="50">
        <v>7.1250000000000003E-3</v>
      </c>
      <c r="Y108" s="50">
        <v>0</v>
      </c>
      <c r="Z108" s="50">
        <v>0</v>
      </c>
      <c r="AA108" s="72">
        <v>108</v>
      </c>
      <c r="AB108" s="72"/>
      <c r="AC108" s="73"/>
      <c r="AD108" s="80" t="s">
        <v>1035</v>
      </c>
      <c r="AE108" s="87" t="s">
        <v>1142</v>
      </c>
      <c r="AF108" s="80">
        <v>2366323</v>
      </c>
      <c r="AG108" s="80">
        <v>21</v>
      </c>
      <c r="AH108" s="80">
        <v>8055</v>
      </c>
      <c r="AI108" s="80">
        <v>4502</v>
      </c>
      <c r="AJ108" s="80">
        <v>1735</v>
      </c>
      <c r="AK108" s="80">
        <v>788</v>
      </c>
      <c r="AL108" s="80" t="b">
        <v>0</v>
      </c>
      <c r="AM108" s="82">
        <v>40806.024814814817</v>
      </c>
      <c r="AN108" s="80" t="s">
        <v>1217</v>
      </c>
      <c r="AO108" s="80" t="s">
        <v>1330</v>
      </c>
      <c r="AP108" s="80"/>
      <c r="AQ108" s="80"/>
      <c r="AR108" s="80"/>
      <c r="AS108" s="80"/>
      <c r="AT108" s="80"/>
      <c r="AU108" s="80"/>
      <c r="AV108" s="80">
        <v>1.7193864464637E+18</v>
      </c>
      <c r="AW108" s="80"/>
      <c r="AX108" s="80" t="b">
        <v>1</v>
      </c>
      <c r="AY108" s="80"/>
      <c r="AZ108" s="80"/>
      <c r="BA108" s="80" t="b">
        <v>0</v>
      </c>
      <c r="BB108" s="80" t="b">
        <v>1</v>
      </c>
      <c r="BC108" s="80" t="b">
        <v>0</v>
      </c>
      <c r="BD108" s="80" t="b">
        <v>0</v>
      </c>
      <c r="BE108" s="80" t="b">
        <v>1</v>
      </c>
      <c r="BF108" s="80" t="b">
        <v>0</v>
      </c>
      <c r="BG108" s="80" t="b">
        <v>0</v>
      </c>
      <c r="BH108" s="85" t="str">
        <f>HYPERLINK("https://pbs.twimg.com/profile_banners/376502929/1675011828")</f>
        <v>https://pbs.twimg.com/profile_banners/376502929/1675011828</v>
      </c>
      <c r="BI108" s="80"/>
      <c r="BJ108" s="80" t="s">
        <v>1455</v>
      </c>
      <c r="BK108" s="80" t="b">
        <v>0</v>
      </c>
      <c r="BL108" s="80"/>
      <c r="BM108" s="80" t="s">
        <v>65</v>
      </c>
      <c r="BN108" s="80" t="s">
        <v>1457</v>
      </c>
      <c r="BO108" s="85" t="str">
        <f>HYPERLINK("https://twitter.com/snapchat")</f>
        <v>https://twitter.com/snapchat</v>
      </c>
      <c r="BP108" s="80" t="str">
        <f>REPLACE(INDEX(GroupVertices[Group], MATCH("~"&amp;Vertices[[#This Row],[Vertex]],GroupVertices[Vertex],0)),1,1,"")</f>
        <v>5</v>
      </c>
      <c r="BQ108" s="49"/>
      <c r="BR108" s="50"/>
      <c r="BS108" s="49"/>
      <c r="BT108" s="50"/>
      <c r="BU108" s="49"/>
      <c r="BV108" s="50"/>
      <c r="BW108" s="49"/>
      <c r="BX108" s="50"/>
      <c r="BY108" s="49"/>
      <c r="BZ108" s="49"/>
      <c r="CA108" s="49"/>
      <c r="CB108" s="49"/>
      <c r="CC108" s="49"/>
      <c r="CD108" s="49"/>
      <c r="CE108" s="49"/>
      <c r="CF108" s="49"/>
      <c r="CG108" s="49"/>
      <c r="CH108" s="49"/>
      <c r="CI108" s="49"/>
      <c r="CJ108" s="2"/>
      <c r="CK108" s="3"/>
      <c r="CL108" s="3"/>
      <c r="CM108" s="3"/>
      <c r="CN108" s="3"/>
    </row>
    <row r="109" spans="1:92" x14ac:dyDescent="0.25">
      <c r="A109" s="65" t="s">
        <v>299</v>
      </c>
      <c r="B109" s="66"/>
      <c r="C109" s="66" t="s">
        <v>64</v>
      </c>
      <c r="D109" s="67">
        <v>100</v>
      </c>
      <c r="E109" s="69"/>
      <c r="F109" s="104" t="str">
        <f>HYPERLINK("https://pbs.twimg.com/profile_images/1708069099107139584/btI-fYmY_normal.jpg")</f>
        <v>https://pbs.twimg.com/profile_images/1708069099107139584/btI-fYmY_normal.jpg</v>
      </c>
      <c r="G109" s="66"/>
      <c r="H109" s="70" t="s">
        <v>299</v>
      </c>
      <c r="I109" s="71"/>
      <c r="J109" s="71" t="s">
        <v>159</v>
      </c>
      <c r="K109" s="70" t="s">
        <v>1563</v>
      </c>
      <c r="L109" s="74">
        <v>1</v>
      </c>
      <c r="M109" s="75">
        <v>389.91940307617188</v>
      </c>
      <c r="N109" s="75">
        <v>7313.54833984375</v>
      </c>
      <c r="O109" s="76"/>
      <c r="P109" s="77"/>
      <c r="Q109" s="77"/>
      <c r="R109" s="90"/>
      <c r="S109" s="49">
        <v>0</v>
      </c>
      <c r="T109" s="49">
        <v>2</v>
      </c>
      <c r="U109" s="50">
        <v>0</v>
      </c>
      <c r="V109" s="50">
        <v>0.24423500000000001</v>
      </c>
      <c r="W109" s="50">
        <v>3.1330999999999998E-2</v>
      </c>
      <c r="X109" s="50">
        <v>7.2329999999999998E-3</v>
      </c>
      <c r="Y109" s="50">
        <v>0.5</v>
      </c>
      <c r="Z109" s="50">
        <v>0</v>
      </c>
      <c r="AA109" s="72">
        <v>109</v>
      </c>
      <c r="AB109" s="72"/>
      <c r="AC109" s="73"/>
      <c r="AD109" s="80" t="s">
        <v>1036</v>
      </c>
      <c r="AE109" s="87" t="s">
        <v>1143</v>
      </c>
      <c r="AF109" s="80">
        <v>2274</v>
      </c>
      <c r="AG109" s="80">
        <v>1279</v>
      </c>
      <c r="AH109" s="80">
        <v>4070</v>
      </c>
      <c r="AI109" s="80">
        <v>48</v>
      </c>
      <c r="AJ109" s="80">
        <v>6854</v>
      </c>
      <c r="AK109" s="80">
        <v>213</v>
      </c>
      <c r="AL109" s="80" t="b">
        <v>0</v>
      </c>
      <c r="AM109" s="82">
        <v>41430.628842592596</v>
      </c>
      <c r="AN109" s="80" t="s">
        <v>1164</v>
      </c>
      <c r="AO109" s="80" t="s">
        <v>1331</v>
      </c>
      <c r="AP109" s="85" t="str">
        <f>HYPERLINK("https://t.co/fuT8M87u8F")</f>
        <v>https://t.co/fuT8M87u8F</v>
      </c>
      <c r="AQ109" s="85" t="str">
        <f>HYPERLINK("http://www.drsrivi.com")</f>
        <v>http://www.drsrivi.com</v>
      </c>
      <c r="AR109" s="80" t="s">
        <v>1428</v>
      </c>
      <c r="AS109" s="80" t="s">
        <v>1441</v>
      </c>
      <c r="AT109" s="80" t="s">
        <v>1442</v>
      </c>
      <c r="AU109" s="80" t="s">
        <v>1454</v>
      </c>
      <c r="AV109" s="80">
        <v>1.71177054845426E+18</v>
      </c>
      <c r="AW109" s="85" t="str">
        <f>HYPERLINK("https://t.co/fuT8M87u8F")</f>
        <v>https://t.co/fuT8M87u8F</v>
      </c>
      <c r="AX109" s="80" t="b">
        <v>0</v>
      </c>
      <c r="AY109" s="80"/>
      <c r="AZ109" s="80"/>
      <c r="BA109" s="80" t="b">
        <v>0</v>
      </c>
      <c r="BB109" s="80" t="b">
        <v>0</v>
      </c>
      <c r="BC109" s="80" t="b">
        <v>1</v>
      </c>
      <c r="BD109" s="80" t="b">
        <v>0</v>
      </c>
      <c r="BE109" s="80" t="b">
        <v>1</v>
      </c>
      <c r="BF109" s="80" t="b">
        <v>0</v>
      </c>
      <c r="BG109" s="80" t="b">
        <v>0</v>
      </c>
      <c r="BH109" s="85" t="str">
        <f>HYPERLINK("https://pbs.twimg.com/profile_banners/1485229458/1659542711")</f>
        <v>https://pbs.twimg.com/profile_banners/1485229458/1659542711</v>
      </c>
      <c r="BI109" s="80"/>
      <c r="BJ109" s="80" t="s">
        <v>1455</v>
      </c>
      <c r="BK109" s="80" t="b">
        <v>0</v>
      </c>
      <c r="BL109" s="80"/>
      <c r="BM109" s="80" t="s">
        <v>66</v>
      </c>
      <c r="BN109" s="80" t="s">
        <v>1457</v>
      </c>
      <c r="BO109" s="85" t="str">
        <f>HYPERLINK("https://twitter.com/drsrivi")</f>
        <v>https://twitter.com/drsrivi</v>
      </c>
      <c r="BP109" s="80" t="str">
        <f>REPLACE(INDEX(GroupVertices[Group], MATCH("~"&amp;Vertices[[#This Row],[Vertex]],GroupVertices[Vertex],0)),1,1,"")</f>
        <v>2</v>
      </c>
      <c r="BQ109" s="49">
        <v>0</v>
      </c>
      <c r="BR109" s="50">
        <v>0</v>
      </c>
      <c r="BS109" s="49">
        <v>0</v>
      </c>
      <c r="BT109" s="50">
        <v>0</v>
      </c>
      <c r="BU109" s="49">
        <v>0</v>
      </c>
      <c r="BV109" s="50">
        <v>0</v>
      </c>
      <c r="BW109" s="49">
        <v>10</v>
      </c>
      <c r="BX109" s="50">
        <v>58.823529411764703</v>
      </c>
      <c r="BY109" s="49">
        <v>17</v>
      </c>
      <c r="BZ109" s="49"/>
      <c r="CA109" s="49"/>
      <c r="CB109" s="49"/>
      <c r="CC109" s="49"/>
      <c r="CD109" s="49"/>
      <c r="CE109" s="49"/>
      <c r="CF109" s="116" t="s">
        <v>9907</v>
      </c>
      <c r="CG109" s="116" t="s">
        <v>9907</v>
      </c>
      <c r="CH109" s="116" t="s">
        <v>9977</v>
      </c>
      <c r="CI109" s="116" t="s">
        <v>9977</v>
      </c>
      <c r="CJ109" s="2"/>
      <c r="CK109" s="3"/>
      <c r="CL109" s="3"/>
      <c r="CM109" s="3"/>
      <c r="CN109" s="3"/>
    </row>
    <row r="110" spans="1:92" x14ac:dyDescent="0.25">
      <c r="A110" s="65" t="s">
        <v>300</v>
      </c>
      <c r="B110" s="66"/>
      <c r="C110" s="66" t="s">
        <v>64</v>
      </c>
      <c r="D110" s="67">
        <v>100</v>
      </c>
      <c r="E110" s="69"/>
      <c r="F110" s="104" t="str">
        <f>HYPERLINK("https://pbs.twimg.com/profile_images/1403022783223844871/QXVjYvTj_normal.jpg")</f>
        <v>https://pbs.twimg.com/profile_images/1403022783223844871/QXVjYvTj_normal.jpg</v>
      </c>
      <c r="G110" s="66"/>
      <c r="H110" s="70" t="s">
        <v>300</v>
      </c>
      <c r="I110" s="71"/>
      <c r="J110" s="71" t="s">
        <v>159</v>
      </c>
      <c r="K110" s="70" t="s">
        <v>1564</v>
      </c>
      <c r="L110" s="74">
        <v>1</v>
      </c>
      <c r="M110" s="75">
        <v>9373.0400390625</v>
      </c>
      <c r="N110" s="75">
        <v>9726.392578125</v>
      </c>
      <c r="O110" s="76"/>
      <c r="P110" s="77"/>
      <c r="Q110" s="77"/>
      <c r="R110" s="90"/>
      <c r="S110" s="49">
        <v>2</v>
      </c>
      <c r="T110" s="49">
        <v>1</v>
      </c>
      <c r="U110" s="50">
        <v>0</v>
      </c>
      <c r="V110" s="50">
        <v>0.23587900000000001</v>
      </c>
      <c r="W110" s="50">
        <v>1.3361E-2</v>
      </c>
      <c r="X110" s="50">
        <v>7.7019999999999996E-3</v>
      </c>
      <c r="Y110" s="50">
        <v>0</v>
      </c>
      <c r="Z110" s="50">
        <v>0</v>
      </c>
      <c r="AA110" s="72">
        <v>110</v>
      </c>
      <c r="AB110" s="72"/>
      <c r="AC110" s="73"/>
      <c r="AD110" s="80" t="s">
        <v>1037</v>
      </c>
      <c r="AE110" s="87" t="s">
        <v>1144</v>
      </c>
      <c r="AF110" s="80">
        <v>9985</v>
      </c>
      <c r="AG110" s="80">
        <v>1480</v>
      </c>
      <c r="AH110" s="80">
        <v>180684</v>
      </c>
      <c r="AI110" s="80">
        <v>78</v>
      </c>
      <c r="AJ110" s="80">
        <v>155387</v>
      </c>
      <c r="AK110" s="80">
        <v>12647</v>
      </c>
      <c r="AL110" s="80" t="b">
        <v>0</v>
      </c>
      <c r="AM110" s="82">
        <v>40323.506342592591</v>
      </c>
      <c r="AN110" s="80" t="s">
        <v>1218</v>
      </c>
      <c r="AO110" s="80" t="s">
        <v>1332</v>
      </c>
      <c r="AP110" s="80"/>
      <c r="AQ110" s="80"/>
      <c r="AR110" s="80"/>
      <c r="AS110" s="80"/>
      <c r="AT110" s="80"/>
      <c r="AU110" s="80"/>
      <c r="AV110" s="80">
        <v>1.6346160055770601E+18</v>
      </c>
      <c r="AW110" s="80"/>
      <c r="AX110" s="80" t="b">
        <v>0</v>
      </c>
      <c r="AY110" s="80"/>
      <c r="AZ110" s="80"/>
      <c r="BA110" s="80" t="b">
        <v>1</v>
      </c>
      <c r="BB110" s="80" t="b">
        <v>0</v>
      </c>
      <c r="BC110" s="80" t="b">
        <v>0</v>
      </c>
      <c r="BD110" s="80" t="b">
        <v>0</v>
      </c>
      <c r="BE110" s="80" t="b">
        <v>1</v>
      </c>
      <c r="BF110" s="80" t="b">
        <v>0</v>
      </c>
      <c r="BG110" s="80" t="b">
        <v>0</v>
      </c>
      <c r="BH110" s="85" t="str">
        <f>HYPERLINK("https://pbs.twimg.com/profile_banners/147931182/1614358983")</f>
        <v>https://pbs.twimg.com/profile_banners/147931182/1614358983</v>
      </c>
      <c r="BI110" s="80"/>
      <c r="BJ110" s="80" t="s">
        <v>1455</v>
      </c>
      <c r="BK110" s="80" t="b">
        <v>0</v>
      </c>
      <c r="BL110" s="80"/>
      <c r="BM110" s="80" t="s">
        <v>66</v>
      </c>
      <c r="BN110" s="80" t="s">
        <v>1457</v>
      </c>
      <c r="BO110" s="85" t="str">
        <f>HYPERLINK("https://twitter.com/deviiette")</f>
        <v>https://twitter.com/deviiette</v>
      </c>
      <c r="BP110" s="80" t="str">
        <f>REPLACE(INDEX(GroupVertices[Group], MATCH("~"&amp;Vertices[[#This Row],[Vertex]],GroupVertices[Vertex],0)),1,1,"")</f>
        <v>5</v>
      </c>
      <c r="BQ110" s="49">
        <v>0</v>
      </c>
      <c r="BR110" s="50">
        <v>0</v>
      </c>
      <c r="BS110" s="49">
        <v>2</v>
      </c>
      <c r="BT110" s="50">
        <v>22.222222222222221</v>
      </c>
      <c r="BU110" s="49">
        <v>0</v>
      </c>
      <c r="BV110" s="50">
        <v>0</v>
      </c>
      <c r="BW110" s="49">
        <v>5</v>
      </c>
      <c r="BX110" s="50">
        <v>55.555555555555557</v>
      </c>
      <c r="BY110" s="49">
        <v>9</v>
      </c>
      <c r="BZ110" s="49"/>
      <c r="CA110" s="49"/>
      <c r="CB110" s="49"/>
      <c r="CC110" s="49"/>
      <c r="CD110" s="49"/>
      <c r="CE110" s="49"/>
      <c r="CF110" s="116" t="s">
        <v>9948</v>
      </c>
      <c r="CG110" s="116" t="s">
        <v>9948</v>
      </c>
      <c r="CH110" s="116" t="s">
        <v>10018</v>
      </c>
      <c r="CI110" s="116" t="s">
        <v>10018</v>
      </c>
      <c r="CJ110" s="2"/>
      <c r="CK110" s="3"/>
      <c r="CL110" s="3"/>
      <c r="CM110" s="3"/>
      <c r="CN110" s="3"/>
    </row>
    <row r="111" spans="1:92" x14ac:dyDescent="0.25">
      <c r="A111" s="65" t="s">
        <v>301</v>
      </c>
      <c r="B111" s="66"/>
      <c r="C111" s="66" t="s">
        <v>64</v>
      </c>
      <c r="D111" s="67">
        <v>800</v>
      </c>
      <c r="E111" s="69"/>
      <c r="F111" s="104" t="str">
        <f>HYPERLINK("https://pbs.twimg.com/profile_images/1331610042748051458/8NtBN_eL_normal.jpg")</f>
        <v>https://pbs.twimg.com/profile_images/1331610042748051458/8NtBN_eL_normal.jpg</v>
      </c>
      <c r="G111" s="66"/>
      <c r="H111" s="70" t="s">
        <v>301</v>
      </c>
      <c r="I111" s="71"/>
      <c r="J111" s="71" t="s">
        <v>75</v>
      </c>
      <c r="K111" s="70" t="s">
        <v>1565</v>
      </c>
      <c r="L111" s="74">
        <v>1607.0434867436973</v>
      </c>
      <c r="M111" s="75">
        <v>8940.0810546875</v>
      </c>
      <c r="N111" s="75">
        <v>7104.38427734375</v>
      </c>
      <c r="O111" s="76"/>
      <c r="P111" s="77"/>
      <c r="Q111" s="77"/>
      <c r="R111" s="90"/>
      <c r="S111" s="49">
        <v>2</v>
      </c>
      <c r="T111" s="49">
        <v>11</v>
      </c>
      <c r="U111" s="50">
        <v>1482</v>
      </c>
      <c r="V111" s="50">
        <v>0.33075300000000002</v>
      </c>
      <c r="W111" s="50">
        <v>0.11920600000000001</v>
      </c>
      <c r="X111" s="50">
        <v>1.2966999999999999E-2</v>
      </c>
      <c r="Y111" s="50">
        <v>6.6666666666666666E-2</v>
      </c>
      <c r="Z111" s="50">
        <v>0.1</v>
      </c>
      <c r="AA111" s="72">
        <v>111</v>
      </c>
      <c r="AB111" s="72"/>
      <c r="AC111" s="73"/>
      <c r="AD111" s="80" t="s">
        <v>1038</v>
      </c>
      <c r="AE111" s="87" t="s">
        <v>1145</v>
      </c>
      <c r="AF111" s="80">
        <v>36897</v>
      </c>
      <c r="AG111" s="80">
        <v>38572</v>
      </c>
      <c r="AH111" s="80">
        <v>213518</v>
      </c>
      <c r="AI111" s="80">
        <v>1496</v>
      </c>
      <c r="AJ111" s="80">
        <v>19951</v>
      </c>
      <c r="AK111" s="80">
        <v>16523</v>
      </c>
      <c r="AL111" s="80" t="b">
        <v>0</v>
      </c>
      <c r="AM111" s="82">
        <v>39935.525590277779</v>
      </c>
      <c r="AN111" s="80" t="s">
        <v>1219</v>
      </c>
      <c r="AO111" s="80" t="s">
        <v>1333</v>
      </c>
      <c r="AP111" s="85" t="str">
        <f>HYPERLINK("https://t.co/MyDJSXAu2M")</f>
        <v>https://t.co/MyDJSXAu2M</v>
      </c>
      <c r="AQ111" s="85" t="str">
        <f>HYPERLINK("https://www.youtube.com/channel/UCIQ7QeSM-B3khZq9cXpmckg")</f>
        <v>https://www.youtube.com/channel/UCIQ7QeSM-B3khZq9cXpmckg</v>
      </c>
      <c r="AR111" s="80" t="s">
        <v>1429</v>
      </c>
      <c r="AS111" s="80"/>
      <c r="AT111" s="80"/>
      <c r="AU111" s="80"/>
      <c r="AV111" s="80"/>
      <c r="AW111" s="85" t="str">
        <f>HYPERLINK("https://t.co/MyDJSXAu2M")</f>
        <v>https://t.co/MyDJSXAu2M</v>
      </c>
      <c r="AX111" s="80" t="b">
        <v>1</v>
      </c>
      <c r="AY111" s="80" t="b">
        <v>1</v>
      </c>
      <c r="AZ111" s="80" t="b">
        <v>1</v>
      </c>
      <c r="BA111" s="80" t="b">
        <v>1</v>
      </c>
      <c r="BB111" s="80" t="b">
        <v>1</v>
      </c>
      <c r="BC111" s="80" t="b">
        <v>0</v>
      </c>
      <c r="BD111" s="80" t="b">
        <v>0</v>
      </c>
      <c r="BE111" s="80" t="b">
        <v>1</v>
      </c>
      <c r="BF111" s="80" t="b">
        <v>0</v>
      </c>
      <c r="BG111" s="80" t="b">
        <v>0</v>
      </c>
      <c r="BH111" s="85" t="str">
        <f>HYPERLINK("https://pbs.twimg.com/profile_banners/37188645/1678538523")</f>
        <v>https://pbs.twimg.com/profile_banners/37188645/1678538523</v>
      </c>
      <c r="BI111" s="80"/>
      <c r="BJ111" s="80" t="s">
        <v>1455</v>
      </c>
      <c r="BK111" s="80" t="b">
        <v>1</v>
      </c>
      <c r="BL111" s="80"/>
      <c r="BM111" s="80" t="s">
        <v>66</v>
      </c>
      <c r="BN111" s="80" t="s">
        <v>1457</v>
      </c>
      <c r="BO111" s="85" t="str">
        <f>HYPERLINK("https://twitter.com/michaelbathurst")</f>
        <v>https://twitter.com/michaelbathurst</v>
      </c>
      <c r="BP111" s="80" t="str">
        <f>REPLACE(INDEX(GroupVertices[Group], MATCH("~"&amp;Vertices[[#This Row],[Vertex]],GroupVertices[Vertex],0)),1,1,"")</f>
        <v>5</v>
      </c>
      <c r="BQ111" s="49">
        <v>3</v>
      </c>
      <c r="BR111" s="50">
        <v>11.538461538461538</v>
      </c>
      <c r="BS111" s="49">
        <v>0</v>
      </c>
      <c r="BT111" s="50">
        <v>0</v>
      </c>
      <c r="BU111" s="49">
        <v>0</v>
      </c>
      <c r="BV111" s="50">
        <v>0</v>
      </c>
      <c r="BW111" s="49">
        <v>23</v>
      </c>
      <c r="BX111" s="50">
        <v>88.461538461538467</v>
      </c>
      <c r="BY111" s="49">
        <v>26</v>
      </c>
      <c r="BZ111" s="49"/>
      <c r="CA111" s="49"/>
      <c r="CB111" s="49"/>
      <c r="CC111" s="49"/>
      <c r="CD111" s="49" t="s">
        <v>493</v>
      </c>
      <c r="CE111" s="49" t="s">
        <v>9893</v>
      </c>
      <c r="CF111" s="116" t="s">
        <v>9949</v>
      </c>
      <c r="CG111" s="116" t="s">
        <v>9949</v>
      </c>
      <c r="CH111" s="116" t="s">
        <v>10019</v>
      </c>
      <c r="CI111" s="116" t="s">
        <v>10019</v>
      </c>
      <c r="CJ111" s="2"/>
      <c r="CK111" s="3"/>
      <c r="CL111" s="3"/>
      <c r="CM111" s="3"/>
      <c r="CN111" s="3"/>
    </row>
    <row r="112" spans="1:92" x14ac:dyDescent="0.25">
      <c r="A112" s="65" t="s">
        <v>352</v>
      </c>
      <c r="B112" s="66"/>
      <c r="C112" s="66" t="s">
        <v>64</v>
      </c>
      <c r="D112" s="67">
        <v>100</v>
      </c>
      <c r="E112" s="69"/>
      <c r="F112" s="104" t="str">
        <f>HYPERLINK("https://pbs.twimg.com/profile_images/1718257925968330752/UWtIaTXx_normal.jpg")</f>
        <v>https://pbs.twimg.com/profile_images/1718257925968330752/UWtIaTXx_normal.jpg</v>
      </c>
      <c r="G112" s="66"/>
      <c r="H112" s="70" t="s">
        <v>352</v>
      </c>
      <c r="I112" s="71"/>
      <c r="J112" s="71" t="s">
        <v>159</v>
      </c>
      <c r="K112" s="70" t="s">
        <v>1566</v>
      </c>
      <c r="L112" s="74">
        <v>1</v>
      </c>
      <c r="M112" s="75">
        <v>9306.7392578125</v>
      </c>
      <c r="N112" s="75">
        <v>5884.18505859375</v>
      </c>
      <c r="O112" s="76"/>
      <c r="P112" s="77"/>
      <c r="Q112" s="77"/>
      <c r="R112" s="90"/>
      <c r="S112" s="49">
        <v>1</v>
      </c>
      <c r="T112" s="49">
        <v>0</v>
      </c>
      <c r="U112" s="50">
        <v>0</v>
      </c>
      <c r="V112" s="50">
        <v>0.23902399999999999</v>
      </c>
      <c r="W112" s="50">
        <v>1.4569E-2</v>
      </c>
      <c r="X112" s="50">
        <v>7.0320000000000001E-3</v>
      </c>
      <c r="Y112" s="50">
        <v>0</v>
      </c>
      <c r="Z112" s="50">
        <v>0</v>
      </c>
      <c r="AA112" s="72">
        <v>112</v>
      </c>
      <c r="AB112" s="72"/>
      <c r="AC112" s="73"/>
      <c r="AD112" s="80" t="s">
        <v>1039</v>
      </c>
      <c r="AE112" s="87" t="s">
        <v>1146</v>
      </c>
      <c r="AF112" s="80">
        <v>3865</v>
      </c>
      <c r="AG112" s="80">
        <v>3997</v>
      </c>
      <c r="AH112" s="80">
        <v>78866</v>
      </c>
      <c r="AI112" s="80">
        <v>14</v>
      </c>
      <c r="AJ112" s="80">
        <v>45654</v>
      </c>
      <c r="AK112" s="80">
        <v>35606</v>
      </c>
      <c r="AL112" s="80" t="b">
        <v>0</v>
      </c>
      <c r="AM112" s="82">
        <v>44330.821527777778</v>
      </c>
      <c r="AN112" s="80"/>
      <c r="AO112" s="80" t="s">
        <v>1334</v>
      </c>
      <c r="AP112" s="80"/>
      <c r="AQ112" s="80"/>
      <c r="AR112" s="80"/>
      <c r="AS112" s="80"/>
      <c r="AT112" s="80"/>
      <c r="AU112" s="80"/>
      <c r="AV112" s="80">
        <v>1.60683959378499E+18</v>
      </c>
      <c r="AW112" s="80"/>
      <c r="AX112" s="80" t="b">
        <v>1</v>
      </c>
      <c r="AY112" s="80"/>
      <c r="AZ112" s="80"/>
      <c r="BA112" s="80" t="b">
        <v>0</v>
      </c>
      <c r="BB112" s="80" t="b">
        <v>1</v>
      </c>
      <c r="BC112" s="80" t="b">
        <v>1</v>
      </c>
      <c r="BD112" s="80" t="b">
        <v>0</v>
      </c>
      <c r="BE112" s="80" t="b">
        <v>1</v>
      </c>
      <c r="BF112" s="80" t="b">
        <v>0</v>
      </c>
      <c r="BG112" s="80" t="b">
        <v>0</v>
      </c>
      <c r="BH112" s="85" t="str">
        <f>HYPERLINK("https://pbs.twimg.com/profile_banners/1393290718806958085/1699065674")</f>
        <v>https://pbs.twimg.com/profile_banners/1393290718806958085/1699065674</v>
      </c>
      <c r="BI112" s="80"/>
      <c r="BJ112" s="80" t="s">
        <v>1455</v>
      </c>
      <c r="BK112" s="80" t="b">
        <v>0</v>
      </c>
      <c r="BL112" s="80"/>
      <c r="BM112" s="80" t="s">
        <v>65</v>
      </c>
      <c r="BN112" s="80" t="s">
        <v>1457</v>
      </c>
      <c r="BO112" s="85" t="str">
        <f>HYPERLINK("https://twitter.com/mpowelly01")</f>
        <v>https://twitter.com/mpowelly01</v>
      </c>
      <c r="BP112" s="80" t="str">
        <f>REPLACE(INDEX(GroupVertices[Group], MATCH("~"&amp;Vertices[[#This Row],[Vertex]],GroupVertices[Vertex],0)),1,1,"")</f>
        <v>5</v>
      </c>
      <c r="BQ112" s="49"/>
      <c r="BR112" s="50"/>
      <c r="BS112" s="49"/>
      <c r="BT112" s="50"/>
      <c r="BU112" s="49"/>
      <c r="BV112" s="50"/>
      <c r="BW112" s="49"/>
      <c r="BX112" s="50"/>
      <c r="BY112" s="49"/>
      <c r="BZ112" s="49"/>
      <c r="CA112" s="49"/>
      <c r="CB112" s="49"/>
      <c r="CC112" s="49"/>
      <c r="CD112" s="49"/>
      <c r="CE112" s="49"/>
      <c r="CF112" s="49"/>
      <c r="CG112" s="49"/>
      <c r="CH112" s="49"/>
      <c r="CI112" s="49"/>
      <c r="CJ112" s="2"/>
      <c r="CK112" s="3"/>
      <c r="CL112" s="3"/>
      <c r="CM112" s="3"/>
      <c r="CN112" s="3"/>
    </row>
    <row r="113" spans="1:92" x14ac:dyDescent="0.25">
      <c r="A113" s="65" t="s">
        <v>353</v>
      </c>
      <c r="B113" s="66"/>
      <c r="C113" s="66" t="s">
        <v>64</v>
      </c>
      <c r="D113" s="67">
        <v>100</v>
      </c>
      <c r="E113" s="69"/>
      <c r="F113" s="104" t="str">
        <f>HYPERLINK("https://pbs.twimg.com/profile_images/1249133909071314945/ErFO4P-f_normal.jpg")</f>
        <v>https://pbs.twimg.com/profile_images/1249133909071314945/ErFO4P-f_normal.jpg</v>
      </c>
      <c r="G113" s="66"/>
      <c r="H113" s="70" t="s">
        <v>353</v>
      </c>
      <c r="I113" s="71"/>
      <c r="J113" s="71" t="s">
        <v>159</v>
      </c>
      <c r="K113" s="70" t="s">
        <v>1567</v>
      </c>
      <c r="L113" s="74">
        <v>1</v>
      </c>
      <c r="M113" s="75">
        <v>9818.0068359375</v>
      </c>
      <c r="N113" s="75">
        <v>6736.7265625</v>
      </c>
      <c r="O113" s="76"/>
      <c r="P113" s="77"/>
      <c r="Q113" s="77"/>
      <c r="R113" s="90"/>
      <c r="S113" s="49">
        <v>1</v>
      </c>
      <c r="T113" s="49">
        <v>0</v>
      </c>
      <c r="U113" s="50">
        <v>0</v>
      </c>
      <c r="V113" s="50">
        <v>0.23902399999999999</v>
      </c>
      <c r="W113" s="50">
        <v>1.4569E-2</v>
      </c>
      <c r="X113" s="50">
        <v>7.0320000000000001E-3</v>
      </c>
      <c r="Y113" s="50">
        <v>0</v>
      </c>
      <c r="Z113" s="50">
        <v>0</v>
      </c>
      <c r="AA113" s="72">
        <v>113</v>
      </c>
      <c r="AB113" s="72"/>
      <c r="AC113" s="73"/>
      <c r="AD113" s="80" t="s">
        <v>1040</v>
      </c>
      <c r="AE113" s="87" t="s">
        <v>1147</v>
      </c>
      <c r="AF113" s="80">
        <v>141</v>
      </c>
      <c r="AG113" s="80">
        <v>99</v>
      </c>
      <c r="AH113" s="80">
        <v>282</v>
      </c>
      <c r="AI113" s="80">
        <v>4</v>
      </c>
      <c r="AJ113" s="80">
        <v>253</v>
      </c>
      <c r="AK113" s="80">
        <v>22</v>
      </c>
      <c r="AL113" s="80" t="b">
        <v>0</v>
      </c>
      <c r="AM113" s="82">
        <v>43928.200162037036</v>
      </c>
      <c r="AN113" s="80" t="s">
        <v>1220</v>
      </c>
      <c r="AO113" s="80" t="s">
        <v>1335</v>
      </c>
      <c r="AP113" s="85" t="str">
        <f>HYPERLINK("https://t.co/HFkNGOODqE")</f>
        <v>https://t.co/HFkNGOODqE</v>
      </c>
      <c r="AQ113" s="85" t="str">
        <f>HYPERLINK("https://bit.ly/3dWRkWm")</f>
        <v>https://bit.ly/3dWRkWm</v>
      </c>
      <c r="AR113" s="80" t="s">
        <v>1430</v>
      </c>
      <c r="AS113" s="80"/>
      <c r="AT113" s="80"/>
      <c r="AU113" s="80"/>
      <c r="AV113" s="80"/>
      <c r="AW113" s="85" t="str">
        <f>HYPERLINK("https://t.co/HFkNGOODqE")</f>
        <v>https://t.co/HFkNGOODqE</v>
      </c>
      <c r="AX113" s="80" t="b">
        <v>0</v>
      </c>
      <c r="AY113" s="80"/>
      <c r="AZ113" s="80"/>
      <c r="BA113" s="80" t="b">
        <v>1</v>
      </c>
      <c r="BB113" s="80" t="b">
        <v>1</v>
      </c>
      <c r="BC113" s="80" t="b">
        <v>1</v>
      </c>
      <c r="BD113" s="80" t="b">
        <v>0</v>
      </c>
      <c r="BE113" s="80" t="b">
        <v>1</v>
      </c>
      <c r="BF113" s="80" t="b">
        <v>0</v>
      </c>
      <c r="BG113" s="80" t="b">
        <v>0</v>
      </c>
      <c r="BH113" s="85" t="str">
        <f>HYPERLINK("https://pbs.twimg.com/profile_banners/1247385614720339976/1586235591")</f>
        <v>https://pbs.twimg.com/profile_banners/1247385614720339976/1586235591</v>
      </c>
      <c r="BI113" s="80"/>
      <c r="BJ113" s="80" t="s">
        <v>1455</v>
      </c>
      <c r="BK113" s="80" t="b">
        <v>0</v>
      </c>
      <c r="BL113" s="80"/>
      <c r="BM113" s="80" t="s">
        <v>65</v>
      </c>
      <c r="BN113" s="80" t="s">
        <v>1457</v>
      </c>
      <c r="BO113" s="85" t="str">
        <f>HYPERLINK("https://twitter.com/unosmlre")</f>
        <v>https://twitter.com/unosmlre</v>
      </c>
      <c r="BP113" s="80" t="str">
        <f>REPLACE(INDEX(GroupVertices[Group], MATCH("~"&amp;Vertices[[#This Row],[Vertex]],GroupVertices[Vertex],0)),1,1,"")</f>
        <v>5</v>
      </c>
      <c r="BQ113" s="49"/>
      <c r="BR113" s="50"/>
      <c r="BS113" s="49"/>
      <c r="BT113" s="50"/>
      <c r="BU113" s="49"/>
      <c r="BV113" s="50"/>
      <c r="BW113" s="49"/>
      <c r="BX113" s="50"/>
      <c r="BY113" s="49"/>
      <c r="BZ113" s="49"/>
      <c r="CA113" s="49"/>
      <c r="CB113" s="49"/>
      <c r="CC113" s="49"/>
      <c r="CD113" s="49"/>
      <c r="CE113" s="49"/>
      <c r="CF113" s="49"/>
      <c r="CG113" s="49"/>
      <c r="CH113" s="49"/>
      <c r="CI113" s="49"/>
      <c r="CJ113" s="2"/>
      <c r="CK113" s="3"/>
      <c r="CL113" s="3"/>
      <c r="CM113" s="3"/>
      <c r="CN113" s="3"/>
    </row>
    <row r="114" spans="1:92" x14ac:dyDescent="0.25">
      <c r="A114" s="65" t="s">
        <v>308</v>
      </c>
      <c r="B114" s="66"/>
      <c r="C114" s="66" t="s">
        <v>64</v>
      </c>
      <c r="D114" s="67">
        <v>384.11764705882354</v>
      </c>
      <c r="E114" s="69"/>
      <c r="F114" s="104" t="str">
        <f>HYPERLINK("https://pbs.twimg.com/profile_images/1248602262672310279/mursIaXj_normal.jpg")</f>
        <v>https://pbs.twimg.com/profile_images/1248602262672310279/mursIaXj_normal.jpg</v>
      </c>
      <c r="G114" s="66"/>
      <c r="H114" s="70" t="s">
        <v>308</v>
      </c>
      <c r="I114" s="71"/>
      <c r="J114" s="71" t="s">
        <v>75</v>
      </c>
      <c r="K114" s="70" t="s">
        <v>1568</v>
      </c>
      <c r="L114" s="74">
        <v>449.65182423204493</v>
      </c>
      <c r="M114" s="75">
        <v>8796.9345703125</v>
      </c>
      <c r="N114" s="75">
        <v>2530.611083984375</v>
      </c>
      <c r="O114" s="76"/>
      <c r="P114" s="77"/>
      <c r="Q114" s="77"/>
      <c r="R114" s="90"/>
      <c r="S114" s="49">
        <v>2</v>
      </c>
      <c r="T114" s="49">
        <v>3</v>
      </c>
      <c r="U114" s="50">
        <v>414</v>
      </c>
      <c r="V114" s="50">
        <v>0.31340600000000002</v>
      </c>
      <c r="W114" s="50">
        <v>8.7245000000000003E-2</v>
      </c>
      <c r="X114" s="50">
        <v>9.4549999999999999E-3</v>
      </c>
      <c r="Y114" s="50">
        <v>0</v>
      </c>
      <c r="Z114" s="50">
        <v>0</v>
      </c>
      <c r="AA114" s="72">
        <v>114</v>
      </c>
      <c r="AB114" s="72"/>
      <c r="AC114" s="73"/>
      <c r="AD114" s="80" t="s">
        <v>1041</v>
      </c>
      <c r="AE114" s="87" t="s">
        <v>1148</v>
      </c>
      <c r="AF114" s="80">
        <v>40645</v>
      </c>
      <c r="AG114" s="80">
        <v>11149</v>
      </c>
      <c r="AH114" s="80">
        <v>50191</v>
      </c>
      <c r="AI114" s="80">
        <v>974</v>
      </c>
      <c r="AJ114" s="80">
        <v>19273</v>
      </c>
      <c r="AK114" s="80">
        <v>2817</v>
      </c>
      <c r="AL114" s="80" t="b">
        <v>0</v>
      </c>
      <c r="AM114" s="82">
        <v>39247.859305555554</v>
      </c>
      <c r="AN114" s="80" t="s">
        <v>1175</v>
      </c>
      <c r="AO114" s="80" t="s">
        <v>1336</v>
      </c>
      <c r="AP114" s="85" t="str">
        <f>HYPERLINK("https://t.co/QqStfKzYoI")</f>
        <v>https://t.co/QqStfKzYoI</v>
      </c>
      <c r="AQ114" s="85" t="str">
        <f>HYPERLINK("http://www.nahj.org")</f>
        <v>http://www.nahj.org</v>
      </c>
      <c r="AR114" s="80" t="s">
        <v>1431</v>
      </c>
      <c r="AS114" s="80"/>
      <c r="AT114" s="80"/>
      <c r="AU114" s="80"/>
      <c r="AV114" s="80">
        <v>1.71500488467456E+18</v>
      </c>
      <c r="AW114" s="85" t="str">
        <f>HYPERLINK("https://t.co/QqStfKzYoI")</f>
        <v>https://t.co/QqStfKzYoI</v>
      </c>
      <c r="AX114" s="80" t="b">
        <v>0</v>
      </c>
      <c r="AY114" s="80"/>
      <c r="AZ114" s="80"/>
      <c r="BA114" s="80" t="b">
        <v>0</v>
      </c>
      <c r="BB114" s="80" t="b">
        <v>1</v>
      </c>
      <c r="BC114" s="80" t="b">
        <v>0</v>
      </c>
      <c r="BD114" s="80" t="b">
        <v>0</v>
      </c>
      <c r="BE114" s="80" t="b">
        <v>0</v>
      </c>
      <c r="BF114" s="80" t="b">
        <v>0</v>
      </c>
      <c r="BG114" s="80" t="b">
        <v>0</v>
      </c>
      <c r="BH114" s="85" t="str">
        <f>HYPERLINK("https://pbs.twimg.com/profile_banners/6819732/1643476697")</f>
        <v>https://pbs.twimg.com/profile_banners/6819732/1643476697</v>
      </c>
      <c r="BI114" s="80"/>
      <c r="BJ114" s="80" t="s">
        <v>1455</v>
      </c>
      <c r="BK114" s="80" t="b">
        <v>0</v>
      </c>
      <c r="BL114" s="80"/>
      <c r="BM114" s="80" t="s">
        <v>66</v>
      </c>
      <c r="BN114" s="80" t="s">
        <v>1457</v>
      </c>
      <c r="BO114" s="85" t="str">
        <f>HYPERLINK("https://twitter.com/nahj")</f>
        <v>https://twitter.com/nahj</v>
      </c>
      <c r="BP114" s="80" t="str">
        <f>REPLACE(INDEX(GroupVertices[Group], MATCH("~"&amp;Vertices[[#This Row],[Vertex]],GroupVertices[Vertex],0)),1,1,"")</f>
        <v>11</v>
      </c>
      <c r="BQ114" s="49">
        <v>2</v>
      </c>
      <c r="BR114" s="50">
        <v>5.5555555555555554</v>
      </c>
      <c r="BS114" s="49">
        <v>0</v>
      </c>
      <c r="BT114" s="50">
        <v>0</v>
      </c>
      <c r="BU114" s="49">
        <v>0</v>
      </c>
      <c r="BV114" s="50">
        <v>0</v>
      </c>
      <c r="BW114" s="49">
        <v>22</v>
      </c>
      <c r="BX114" s="50">
        <v>61.111111111111114</v>
      </c>
      <c r="BY114" s="49">
        <v>36</v>
      </c>
      <c r="BZ114" s="49" t="s">
        <v>9563</v>
      </c>
      <c r="CA114" s="49" t="s">
        <v>9867</v>
      </c>
      <c r="CB114" s="49" t="s">
        <v>517</v>
      </c>
      <c r="CC114" s="49" t="s">
        <v>517</v>
      </c>
      <c r="CD114" s="49" t="s">
        <v>496</v>
      </c>
      <c r="CE114" s="49" t="s">
        <v>496</v>
      </c>
      <c r="CF114" s="116" t="s">
        <v>9950</v>
      </c>
      <c r="CG114" s="116" t="s">
        <v>9950</v>
      </c>
      <c r="CH114" s="116" t="s">
        <v>10020</v>
      </c>
      <c r="CI114" s="116" t="s">
        <v>10020</v>
      </c>
      <c r="CJ114" s="2"/>
      <c r="CK114" s="3"/>
      <c r="CL114" s="3"/>
      <c r="CM114" s="3"/>
      <c r="CN114" s="3"/>
    </row>
    <row r="115" spans="1:92" x14ac:dyDescent="0.25">
      <c r="A115" s="65" t="s">
        <v>303</v>
      </c>
      <c r="B115" s="66"/>
      <c r="C115" s="66" t="s">
        <v>64</v>
      </c>
      <c r="D115" s="67">
        <v>112.35294117647059</v>
      </c>
      <c r="E115" s="69"/>
      <c r="F115" s="104" t="str">
        <f>HYPERLINK("https://pbs.twimg.com/profile_images/1689952558293356544/DcOJhVT1_normal.jpg")</f>
        <v>https://pbs.twimg.com/profile_images/1689952558293356544/DcOJhVT1_normal.jpg</v>
      </c>
      <c r="G115" s="66"/>
      <c r="H115" s="70" t="s">
        <v>303</v>
      </c>
      <c r="I115" s="71"/>
      <c r="J115" s="71" t="s">
        <v>75</v>
      </c>
      <c r="K115" s="70" t="s">
        <v>1569</v>
      </c>
      <c r="L115" s="74">
        <v>20.50660105356717</v>
      </c>
      <c r="M115" s="75">
        <v>8589.353515625</v>
      </c>
      <c r="N115" s="75">
        <v>7793.88427734375</v>
      </c>
      <c r="O115" s="76"/>
      <c r="P115" s="77"/>
      <c r="Q115" s="77"/>
      <c r="R115" s="90"/>
      <c r="S115" s="49">
        <v>1</v>
      </c>
      <c r="T115" s="49">
        <v>6</v>
      </c>
      <c r="U115" s="50">
        <v>18</v>
      </c>
      <c r="V115" s="50">
        <v>0.24357100000000001</v>
      </c>
      <c r="W115" s="50">
        <v>3.5543999999999999E-2</v>
      </c>
      <c r="X115" s="50">
        <v>9.4820000000000008E-3</v>
      </c>
      <c r="Y115" s="50">
        <v>0.16666666666666666</v>
      </c>
      <c r="Z115" s="50">
        <v>0.16666666666666666</v>
      </c>
      <c r="AA115" s="72">
        <v>115</v>
      </c>
      <c r="AB115" s="72"/>
      <c r="AC115" s="73"/>
      <c r="AD115" s="80" t="s">
        <v>1042</v>
      </c>
      <c r="AE115" s="87" t="s">
        <v>892</v>
      </c>
      <c r="AF115" s="80">
        <v>119</v>
      </c>
      <c r="AG115" s="80">
        <v>306</v>
      </c>
      <c r="AH115" s="80">
        <v>5488</v>
      </c>
      <c r="AI115" s="80">
        <v>12</v>
      </c>
      <c r="AJ115" s="80">
        <v>3096</v>
      </c>
      <c r="AK115" s="80">
        <v>551</v>
      </c>
      <c r="AL115" s="80" t="b">
        <v>0</v>
      </c>
      <c r="AM115" s="82">
        <v>43754.448414351849</v>
      </c>
      <c r="AN115" s="80" t="s">
        <v>1221</v>
      </c>
      <c r="AO115" s="80" t="s">
        <v>1337</v>
      </c>
      <c r="AP115" s="85" t="str">
        <f>HYPERLINK("https://t.co/tW6dYiM2Ze")</f>
        <v>https://t.co/tW6dYiM2Ze</v>
      </c>
      <c r="AQ115" s="85" t="str">
        <f>HYPERLINK("https://soundcloud.com/sms0499154500")</f>
        <v>https://soundcloud.com/sms0499154500</v>
      </c>
      <c r="AR115" s="80" t="s">
        <v>1432</v>
      </c>
      <c r="AS115" s="80"/>
      <c r="AT115" s="80"/>
      <c r="AU115" s="80"/>
      <c r="AV115" s="80">
        <v>1.7138888302421299E+18</v>
      </c>
      <c r="AW115" s="85" t="str">
        <f>HYPERLINK("https://t.co/tW6dYiM2Ze")</f>
        <v>https://t.co/tW6dYiM2Ze</v>
      </c>
      <c r="AX115" s="80" t="b">
        <v>0</v>
      </c>
      <c r="AY115" s="80" t="b">
        <v>1</v>
      </c>
      <c r="AZ115" s="80"/>
      <c r="BA115" s="80" t="b">
        <v>1</v>
      </c>
      <c r="BB115" s="80" t="b">
        <v>1</v>
      </c>
      <c r="BC115" s="80" t="b">
        <v>1</v>
      </c>
      <c r="BD115" s="80" t="b">
        <v>0</v>
      </c>
      <c r="BE115" s="80" t="b">
        <v>1</v>
      </c>
      <c r="BF115" s="80" t="b">
        <v>0</v>
      </c>
      <c r="BG115" s="80" t="b">
        <v>0</v>
      </c>
      <c r="BH115" s="85" t="str">
        <f>HYPERLINK("https://pbs.twimg.com/profile_banners/1184420106106998785/1691751063")</f>
        <v>https://pbs.twimg.com/profile_banners/1184420106106998785/1691751063</v>
      </c>
      <c r="BI115" s="80"/>
      <c r="BJ115" s="80" t="s">
        <v>1455</v>
      </c>
      <c r="BK115" s="80" t="b">
        <v>0</v>
      </c>
      <c r="BL115" s="80"/>
      <c r="BM115" s="80" t="s">
        <v>66</v>
      </c>
      <c r="BN115" s="80" t="s">
        <v>1457</v>
      </c>
      <c r="BO115" s="85" t="str">
        <f>HYPERLINK("https://twitter.com/reutsmichael1")</f>
        <v>https://twitter.com/reutsmichael1</v>
      </c>
      <c r="BP115" s="80" t="str">
        <f>REPLACE(INDEX(GroupVertices[Group], MATCH("~"&amp;Vertices[[#This Row],[Vertex]],GroupVertices[Vertex],0)),1,1,"")</f>
        <v>5</v>
      </c>
      <c r="BQ115" s="49">
        <v>2</v>
      </c>
      <c r="BR115" s="50">
        <v>16.666666666666668</v>
      </c>
      <c r="BS115" s="49">
        <v>0</v>
      </c>
      <c r="BT115" s="50">
        <v>0</v>
      </c>
      <c r="BU115" s="49">
        <v>0</v>
      </c>
      <c r="BV115" s="50">
        <v>0</v>
      </c>
      <c r="BW115" s="49">
        <v>9</v>
      </c>
      <c r="BX115" s="50">
        <v>75</v>
      </c>
      <c r="BY115" s="49">
        <v>12</v>
      </c>
      <c r="BZ115" s="49"/>
      <c r="CA115" s="49"/>
      <c r="CB115" s="49"/>
      <c r="CC115" s="49"/>
      <c r="CD115" s="49"/>
      <c r="CE115" s="49"/>
      <c r="CF115" s="116" t="s">
        <v>9951</v>
      </c>
      <c r="CG115" s="116" t="s">
        <v>9951</v>
      </c>
      <c r="CH115" s="116" t="s">
        <v>10021</v>
      </c>
      <c r="CI115" s="116" t="s">
        <v>10021</v>
      </c>
      <c r="CJ115" s="2"/>
      <c r="CK115" s="3"/>
      <c r="CL115" s="3"/>
      <c r="CM115" s="3"/>
      <c r="CN115" s="3"/>
    </row>
    <row r="116" spans="1:92" x14ac:dyDescent="0.25">
      <c r="A116" s="65" t="s">
        <v>354</v>
      </c>
      <c r="B116" s="66"/>
      <c r="C116" s="66" t="s">
        <v>64</v>
      </c>
      <c r="D116" s="67">
        <v>100</v>
      </c>
      <c r="E116" s="69"/>
      <c r="F116" s="104" t="str">
        <f>HYPERLINK("https://pbs.twimg.com/profile_images/1443845612445839401/cczEDG9W_normal.jpg")</f>
        <v>https://pbs.twimg.com/profile_images/1443845612445839401/cczEDG9W_normal.jpg</v>
      </c>
      <c r="G116" s="66"/>
      <c r="H116" s="70" t="s">
        <v>354</v>
      </c>
      <c r="I116" s="71"/>
      <c r="J116" s="71" t="s">
        <v>159</v>
      </c>
      <c r="K116" s="70" t="s">
        <v>1570</v>
      </c>
      <c r="L116" s="74">
        <v>1</v>
      </c>
      <c r="M116" s="75">
        <v>8780.4482421875</v>
      </c>
      <c r="N116" s="75">
        <v>7446.8955078125</v>
      </c>
      <c r="O116" s="76"/>
      <c r="P116" s="77"/>
      <c r="Q116" s="77"/>
      <c r="R116" s="90"/>
      <c r="S116" s="49">
        <v>2</v>
      </c>
      <c r="T116" s="49">
        <v>0</v>
      </c>
      <c r="U116" s="50">
        <v>0</v>
      </c>
      <c r="V116" s="50">
        <v>0.23966299999999999</v>
      </c>
      <c r="W116" s="50">
        <v>1.8914E-2</v>
      </c>
      <c r="X116" s="50">
        <v>7.2690000000000003E-3</v>
      </c>
      <c r="Y116" s="50">
        <v>1</v>
      </c>
      <c r="Z116" s="50">
        <v>0</v>
      </c>
      <c r="AA116" s="72">
        <v>116</v>
      </c>
      <c r="AB116" s="72"/>
      <c r="AC116" s="73"/>
      <c r="AD116" s="80" t="s">
        <v>1043</v>
      </c>
      <c r="AE116" s="87" t="s">
        <v>1149</v>
      </c>
      <c r="AF116" s="80">
        <v>346</v>
      </c>
      <c r="AG116" s="80">
        <v>490</v>
      </c>
      <c r="AH116" s="80">
        <v>26010</v>
      </c>
      <c r="AI116" s="80">
        <v>37</v>
      </c>
      <c r="AJ116" s="80">
        <v>15508</v>
      </c>
      <c r="AK116" s="80">
        <v>1402</v>
      </c>
      <c r="AL116" s="80" t="b">
        <v>0</v>
      </c>
      <c r="AM116" s="82">
        <v>44470.311944444446</v>
      </c>
      <c r="AN116" s="80" t="s">
        <v>1222</v>
      </c>
      <c r="AO116" s="80" t="s">
        <v>1338</v>
      </c>
      <c r="AP116" s="85" t="str">
        <f>HYPERLINK("https://t.co/yW1s5MlEkl")</f>
        <v>https://t.co/yW1s5MlEkl</v>
      </c>
      <c r="AQ116" s="85" t="str">
        <f>HYPERLINK("http://0499154500.eu")</f>
        <v>http://0499154500.eu</v>
      </c>
      <c r="AR116" s="80" t="s">
        <v>1043</v>
      </c>
      <c r="AS116" s="80"/>
      <c r="AT116" s="80"/>
      <c r="AU116" s="80"/>
      <c r="AV116" s="80">
        <v>1.60922455892975E+18</v>
      </c>
      <c r="AW116" s="85" t="str">
        <f>HYPERLINK("https://t.co/yW1s5MlEkl")</f>
        <v>https://t.co/yW1s5MlEkl</v>
      </c>
      <c r="AX116" s="80" t="b">
        <v>0</v>
      </c>
      <c r="AY116" s="80" t="b">
        <v>1</v>
      </c>
      <c r="AZ116" s="80" t="b">
        <v>1</v>
      </c>
      <c r="BA116" s="80" t="b">
        <v>1</v>
      </c>
      <c r="BB116" s="80" t="b">
        <v>1</v>
      </c>
      <c r="BC116" s="80" t="b">
        <v>1</v>
      </c>
      <c r="BD116" s="80" t="b">
        <v>0</v>
      </c>
      <c r="BE116" s="80" t="b">
        <v>1</v>
      </c>
      <c r="BF116" s="80" t="b">
        <v>0</v>
      </c>
      <c r="BG116" s="80" t="b">
        <v>0</v>
      </c>
      <c r="BH116" s="85" t="str">
        <f>HYPERLINK("https://pbs.twimg.com/profile_banners/1443840264213311536/1667656800")</f>
        <v>https://pbs.twimg.com/profile_banners/1443840264213311536/1667656800</v>
      </c>
      <c r="BI116" s="80"/>
      <c r="BJ116" s="80" t="s">
        <v>1455</v>
      </c>
      <c r="BK116" s="80" t="b">
        <v>1</v>
      </c>
      <c r="BL116" s="80"/>
      <c r="BM116" s="80" t="s">
        <v>65</v>
      </c>
      <c r="BN116" s="80" t="s">
        <v>1457</v>
      </c>
      <c r="BO116" s="85" t="str">
        <f>HYPERLINK("https://twitter.com/this0499154500")</f>
        <v>https://twitter.com/this0499154500</v>
      </c>
      <c r="BP116" s="80" t="str">
        <f>REPLACE(INDEX(GroupVertices[Group], MATCH("~"&amp;Vertices[[#This Row],[Vertex]],GroupVertices[Vertex],0)),1,1,"")</f>
        <v>5</v>
      </c>
      <c r="BQ116" s="49"/>
      <c r="BR116" s="50"/>
      <c r="BS116" s="49"/>
      <c r="BT116" s="50"/>
      <c r="BU116" s="49"/>
      <c r="BV116" s="50"/>
      <c r="BW116" s="49"/>
      <c r="BX116" s="50"/>
      <c r="BY116" s="49"/>
      <c r="BZ116" s="49"/>
      <c r="CA116" s="49"/>
      <c r="CB116" s="49"/>
      <c r="CC116" s="49"/>
      <c r="CD116" s="49"/>
      <c r="CE116" s="49"/>
      <c r="CF116" s="49"/>
      <c r="CG116" s="49"/>
      <c r="CH116" s="49"/>
      <c r="CI116" s="49"/>
      <c r="CJ116" s="2"/>
      <c r="CK116" s="3"/>
      <c r="CL116" s="3"/>
      <c r="CM116" s="3"/>
      <c r="CN116" s="3"/>
    </row>
    <row r="117" spans="1:92" x14ac:dyDescent="0.25">
      <c r="A117" s="65" t="s">
        <v>355</v>
      </c>
      <c r="B117" s="66"/>
      <c r="C117" s="66" t="s">
        <v>64</v>
      </c>
      <c r="D117" s="67">
        <v>100</v>
      </c>
      <c r="E117" s="69"/>
      <c r="F117" s="104" t="str">
        <f>HYPERLINK("https://pbs.twimg.com/profile_images/993645134372798469/pAZy1Q6j_normal.jpg")</f>
        <v>https://pbs.twimg.com/profile_images/993645134372798469/pAZy1Q6j_normal.jpg</v>
      </c>
      <c r="G117" s="66"/>
      <c r="H117" s="70" t="s">
        <v>355</v>
      </c>
      <c r="I117" s="71"/>
      <c r="J117" s="71" t="s">
        <v>159</v>
      </c>
      <c r="K117" s="70" t="s">
        <v>1571</v>
      </c>
      <c r="L117" s="74">
        <v>1</v>
      </c>
      <c r="M117" s="75">
        <v>9631.9501953125</v>
      </c>
      <c r="N117" s="75">
        <v>7730.5029296875</v>
      </c>
      <c r="O117" s="76"/>
      <c r="P117" s="77"/>
      <c r="Q117" s="77"/>
      <c r="R117" s="90"/>
      <c r="S117" s="49">
        <v>2</v>
      </c>
      <c r="T117" s="49">
        <v>0</v>
      </c>
      <c r="U117" s="50">
        <v>0</v>
      </c>
      <c r="V117" s="50">
        <v>0.23966299999999999</v>
      </c>
      <c r="W117" s="50">
        <v>1.8914E-2</v>
      </c>
      <c r="X117" s="50">
        <v>7.2690000000000003E-3</v>
      </c>
      <c r="Y117" s="50">
        <v>1</v>
      </c>
      <c r="Z117" s="50">
        <v>0</v>
      </c>
      <c r="AA117" s="72">
        <v>117</v>
      </c>
      <c r="AB117" s="72"/>
      <c r="AC117" s="73"/>
      <c r="AD117" s="80" t="s">
        <v>1044</v>
      </c>
      <c r="AE117" s="87" t="s">
        <v>1150</v>
      </c>
      <c r="AF117" s="80">
        <v>1161</v>
      </c>
      <c r="AG117" s="80">
        <v>2843</v>
      </c>
      <c r="AH117" s="80">
        <v>3912</v>
      </c>
      <c r="AI117" s="80">
        <v>25</v>
      </c>
      <c r="AJ117" s="80">
        <v>436</v>
      </c>
      <c r="AK117" s="80">
        <v>56</v>
      </c>
      <c r="AL117" s="80" t="b">
        <v>0</v>
      </c>
      <c r="AM117" s="82">
        <v>39981.329618055555</v>
      </c>
      <c r="AN117" s="80" t="s">
        <v>1223</v>
      </c>
      <c r="AO117" s="80" t="s">
        <v>1339</v>
      </c>
      <c r="AP117" s="85" t="str">
        <f>HYPERLINK("https://t.co/ykG5sGYx2V")</f>
        <v>https://t.co/ykG5sGYx2V</v>
      </c>
      <c r="AQ117" s="85" t="str">
        <f>HYPERLINK("https://www.linkedin.com/in/dr-nasir-h-assar-25676718/")</f>
        <v>https://www.linkedin.com/in/dr-nasir-h-assar-25676718/</v>
      </c>
      <c r="AR117" s="80" t="s">
        <v>1433</v>
      </c>
      <c r="AS117" s="80"/>
      <c r="AT117" s="80"/>
      <c r="AU117" s="80"/>
      <c r="AV117" s="80"/>
      <c r="AW117" s="85" t="str">
        <f>HYPERLINK("https://t.co/ykG5sGYx2V")</f>
        <v>https://t.co/ykG5sGYx2V</v>
      </c>
      <c r="AX117" s="80" t="b">
        <v>0</v>
      </c>
      <c r="AY117" s="80"/>
      <c r="AZ117" s="80"/>
      <c r="BA117" s="80" t="b">
        <v>0</v>
      </c>
      <c r="BB117" s="80" t="b">
        <v>1</v>
      </c>
      <c r="BC117" s="80" t="b">
        <v>0</v>
      </c>
      <c r="BD117" s="80" t="b">
        <v>0</v>
      </c>
      <c r="BE117" s="80" t="b">
        <v>0</v>
      </c>
      <c r="BF117" s="80" t="b">
        <v>0</v>
      </c>
      <c r="BG117" s="80" t="b">
        <v>0</v>
      </c>
      <c r="BH117" s="85" t="str">
        <f>HYPERLINK("https://pbs.twimg.com/profile_banners/47893228/1536497307")</f>
        <v>https://pbs.twimg.com/profile_banners/47893228/1536497307</v>
      </c>
      <c r="BI117" s="80"/>
      <c r="BJ117" s="80" t="s">
        <v>1455</v>
      </c>
      <c r="BK117" s="80" t="b">
        <v>0</v>
      </c>
      <c r="BL117" s="80"/>
      <c r="BM117" s="80" t="s">
        <v>65</v>
      </c>
      <c r="BN117" s="80" t="s">
        <v>1457</v>
      </c>
      <c r="BO117" s="85" t="str">
        <f>HYPERLINK("https://twitter.com/docassar")</f>
        <v>https://twitter.com/docassar</v>
      </c>
      <c r="BP117" s="80" t="str">
        <f>REPLACE(INDEX(GroupVertices[Group], MATCH("~"&amp;Vertices[[#This Row],[Vertex]],GroupVertices[Vertex],0)),1,1,"")</f>
        <v>5</v>
      </c>
      <c r="BQ117" s="49"/>
      <c r="BR117" s="50"/>
      <c r="BS117" s="49"/>
      <c r="BT117" s="50"/>
      <c r="BU117" s="49"/>
      <c r="BV117" s="50"/>
      <c r="BW117" s="49"/>
      <c r="BX117" s="50"/>
      <c r="BY117" s="49"/>
      <c r="BZ117" s="49"/>
      <c r="CA117" s="49"/>
      <c r="CB117" s="49"/>
      <c r="CC117" s="49"/>
      <c r="CD117" s="49"/>
      <c r="CE117" s="49"/>
      <c r="CF117" s="49"/>
      <c r="CG117" s="49"/>
      <c r="CH117" s="49"/>
      <c r="CI117" s="49"/>
      <c r="CJ117" s="2"/>
      <c r="CK117" s="3"/>
      <c r="CL117" s="3"/>
      <c r="CM117" s="3"/>
      <c r="CN117" s="3"/>
    </row>
    <row r="118" spans="1:92" x14ac:dyDescent="0.25">
      <c r="A118" s="65" t="s">
        <v>356</v>
      </c>
      <c r="B118" s="66"/>
      <c r="C118" s="66" t="s">
        <v>64</v>
      </c>
      <c r="D118" s="67">
        <v>100</v>
      </c>
      <c r="E118" s="69"/>
      <c r="F118" s="104" t="str">
        <f>HYPERLINK("https://pbs.twimg.com/profile_images/1361638888427683840/HqNlplM__normal.jpg")</f>
        <v>https://pbs.twimg.com/profile_images/1361638888427683840/HqNlplM__normal.jpg</v>
      </c>
      <c r="G118" s="66"/>
      <c r="H118" s="70" t="s">
        <v>356</v>
      </c>
      <c r="I118" s="71"/>
      <c r="J118" s="71" t="s">
        <v>159</v>
      </c>
      <c r="K118" s="70" t="s">
        <v>1572</v>
      </c>
      <c r="L118" s="74">
        <v>1</v>
      </c>
      <c r="M118" s="75">
        <v>8078.75</v>
      </c>
      <c r="N118" s="75">
        <v>6615.2392578125</v>
      </c>
      <c r="O118" s="76"/>
      <c r="P118" s="77"/>
      <c r="Q118" s="77"/>
      <c r="R118" s="90"/>
      <c r="S118" s="49">
        <v>2</v>
      </c>
      <c r="T118" s="49">
        <v>0</v>
      </c>
      <c r="U118" s="50">
        <v>0</v>
      </c>
      <c r="V118" s="50">
        <v>0.23966299999999999</v>
      </c>
      <c r="W118" s="50">
        <v>1.8914E-2</v>
      </c>
      <c r="X118" s="50">
        <v>7.2690000000000003E-3</v>
      </c>
      <c r="Y118" s="50">
        <v>1</v>
      </c>
      <c r="Z118" s="50">
        <v>0</v>
      </c>
      <c r="AA118" s="72">
        <v>118</v>
      </c>
      <c r="AB118" s="72"/>
      <c r="AC118" s="73"/>
      <c r="AD118" s="80" t="s">
        <v>1045</v>
      </c>
      <c r="AE118" s="87" t="s">
        <v>1151</v>
      </c>
      <c r="AF118" s="80">
        <v>42966</v>
      </c>
      <c r="AG118" s="80">
        <v>31026</v>
      </c>
      <c r="AH118" s="80">
        <v>263754</v>
      </c>
      <c r="AI118" s="80">
        <v>233</v>
      </c>
      <c r="AJ118" s="80">
        <v>130340</v>
      </c>
      <c r="AK118" s="80">
        <v>18894</v>
      </c>
      <c r="AL118" s="80" t="b">
        <v>0</v>
      </c>
      <c r="AM118" s="82">
        <v>41346.555335648147</v>
      </c>
      <c r="AN118" s="80" t="s">
        <v>1224</v>
      </c>
      <c r="AO118" s="80" t="s">
        <v>1340</v>
      </c>
      <c r="AP118" s="85" t="str">
        <f>HYPERLINK("https://t.co/oyq3TqnsCW")</f>
        <v>https://t.co/oyq3TqnsCW</v>
      </c>
      <c r="AQ118" s="85" t="str">
        <f>HYPERLINK("https://www.elitsakrumova.com")</f>
        <v>https://www.elitsakrumova.com</v>
      </c>
      <c r="AR118" s="80" t="s">
        <v>1434</v>
      </c>
      <c r="AS118" s="80"/>
      <c r="AT118" s="80"/>
      <c r="AU118" s="80"/>
      <c r="AV118" s="80">
        <v>1.60163928257347E+18</v>
      </c>
      <c r="AW118" s="85" t="str">
        <f>HYPERLINK("https://t.co/oyq3TqnsCW")</f>
        <v>https://t.co/oyq3TqnsCW</v>
      </c>
      <c r="AX118" s="80" t="b">
        <v>1</v>
      </c>
      <c r="AY118" s="80"/>
      <c r="AZ118" s="80"/>
      <c r="BA118" s="80" t="b">
        <v>1</v>
      </c>
      <c r="BB118" s="80" t="b">
        <v>1</v>
      </c>
      <c r="BC118" s="80" t="b">
        <v>0</v>
      </c>
      <c r="BD118" s="80" t="b">
        <v>0</v>
      </c>
      <c r="BE118" s="80" t="b">
        <v>1</v>
      </c>
      <c r="BF118" s="80" t="b">
        <v>0</v>
      </c>
      <c r="BG118" s="80" t="b">
        <v>0</v>
      </c>
      <c r="BH118" s="85" t="str">
        <f>HYPERLINK("https://pbs.twimg.com/profile_banners/1264433760/1613476477")</f>
        <v>https://pbs.twimg.com/profile_banners/1264433760/1613476477</v>
      </c>
      <c r="BI118" s="80"/>
      <c r="BJ118" s="80" t="s">
        <v>1456</v>
      </c>
      <c r="BK118" s="80" t="b">
        <v>0</v>
      </c>
      <c r="BL118" s="80"/>
      <c r="BM118" s="80" t="s">
        <v>65</v>
      </c>
      <c r="BN118" s="80" t="s">
        <v>1457</v>
      </c>
      <c r="BO118" s="85" t="str">
        <f>HYPERLINK("https://twitter.com/eli_krumova")</f>
        <v>https://twitter.com/eli_krumova</v>
      </c>
      <c r="BP118" s="80" t="str">
        <f>REPLACE(INDEX(GroupVertices[Group], MATCH("~"&amp;Vertices[[#This Row],[Vertex]],GroupVertices[Vertex],0)),1,1,"")</f>
        <v>5</v>
      </c>
      <c r="BQ118" s="49"/>
      <c r="BR118" s="50"/>
      <c r="BS118" s="49"/>
      <c r="BT118" s="50"/>
      <c r="BU118" s="49"/>
      <c r="BV118" s="50"/>
      <c r="BW118" s="49"/>
      <c r="BX118" s="50"/>
      <c r="BY118" s="49"/>
      <c r="BZ118" s="49"/>
      <c r="CA118" s="49"/>
      <c r="CB118" s="49"/>
      <c r="CC118" s="49"/>
      <c r="CD118" s="49"/>
      <c r="CE118" s="49"/>
      <c r="CF118" s="49"/>
      <c r="CG118" s="49"/>
      <c r="CH118" s="49"/>
      <c r="CI118" s="49"/>
      <c r="CJ118" s="2"/>
      <c r="CK118" s="3"/>
      <c r="CL118" s="3"/>
      <c r="CM118" s="3"/>
      <c r="CN118" s="3"/>
    </row>
    <row r="119" spans="1:92" x14ac:dyDescent="0.25">
      <c r="A119" s="65" t="s">
        <v>357</v>
      </c>
      <c r="B119" s="66"/>
      <c r="C119" s="66" t="s">
        <v>64</v>
      </c>
      <c r="D119" s="67">
        <v>100</v>
      </c>
      <c r="E119" s="69"/>
      <c r="F119" s="104" t="str">
        <f>HYPERLINK("https://pbs.twimg.com/profile_images/1622729316772487168/xyHjosEW_normal.jpg")</f>
        <v>https://pbs.twimg.com/profile_images/1622729316772487168/xyHjosEW_normal.jpg</v>
      </c>
      <c r="G119" s="66"/>
      <c r="H119" s="70" t="s">
        <v>357</v>
      </c>
      <c r="I119" s="71"/>
      <c r="J119" s="71" t="s">
        <v>159</v>
      </c>
      <c r="K119" s="70" t="s">
        <v>1573</v>
      </c>
      <c r="L119" s="74">
        <v>1</v>
      </c>
      <c r="M119" s="75">
        <v>8573.98046875</v>
      </c>
      <c r="N119" s="75">
        <v>6113.08935546875</v>
      </c>
      <c r="O119" s="76"/>
      <c r="P119" s="77"/>
      <c r="Q119" s="77"/>
      <c r="R119" s="90"/>
      <c r="S119" s="49">
        <v>2</v>
      </c>
      <c r="T119" s="49">
        <v>0</v>
      </c>
      <c r="U119" s="50">
        <v>0</v>
      </c>
      <c r="V119" s="50">
        <v>0.23966299999999999</v>
      </c>
      <c r="W119" s="50">
        <v>1.8914E-2</v>
      </c>
      <c r="X119" s="50">
        <v>7.2690000000000003E-3</v>
      </c>
      <c r="Y119" s="50">
        <v>1</v>
      </c>
      <c r="Z119" s="50">
        <v>0</v>
      </c>
      <c r="AA119" s="72">
        <v>119</v>
      </c>
      <c r="AB119" s="72"/>
      <c r="AC119" s="73"/>
      <c r="AD119" s="80" t="s">
        <v>1046</v>
      </c>
      <c r="AE119" s="87" t="s">
        <v>1152</v>
      </c>
      <c r="AF119" s="80">
        <v>3869</v>
      </c>
      <c r="AG119" s="80">
        <v>275</v>
      </c>
      <c r="AH119" s="80">
        <v>11981</v>
      </c>
      <c r="AI119" s="80">
        <v>38</v>
      </c>
      <c r="AJ119" s="80">
        <v>19185</v>
      </c>
      <c r="AK119" s="80">
        <v>2834</v>
      </c>
      <c r="AL119" s="80" t="b">
        <v>0</v>
      </c>
      <c r="AM119" s="82">
        <v>44381.795636574076</v>
      </c>
      <c r="AN119" s="80" t="s">
        <v>1225</v>
      </c>
      <c r="AO119" s="80" t="s">
        <v>1341</v>
      </c>
      <c r="AP119" s="85" t="str">
        <f>HYPERLINK("https://t.co/xZRQ6b6ZQk")</f>
        <v>https://t.co/xZRQ6b6ZQk</v>
      </c>
      <c r="AQ119" s="85" t="str">
        <f>HYPERLINK("https://linktr.ee/song.of.myself.ig")</f>
        <v>https://linktr.ee/song.of.myself.ig</v>
      </c>
      <c r="AR119" s="80" t="s">
        <v>1435</v>
      </c>
      <c r="AS119" s="80"/>
      <c r="AT119" s="80"/>
      <c r="AU119" s="80"/>
      <c r="AV119" s="80">
        <v>1.57445369521501E+18</v>
      </c>
      <c r="AW119" s="85" t="str">
        <f>HYPERLINK("https://t.co/xZRQ6b6ZQk")</f>
        <v>https://t.co/xZRQ6b6ZQk</v>
      </c>
      <c r="AX119" s="80" t="b">
        <v>0</v>
      </c>
      <c r="AY119" s="80"/>
      <c r="AZ119" s="80"/>
      <c r="BA119" s="80" t="b">
        <v>0</v>
      </c>
      <c r="BB119" s="80" t="b">
        <v>1</v>
      </c>
      <c r="BC119" s="80" t="b">
        <v>1</v>
      </c>
      <c r="BD119" s="80" t="b">
        <v>0</v>
      </c>
      <c r="BE119" s="80" t="b">
        <v>1</v>
      </c>
      <c r="BF119" s="80" t="b">
        <v>0</v>
      </c>
      <c r="BG119" s="80" t="b">
        <v>0</v>
      </c>
      <c r="BH119" s="85" t="str">
        <f>HYPERLINK("https://pbs.twimg.com/profile_banners/1411761602467139592/1677708850")</f>
        <v>https://pbs.twimg.com/profile_banners/1411761602467139592/1677708850</v>
      </c>
      <c r="BI119" s="80"/>
      <c r="BJ119" s="80" t="s">
        <v>1455</v>
      </c>
      <c r="BK119" s="80" t="b">
        <v>0</v>
      </c>
      <c r="BL119" s="80"/>
      <c r="BM119" s="80" t="s">
        <v>65</v>
      </c>
      <c r="BN119" s="80" t="s">
        <v>1457</v>
      </c>
      <c r="BO119" s="85" t="str">
        <f>HYPERLINK("https://twitter.com/somcoaching")</f>
        <v>https://twitter.com/somcoaching</v>
      </c>
      <c r="BP119" s="80" t="str">
        <f>REPLACE(INDEX(GroupVertices[Group], MATCH("~"&amp;Vertices[[#This Row],[Vertex]],GroupVertices[Vertex],0)),1,1,"")</f>
        <v>5</v>
      </c>
      <c r="BQ119" s="49"/>
      <c r="BR119" s="50"/>
      <c r="BS119" s="49"/>
      <c r="BT119" s="50"/>
      <c r="BU119" s="49"/>
      <c r="BV119" s="50"/>
      <c r="BW119" s="49"/>
      <c r="BX119" s="50"/>
      <c r="BY119" s="49"/>
      <c r="BZ119" s="49"/>
      <c r="CA119" s="49"/>
      <c r="CB119" s="49"/>
      <c r="CC119" s="49"/>
      <c r="CD119" s="49"/>
      <c r="CE119" s="49"/>
      <c r="CF119" s="49"/>
      <c r="CG119" s="49"/>
      <c r="CH119" s="49"/>
      <c r="CI119" s="49"/>
      <c r="CJ119" s="2"/>
      <c r="CK119" s="3"/>
      <c r="CL119" s="3"/>
      <c r="CM119" s="3"/>
      <c r="CN119" s="3"/>
    </row>
    <row r="120" spans="1:92" x14ac:dyDescent="0.25">
      <c r="A120" s="65" t="s">
        <v>358</v>
      </c>
      <c r="B120" s="66"/>
      <c r="C120" s="66" t="s">
        <v>64</v>
      </c>
      <c r="D120" s="67">
        <v>100</v>
      </c>
      <c r="E120" s="69"/>
      <c r="F120" s="104" t="str">
        <f>HYPERLINK("https://pbs.twimg.com/profile_images/1010713169625538566/eMLQGyIQ_normal.jpg")</f>
        <v>https://pbs.twimg.com/profile_images/1010713169625538566/eMLQGyIQ_normal.jpg</v>
      </c>
      <c r="G120" s="66"/>
      <c r="H120" s="70" t="s">
        <v>358</v>
      </c>
      <c r="I120" s="71"/>
      <c r="J120" s="71" t="s">
        <v>159</v>
      </c>
      <c r="K120" s="70" t="s">
        <v>1574</v>
      </c>
      <c r="L120" s="74">
        <v>1</v>
      </c>
      <c r="M120" s="75">
        <v>7731.46728515625</v>
      </c>
      <c r="N120" s="75">
        <v>7327.89111328125</v>
      </c>
      <c r="O120" s="76"/>
      <c r="P120" s="77"/>
      <c r="Q120" s="77"/>
      <c r="R120" s="90"/>
      <c r="S120" s="49">
        <v>1</v>
      </c>
      <c r="T120" s="49">
        <v>0</v>
      </c>
      <c r="U120" s="50">
        <v>0</v>
      </c>
      <c r="V120" s="50">
        <v>0.23902399999999999</v>
      </c>
      <c r="W120" s="50">
        <v>1.4569E-2</v>
      </c>
      <c r="X120" s="50">
        <v>7.0320000000000001E-3</v>
      </c>
      <c r="Y120" s="50">
        <v>0</v>
      </c>
      <c r="Z120" s="50">
        <v>0</v>
      </c>
      <c r="AA120" s="72">
        <v>120</v>
      </c>
      <c r="AB120" s="72"/>
      <c r="AC120" s="73"/>
      <c r="AD120" s="80" t="s">
        <v>1047</v>
      </c>
      <c r="AE120" s="87" t="s">
        <v>1153</v>
      </c>
      <c r="AF120" s="80">
        <v>13429</v>
      </c>
      <c r="AG120" s="80">
        <v>14335</v>
      </c>
      <c r="AH120" s="80">
        <v>296890</v>
      </c>
      <c r="AI120" s="80">
        <v>805</v>
      </c>
      <c r="AJ120" s="80">
        <v>3501</v>
      </c>
      <c r="AK120" s="80">
        <v>3412</v>
      </c>
      <c r="AL120" s="80" t="b">
        <v>0</v>
      </c>
      <c r="AM120" s="82">
        <v>40187.619328703702</v>
      </c>
      <c r="AN120" s="80" t="s">
        <v>1226</v>
      </c>
      <c r="AO120" s="80" t="s">
        <v>1342</v>
      </c>
      <c r="AP120" s="85" t="str">
        <f>HYPERLINK("https://t.co/Z42vOr9mK5")</f>
        <v>https://t.co/Z42vOr9mK5</v>
      </c>
      <c r="AQ120" s="85" t="str">
        <f>HYPERLINK("https://www.linkedin.com/pub/michael-bathurst/17/904/A55")</f>
        <v>https://www.linkedin.com/pub/michael-bathurst/17/904/A55</v>
      </c>
      <c r="AR120" s="80" t="s">
        <v>1436</v>
      </c>
      <c r="AS120" s="80"/>
      <c r="AT120" s="80"/>
      <c r="AU120" s="80"/>
      <c r="AV120" s="80"/>
      <c r="AW120" s="85" t="str">
        <f>HYPERLINK("https://t.co/Z42vOr9mK5")</f>
        <v>https://t.co/Z42vOr9mK5</v>
      </c>
      <c r="AX120" s="80" t="b">
        <v>0</v>
      </c>
      <c r="AY120" s="80" t="b">
        <v>1</v>
      </c>
      <c r="AZ120" s="80" t="b">
        <v>1</v>
      </c>
      <c r="BA120" s="80" t="b">
        <v>1</v>
      </c>
      <c r="BB120" s="80" t="b">
        <v>1</v>
      </c>
      <c r="BC120" s="80" t="b">
        <v>0</v>
      </c>
      <c r="BD120" s="80" t="b">
        <v>0</v>
      </c>
      <c r="BE120" s="80" t="b">
        <v>1</v>
      </c>
      <c r="BF120" s="80" t="b">
        <v>0</v>
      </c>
      <c r="BG120" s="80" t="b">
        <v>0</v>
      </c>
      <c r="BH120" s="85" t="str">
        <f>HYPERLINK("https://pbs.twimg.com/profile_banners/103287413/1607228249")</f>
        <v>https://pbs.twimg.com/profile_banners/103287413/1607228249</v>
      </c>
      <c r="BI120" s="80"/>
      <c r="BJ120" s="80" t="s">
        <v>1455</v>
      </c>
      <c r="BK120" s="80" t="b">
        <v>1</v>
      </c>
      <c r="BL120" s="80"/>
      <c r="BM120" s="80" t="s">
        <v>65</v>
      </c>
      <c r="BN120" s="80" t="s">
        <v>1457</v>
      </c>
      <c r="BO120" s="85" t="str">
        <f>HYPERLINK("https://twitter.com/shoutmgb")</f>
        <v>https://twitter.com/shoutmgb</v>
      </c>
      <c r="BP120" s="80" t="str">
        <f>REPLACE(INDEX(GroupVertices[Group], MATCH("~"&amp;Vertices[[#This Row],[Vertex]],GroupVertices[Vertex],0)),1,1,"")</f>
        <v>5</v>
      </c>
      <c r="BQ120" s="49"/>
      <c r="BR120" s="50"/>
      <c r="BS120" s="49"/>
      <c r="BT120" s="50"/>
      <c r="BU120" s="49"/>
      <c r="BV120" s="50"/>
      <c r="BW120" s="49"/>
      <c r="BX120" s="50"/>
      <c r="BY120" s="49"/>
      <c r="BZ120" s="49"/>
      <c r="CA120" s="49"/>
      <c r="CB120" s="49"/>
      <c r="CC120" s="49"/>
      <c r="CD120" s="49"/>
      <c r="CE120" s="49"/>
      <c r="CF120" s="49"/>
      <c r="CG120" s="49"/>
      <c r="CH120" s="49"/>
      <c r="CI120" s="49"/>
      <c r="CJ120" s="2"/>
      <c r="CK120" s="3"/>
      <c r="CL120" s="3"/>
      <c r="CM120" s="3"/>
      <c r="CN120" s="3"/>
    </row>
    <row r="121" spans="1:92" x14ac:dyDescent="0.25">
      <c r="A121" s="65" t="s">
        <v>305</v>
      </c>
      <c r="B121" s="66"/>
      <c r="C121" s="66" t="s">
        <v>64</v>
      </c>
      <c r="D121" s="67">
        <v>100</v>
      </c>
      <c r="E121" s="69"/>
      <c r="F121" s="104" t="str">
        <f>HYPERLINK("https://pbs.twimg.com/profile_images/1354830590676262913/PXUIlxtt_normal.jpg")</f>
        <v>https://pbs.twimg.com/profile_images/1354830590676262913/PXUIlxtt_normal.jpg</v>
      </c>
      <c r="G121" s="66"/>
      <c r="H121" s="70" t="s">
        <v>305</v>
      </c>
      <c r="I121" s="71"/>
      <c r="J121" s="71" t="s">
        <v>159</v>
      </c>
      <c r="K121" s="70" t="s">
        <v>1575</v>
      </c>
      <c r="L121" s="74">
        <v>1</v>
      </c>
      <c r="M121" s="75">
        <v>9818.0068359375</v>
      </c>
      <c r="N121" s="75">
        <v>3723.907470703125</v>
      </c>
      <c r="O121" s="76"/>
      <c r="P121" s="77"/>
      <c r="Q121" s="77"/>
      <c r="R121" s="90"/>
      <c r="S121" s="49">
        <v>0</v>
      </c>
      <c r="T121" s="49">
        <v>2</v>
      </c>
      <c r="U121" s="50">
        <v>0</v>
      </c>
      <c r="V121" s="50">
        <v>0.23161300000000001</v>
      </c>
      <c r="W121" s="50">
        <v>1.1310000000000001E-2</v>
      </c>
      <c r="X121" s="50">
        <v>7.4920000000000004E-3</v>
      </c>
      <c r="Y121" s="50">
        <v>1</v>
      </c>
      <c r="Z121" s="50">
        <v>0</v>
      </c>
      <c r="AA121" s="72">
        <v>121</v>
      </c>
      <c r="AB121" s="72"/>
      <c r="AC121" s="73"/>
      <c r="AD121" s="80" t="s">
        <v>1048</v>
      </c>
      <c r="AE121" s="87" t="s">
        <v>894</v>
      </c>
      <c r="AF121" s="80">
        <v>2707</v>
      </c>
      <c r="AG121" s="80">
        <v>233</v>
      </c>
      <c r="AH121" s="80">
        <v>1803</v>
      </c>
      <c r="AI121" s="80">
        <v>38</v>
      </c>
      <c r="AJ121" s="80">
        <v>2487</v>
      </c>
      <c r="AK121" s="80">
        <v>0</v>
      </c>
      <c r="AL121" s="80" t="b">
        <v>0</v>
      </c>
      <c r="AM121" s="82">
        <v>43273.500740740739</v>
      </c>
      <c r="AN121" s="80"/>
      <c r="AO121" s="80" t="s">
        <v>1343</v>
      </c>
      <c r="AP121" s="80"/>
      <c r="AQ121" s="80"/>
      <c r="AR121" s="80"/>
      <c r="AS121" s="80"/>
      <c r="AT121" s="80"/>
      <c r="AU121" s="80"/>
      <c r="AV121" s="80"/>
      <c r="AW121" s="80"/>
      <c r="AX121" s="80" t="b">
        <v>0</v>
      </c>
      <c r="AY121" s="80"/>
      <c r="AZ121" s="80"/>
      <c r="BA121" s="80" t="b">
        <v>0</v>
      </c>
      <c r="BB121" s="80" t="b">
        <v>1</v>
      </c>
      <c r="BC121" s="80" t="b">
        <v>1</v>
      </c>
      <c r="BD121" s="80" t="b">
        <v>0</v>
      </c>
      <c r="BE121" s="80" t="b">
        <v>1</v>
      </c>
      <c r="BF121" s="80" t="b">
        <v>0</v>
      </c>
      <c r="BG121" s="80" t="b">
        <v>0</v>
      </c>
      <c r="BH121" s="85" t="str">
        <f>HYPERLINK("https://pbs.twimg.com/profile_banners/1010130545894977536/1611851813")</f>
        <v>https://pbs.twimg.com/profile_banners/1010130545894977536/1611851813</v>
      </c>
      <c r="BI121" s="80"/>
      <c r="BJ121" s="80" t="s">
        <v>1455</v>
      </c>
      <c r="BK121" s="80" t="b">
        <v>0</v>
      </c>
      <c r="BL121" s="80"/>
      <c r="BM121" s="80" t="s">
        <v>66</v>
      </c>
      <c r="BN121" s="80" t="s">
        <v>1457</v>
      </c>
      <c r="BO121" s="85" t="str">
        <f>HYPERLINK("https://twitter.com/benjaminsovaco1")</f>
        <v>https://twitter.com/benjaminsovaco1</v>
      </c>
      <c r="BP121" s="80" t="str">
        <f>REPLACE(INDEX(GroupVertices[Group], MATCH("~"&amp;Vertices[[#This Row],[Vertex]],GroupVertices[Vertex],0)),1,1,"")</f>
        <v>8</v>
      </c>
      <c r="BQ121" s="49">
        <v>2</v>
      </c>
      <c r="BR121" s="50">
        <v>9.5238095238095237</v>
      </c>
      <c r="BS121" s="49">
        <v>0</v>
      </c>
      <c r="BT121" s="50">
        <v>0</v>
      </c>
      <c r="BU121" s="49">
        <v>0</v>
      </c>
      <c r="BV121" s="50">
        <v>0</v>
      </c>
      <c r="BW121" s="49">
        <v>12</v>
      </c>
      <c r="BX121" s="50">
        <v>57.142857142857146</v>
      </c>
      <c r="BY121" s="49">
        <v>21</v>
      </c>
      <c r="BZ121" s="49"/>
      <c r="CA121" s="49"/>
      <c r="CB121" s="49"/>
      <c r="CC121" s="49"/>
      <c r="CD121" s="49"/>
      <c r="CE121" s="49"/>
      <c r="CF121" s="116" t="s">
        <v>9905</v>
      </c>
      <c r="CG121" s="116" t="s">
        <v>9905</v>
      </c>
      <c r="CH121" s="116" t="s">
        <v>9975</v>
      </c>
      <c r="CI121" s="116" t="s">
        <v>9975</v>
      </c>
      <c r="CJ121" s="2"/>
      <c r="CK121" s="3"/>
      <c r="CL121" s="3"/>
      <c r="CM121" s="3"/>
      <c r="CN121" s="3"/>
    </row>
    <row r="122" spans="1:92" x14ac:dyDescent="0.25">
      <c r="A122" s="65" t="s">
        <v>359</v>
      </c>
      <c r="B122" s="66"/>
      <c r="C122" s="66" t="s">
        <v>64</v>
      </c>
      <c r="D122" s="67">
        <v>100</v>
      </c>
      <c r="E122" s="69"/>
      <c r="F122" s="104" t="str">
        <f>HYPERLINK("https://pbs.twimg.com/profile_images/1458625734755467267/kJpsq-7m_normal.jpg")</f>
        <v>https://pbs.twimg.com/profile_images/1458625734755467267/kJpsq-7m_normal.jpg</v>
      </c>
      <c r="G122" s="66"/>
      <c r="H122" s="70" t="s">
        <v>359</v>
      </c>
      <c r="I122" s="71"/>
      <c r="J122" s="71" t="s">
        <v>159</v>
      </c>
      <c r="K122" s="70" t="s">
        <v>1576</v>
      </c>
      <c r="L122" s="74">
        <v>1</v>
      </c>
      <c r="M122" s="75">
        <v>6980.17626953125</v>
      </c>
      <c r="N122" s="75">
        <v>3115.356689453125</v>
      </c>
      <c r="O122" s="76"/>
      <c r="P122" s="77"/>
      <c r="Q122" s="77"/>
      <c r="R122" s="90"/>
      <c r="S122" s="49">
        <v>1</v>
      </c>
      <c r="T122" s="49">
        <v>0</v>
      </c>
      <c r="U122" s="50">
        <v>0</v>
      </c>
      <c r="V122" s="50">
        <v>3.0644000000000001E-2</v>
      </c>
      <c r="W122" s="50">
        <v>0</v>
      </c>
      <c r="X122" s="50">
        <v>7.1630000000000001E-3</v>
      </c>
      <c r="Y122" s="50">
        <v>0</v>
      </c>
      <c r="Z122" s="50">
        <v>0</v>
      </c>
      <c r="AA122" s="72">
        <v>122</v>
      </c>
      <c r="AB122" s="72"/>
      <c r="AC122" s="73"/>
      <c r="AD122" s="80" t="s">
        <v>1049</v>
      </c>
      <c r="AE122" s="87" t="s">
        <v>1154</v>
      </c>
      <c r="AF122" s="80">
        <v>971</v>
      </c>
      <c r="AG122" s="80">
        <v>872</v>
      </c>
      <c r="AH122" s="80">
        <v>1284</v>
      </c>
      <c r="AI122" s="80">
        <v>10</v>
      </c>
      <c r="AJ122" s="80">
        <v>708</v>
      </c>
      <c r="AK122" s="80">
        <v>222</v>
      </c>
      <c r="AL122" s="80" t="b">
        <v>0</v>
      </c>
      <c r="AM122" s="82">
        <v>43359.929814814815</v>
      </c>
      <c r="AN122" s="80" t="s">
        <v>1187</v>
      </c>
      <c r="AO122" s="80" t="s">
        <v>1344</v>
      </c>
      <c r="AP122" s="85" t="str">
        <f>HYPERLINK("https://t.co/KNGu49BZgu")</f>
        <v>https://t.co/KNGu49BZgu</v>
      </c>
      <c r="AQ122" s="85" t="str">
        <f>HYPERLINK("https://aejmc.us/comsher/")</f>
        <v>https://aejmc.us/comsher/</v>
      </c>
      <c r="AR122" s="80" t="s">
        <v>1437</v>
      </c>
      <c r="AS122" s="80"/>
      <c r="AT122" s="80"/>
      <c r="AU122" s="80"/>
      <c r="AV122" s="80"/>
      <c r="AW122" s="85" t="str">
        <f>HYPERLINK("https://t.co/KNGu49BZgu")</f>
        <v>https://t.co/KNGu49BZgu</v>
      </c>
      <c r="AX122" s="80" t="b">
        <v>0</v>
      </c>
      <c r="AY122" s="80"/>
      <c r="AZ122" s="80"/>
      <c r="BA122" s="80" t="b">
        <v>0</v>
      </c>
      <c r="BB122" s="80" t="b">
        <v>1</v>
      </c>
      <c r="BC122" s="80" t="b">
        <v>1</v>
      </c>
      <c r="BD122" s="80" t="b">
        <v>0</v>
      </c>
      <c r="BE122" s="80" t="b">
        <v>1</v>
      </c>
      <c r="BF122" s="80" t="b">
        <v>0</v>
      </c>
      <c r="BG122" s="80" t="b">
        <v>0</v>
      </c>
      <c r="BH122" s="85" t="str">
        <f>HYPERLINK("https://pbs.twimg.com/profile_banners/1041451392790155269/1592866587")</f>
        <v>https://pbs.twimg.com/profile_banners/1041451392790155269/1592866587</v>
      </c>
      <c r="BI122" s="80"/>
      <c r="BJ122" s="80" t="s">
        <v>1455</v>
      </c>
      <c r="BK122" s="80" t="b">
        <v>0</v>
      </c>
      <c r="BL122" s="80"/>
      <c r="BM122" s="80" t="s">
        <v>65</v>
      </c>
      <c r="BN122" s="80" t="s">
        <v>1457</v>
      </c>
      <c r="BO122" s="85" t="str">
        <f>HYPERLINK("https://twitter.com/aejmc_comsher")</f>
        <v>https://twitter.com/aejmc_comsher</v>
      </c>
      <c r="BP122" s="80" t="str">
        <f>REPLACE(INDEX(GroupVertices[Group], MATCH("~"&amp;Vertices[[#This Row],[Vertex]],GroupVertices[Vertex],0)),1,1,"")</f>
        <v>7</v>
      </c>
      <c r="BQ122" s="49"/>
      <c r="BR122" s="50"/>
      <c r="BS122" s="49"/>
      <c r="BT122" s="50"/>
      <c r="BU122" s="49"/>
      <c r="BV122" s="50"/>
      <c r="BW122" s="49"/>
      <c r="BX122" s="50"/>
      <c r="BY122" s="49"/>
      <c r="BZ122" s="49"/>
      <c r="CA122" s="49"/>
      <c r="CB122" s="49"/>
      <c r="CC122" s="49"/>
      <c r="CD122" s="49"/>
      <c r="CE122" s="49"/>
      <c r="CF122" s="49"/>
      <c r="CG122" s="49"/>
      <c r="CH122" s="49"/>
      <c r="CI122" s="49"/>
      <c r="CJ122" s="2"/>
      <c r="CK122" s="3"/>
      <c r="CL122" s="3"/>
      <c r="CM122" s="3"/>
      <c r="CN122" s="3"/>
    </row>
    <row r="123" spans="1:92" x14ac:dyDescent="0.25">
      <c r="A123" s="65" t="s">
        <v>360</v>
      </c>
      <c r="B123" s="66"/>
      <c r="C123" s="66" t="s">
        <v>64</v>
      </c>
      <c r="D123" s="67">
        <v>100</v>
      </c>
      <c r="E123" s="69"/>
      <c r="F123" s="104" t="str">
        <f>HYPERLINK("https://pbs.twimg.com/profile_images/1549686699801952256/x0GCoUXN_normal.jpg")</f>
        <v>https://pbs.twimg.com/profile_images/1549686699801952256/x0GCoUXN_normal.jpg</v>
      </c>
      <c r="G123" s="66"/>
      <c r="H123" s="70" t="s">
        <v>360</v>
      </c>
      <c r="I123" s="71"/>
      <c r="J123" s="71" t="s">
        <v>159</v>
      </c>
      <c r="K123" s="70" t="s">
        <v>1577</v>
      </c>
      <c r="L123" s="74">
        <v>1</v>
      </c>
      <c r="M123" s="75">
        <v>5751.2666015625</v>
      </c>
      <c r="N123" s="75">
        <v>5294.6748046875</v>
      </c>
      <c r="O123" s="76"/>
      <c r="P123" s="77"/>
      <c r="Q123" s="77"/>
      <c r="R123" s="90"/>
      <c r="S123" s="49">
        <v>1</v>
      </c>
      <c r="T123" s="49">
        <v>0</v>
      </c>
      <c r="U123" s="50">
        <v>0</v>
      </c>
      <c r="V123" s="50">
        <v>3.0644000000000001E-2</v>
      </c>
      <c r="W123" s="50">
        <v>0</v>
      </c>
      <c r="X123" s="50">
        <v>7.1630000000000001E-3</v>
      </c>
      <c r="Y123" s="50">
        <v>0</v>
      </c>
      <c r="Z123" s="50">
        <v>0</v>
      </c>
      <c r="AA123" s="72">
        <v>123</v>
      </c>
      <c r="AB123" s="72"/>
      <c r="AC123" s="73"/>
      <c r="AD123" s="80" t="s">
        <v>1050</v>
      </c>
      <c r="AE123" s="87" t="s">
        <v>1155</v>
      </c>
      <c r="AF123" s="80">
        <v>613</v>
      </c>
      <c r="AG123" s="80">
        <v>524</v>
      </c>
      <c r="AH123" s="80">
        <v>452</v>
      </c>
      <c r="AI123" s="80">
        <v>6</v>
      </c>
      <c r="AJ123" s="80">
        <v>628</v>
      </c>
      <c r="AK123" s="80">
        <v>59</v>
      </c>
      <c r="AL123" s="80" t="b">
        <v>0</v>
      </c>
      <c r="AM123" s="82">
        <v>43379.510868055557</v>
      </c>
      <c r="AN123" s="80"/>
      <c r="AO123" s="80" t="s">
        <v>1345</v>
      </c>
      <c r="AP123" s="80"/>
      <c r="AQ123" s="80"/>
      <c r="AR123" s="80"/>
      <c r="AS123" s="80"/>
      <c r="AT123" s="80"/>
      <c r="AU123" s="80"/>
      <c r="AV123" s="80"/>
      <c r="AW123" s="80"/>
      <c r="AX123" s="80" t="b">
        <v>0</v>
      </c>
      <c r="AY123" s="80"/>
      <c r="AZ123" s="80"/>
      <c r="BA123" s="80" t="b">
        <v>0</v>
      </c>
      <c r="BB123" s="80" t="b">
        <v>1</v>
      </c>
      <c r="BC123" s="80" t="b">
        <v>1</v>
      </c>
      <c r="BD123" s="80" t="b">
        <v>0</v>
      </c>
      <c r="BE123" s="80" t="b">
        <v>0</v>
      </c>
      <c r="BF123" s="80" t="b">
        <v>0</v>
      </c>
      <c r="BG123" s="80" t="b">
        <v>0</v>
      </c>
      <c r="BH123" s="85" t="str">
        <f>HYPERLINK("https://pbs.twimg.com/profile_banners/1048547328733433857/1653773532")</f>
        <v>https://pbs.twimg.com/profile_banners/1048547328733433857/1653773532</v>
      </c>
      <c r="BI123" s="80"/>
      <c r="BJ123" s="80" t="s">
        <v>1455</v>
      </c>
      <c r="BK123" s="80" t="b">
        <v>0</v>
      </c>
      <c r="BL123" s="80"/>
      <c r="BM123" s="80" t="s">
        <v>65</v>
      </c>
      <c r="BN123" s="80" t="s">
        <v>1457</v>
      </c>
      <c r="BO123" s="85" t="str">
        <f>HYPERLINK("https://twitter.com/icaenvirocomm")</f>
        <v>https://twitter.com/icaenvirocomm</v>
      </c>
      <c r="BP123" s="80" t="str">
        <f>REPLACE(INDEX(GroupVertices[Group], MATCH("~"&amp;Vertices[[#This Row],[Vertex]],GroupVertices[Vertex],0)),1,1,"")</f>
        <v>7</v>
      </c>
      <c r="BQ123" s="49"/>
      <c r="BR123" s="50"/>
      <c r="BS123" s="49"/>
      <c r="BT123" s="50"/>
      <c r="BU123" s="49"/>
      <c r="BV123" s="50"/>
      <c r="BW123" s="49"/>
      <c r="BX123" s="50"/>
      <c r="BY123" s="49"/>
      <c r="BZ123" s="49"/>
      <c r="CA123" s="49"/>
      <c r="CB123" s="49"/>
      <c r="CC123" s="49"/>
      <c r="CD123" s="49"/>
      <c r="CE123" s="49"/>
      <c r="CF123" s="49"/>
      <c r="CG123" s="49"/>
      <c r="CH123" s="49"/>
      <c r="CI123" s="49"/>
      <c r="CJ123" s="2"/>
      <c r="CK123" s="3"/>
      <c r="CL123" s="3"/>
      <c r="CM123" s="3"/>
      <c r="CN123" s="3"/>
    </row>
    <row r="124" spans="1:92" x14ac:dyDescent="0.25">
      <c r="A124" s="65" t="s">
        <v>361</v>
      </c>
      <c r="B124" s="66"/>
      <c r="C124" s="66" t="s">
        <v>64</v>
      </c>
      <c r="D124" s="67">
        <v>100</v>
      </c>
      <c r="E124" s="69"/>
      <c r="F124" s="104" t="str">
        <f>HYPERLINK("https://pbs.twimg.com/profile_images/1660688463765618702/P5HRRFPV_normal.jpg")</f>
        <v>https://pbs.twimg.com/profile_images/1660688463765618702/P5HRRFPV_normal.jpg</v>
      </c>
      <c r="G124" s="66"/>
      <c r="H124" s="70" t="s">
        <v>361</v>
      </c>
      <c r="I124" s="71"/>
      <c r="J124" s="71" t="s">
        <v>159</v>
      </c>
      <c r="K124" s="70" t="s">
        <v>1578</v>
      </c>
      <c r="L124" s="74">
        <v>1</v>
      </c>
      <c r="M124" s="75">
        <v>5463.9345703125</v>
      </c>
      <c r="N124" s="75">
        <v>3846.232177734375</v>
      </c>
      <c r="O124" s="76"/>
      <c r="P124" s="77"/>
      <c r="Q124" s="77"/>
      <c r="R124" s="90"/>
      <c r="S124" s="49">
        <v>1</v>
      </c>
      <c r="T124" s="49">
        <v>0</v>
      </c>
      <c r="U124" s="50">
        <v>0</v>
      </c>
      <c r="V124" s="50">
        <v>3.0644000000000001E-2</v>
      </c>
      <c r="W124" s="50">
        <v>0</v>
      </c>
      <c r="X124" s="50">
        <v>7.1630000000000001E-3</v>
      </c>
      <c r="Y124" s="50">
        <v>0</v>
      </c>
      <c r="Z124" s="50">
        <v>0</v>
      </c>
      <c r="AA124" s="72">
        <v>124</v>
      </c>
      <c r="AB124" s="72"/>
      <c r="AC124" s="73"/>
      <c r="AD124" s="80" t="s">
        <v>1051</v>
      </c>
      <c r="AE124" s="87" t="s">
        <v>1156</v>
      </c>
      <c r="AF124" s="80">
        <v>28</v>
      </c>
      <c r="AG124" s="80">
        <v>57</v>
      </c>
      <c r="AH124" s="80">
        <v>39</v>
      </c>
      <c r="AI124" s="80">
        <v>0</v>
      </c>
      <c r="AJ124" s="80">
        <v>47</v>
      </c>
      <c r="AK124" s="80">
        <v>5</v>
      </c>
      <c r="AL124" s="80" t="b">
        <v>0</v>
      </c>
      <c r="AM124" s="82">
        <v>44990.699513888889</v>
      </c>
      <c r="AN124" s="80" t="s">
        <v>1227</v>
      </c>
      <c r="AO124" s="80" t="s">
        <v>1346</v>
      </c>
      <c r="AP124" s="80"/>
      <c r="AQ124" s="80"/>
      <c r="AR124" s="80"/>
      <c r="AS124" s="80"/>
      <c r="AT124" s="80"/>
      <c r="AU124" s="80"/>
      <c r="AV124" s="80"/>
      <c r="AW124" s="80"/>
      <c r="AX124" s="80" t="b">
        <v>0</v>
      </c>
      <c r="AY124" s="80"/>
      <c r="AZ124" s="80"/>
      <c r="BA124" s="80" t="b">
        <v>0</v>
      </c>
      <c r="BB124" s="80" t="b">
        <v>1</v>
      </c>
      <c r="BC124" s="80" t="b">
        <v>1</v>
      </c>
      <c r="BD124" s="80" t="b">
        <v>0</v>
      </c>
      <c r="BE124" s="80" t="b">
        <v>0</v>
      </c>
      <c r="BF124" s="80" t="b">
        <v>0</v>
      </c>
      <c r="BG124" s="80" t="b">
        <v>0</v>
      </c>
      <c r="BH124" s="85" t="str">
        <f>HYPERLINK("https://pbs.twimg.com/profile_banners/1632422384601792513/1678035070")</f>
        <v>https://pbs.twimg.com/profile_banners/1632422384601792513/1678035070</v>
      </c>
      <c r="BI124" s="80"/>
      <c r="BJ124" s="80" t="s">
        <v>1455</v>
      </c>
      <c r="BK124" s="80" t="b">
        <v>0</v>
      </c>
      <c r="BL124" s="80"/>
      <c r="BM124" s="80" t="s">
        <v>65</v>
      </c>
      <c r="BN124" s="80" t="s">
        <v>1457</v>
      </c>
      <c r="BO124" s="85" t="str">
        <f>HYPERLINK("https://twitter.com/envcommresgroup")</f>
        <v>https://twitter.com/envcommresgroup</v>
      </c>
      <c r="BP124" s="80" t="str">
        <f>REPLACE(INDEX(GroupVertices[Group], MATCH("~"&amp;Vertices[[#This Row],[Vertex]],GroupVertices[Vertex],0)),1,1,"")</f>
        <v>7</v>
      </c>
      <c r="BQ124" s="49"/>
      <c r="BR124" s="50"/>
      <c r="BS124" s="49"/>
      <c r="BT124" s="50"/>
      <c r="BU124" s="49"/>
      <c r="BV124" s="50"/>
      <c r="BW124" s="49"/>
      <c r="BX124" s="50"/>
      <c r="BY124" s="49"/>
      <c r="BZ124" s="49"/>
      <c r="CA124" s="49"/>
      <c r="CB124" s="49"/>
      <c r="CC124" s="49"/>
      <c r="CD124" s="49"/>
      <c r="CE124" s="49"/>
      <c r="CF124" s="49"/>
      <c r="CG124" s="49"/>
      <c r="CH124" s="49"/>
      <c r="CI124" s="49"/>
      <c r="CJ124" s="2"/>
      <c r="CK124" s="3"/>
      <c r="CL124" s="3"/>
      <c r="CM124" s="3"/>
      <c r="CN124" s="3"/>
    </row>
    <row r="125" spans="1:92" x14ac:dyDescent="0.25">
      <c r="A125" s="65" t="s">
        <v>362</v>
      </c>
      <c r="B125" s="66"/>
      <c r="C125" s="66" t="s">
        <v>64</v>
      </c>
      <c r="D125" s="67">
        <v>100</v>
      </c>
      <c r="E125" s="69"/>
      <c r="F125" s="104" t="str">
        <f>HYPERLINK("https://pbs.twimg.com/profile_images/1714732503318360064/8ZjrPEpq_normal.jpg")</f>
        <v>https://pbs.twimg.com/profile_images/1714732503318360064/8ZjrPEpq_normal.jpg</v>
      </c>
      <c r="G125" s="66"/>
      <c r="H125" s="70" t="s">
        <v>362</v>
      </c>
      <c r="I125" s="71"/>
      <c r="J125" s="71" t="s">
        <v>159</v>
      </c>
      <c r="K125" s="70" t="s">
        <v>1579</v>
      </c>
      <c r="L125" s="74">
        <v>1</v>
      </c>
      <c r="M125" s="75">
        <v>8796.9345703125</v>
      </c>
      <c r="N125" s="75">
        <v>3188.9814453125</v>
      </c>
      <c r="O125" s="76"/>
      <c r="P125" s="77"/>
      <c r="Q125" s="77"/>
      <c r="R125" s="90"/>
      <c r="S125" s="49">
        <v>1</v>
      </c>
      <c r="T125" s="49">
        <v>0</v>
      </c>
      <c r="U125" s="50">
        <v>0</v>
      </c>
      <c r="V125" s="50">
        <v>0.22983100000000001</v>
      </c>
      <c r="W125" s="50">
        <v>1.0663000000000001E-2</v>
      </c>
      <c r="X125" s="50">
        <v>7.2090000000000001E-3</v>
      </c>
      <c r="Y125" s="50">
        <v>0</v>
      </c>
      <c r="Z125" s="50">
        <v>0</v>
      </c>
      <c r="AA125" s="72">
        <v>125</v>
      </c>
      <c r="AB125" s="72"/>
      <c r="AC125" s="73"/>
      <c r="AD125" s="80" t="s">
        <v>1052</v>
      </c>
      <c r="AE125" s="87" t="s">
        <v>1157</v>
      </c>
      <c r="AF125" s="80">
        <v>2383</v>
      </c>
      <c r="AG125" s="80">
        <v>472</v>
      </c>
      <c r="AH125" s="80">
        <v>2422</v>
      </c>
      <c r="AI125" s="80">
        <v>84</v>
      </c>
      <c r="AJ125" s="80">
        <v>821</v>
      </c>
      <c r="AK125" s="80">
        <v>661</v>
      </c>
      <c r="AL125" s="80" t="b">
        <v>0</v>
      </c>
      <c r="AM125" s="82">
        <v>39867.990671296298</v>
      </c>
      <c r="AN125" s="80" t="s">
        <v>1228</v>
      </c>
      <c r="AO125" s="80" t="s">
        <v>1347</v>
      </c>
      <c r="AP125" s="85" t="str">
        <f>HYPERLINK("https://t.co/iKQdYo4HJ1")</f>
        <v>https://t.co/iKQdYo4HJ1</v>
      </c>
      <c r="AQ125" s="85" t="str">
        <f>HYPERLINK("http://linktr.ee/uazjschool")</f>
        <v>http://linktr.ee/uazjschool</v>
      </c>
      <c r="AR125" s="80" t="s">
        <v>1438</v>
      </c>
      <c r="AS125" s="80"/>
      <c r="AT125" s="80"/>
      <c r="AU125" s="80"/>
      <c r="AV125" s="80"/>
      <c r="AW125" s="85" t="str">
        <f>HYPERLINK("https://t.co/iKQdYo4HJ1")</f>
        <v>https://t.co/iKQdYo4HJ1</v>
      </c>
      <c r="AX125" s="80" t="b">
        <v>0</v>
      </c>
      <c r="AY125" s="80"/>
      <c r="AZ125" s="80"/>
      <c r="BA125" s="80" t="b">
        <v>0</v>
      </c>
      <c r="BB125" s="80" t="b">
        <v>1</v>
      </c>
      <c r="BC125" s="80" t="b">
        <v>0</v>
      </c>
      <c r="BD125" s="80" t="b">
        <v>0</v>
      </c>
      <c r="BE125" s="80" t="b">
        <v>0</v>
      </c>
      <c r="BF125" s="80" t="b">
        <v>0</v>
      </c>
      <c r="BG125" s="80" t="b">
        <v>0</v>
      </c>
      <c r="BH125" s="85" t="str">
        <f>HYPERLINK("https://pbs.twimg.com/profile_banners/21708723/1698423272")</f>
        <v>https://pbs.twimg.com/profile_banners/21708723/1698423272</v>
      </c>
      <c r="BI125" s="80"/>
      <c r="BJ125" s="80" t="s">
        <v>1455</v>
      </c>
      <c r="BK125" s="80" t="b">
        <v>0</v>
      </c>
      <c r="BL125" s="80"/>
      <c r="BM125" s="80" t="s">
        <v>65</v>
      </c>
      <c r="BN125" s="80" t="s">
        <v>1457</v>
      </c>
      <c r="BO125" s="85" t="str">
        <f>HYPERLINK("https://twitter.com/uazjschool")</f>
        <v>https://twitter.com/uazjschool</v>
      </c>
      <c r="BP125" s="80" t="str">
        <f>REPLACE(INDEX(GroupVertices[Group], MATCH("~"&amp;Vertices[[#This Row],[Vertex]],GroupVertices[Vertex],0)),1,1,"")</f>
        <v>11</v>
      </c>
      <c r="BQ125" s="49"/>
      <c r="BR125" s="50"/>
      <c r="BS125" s="49"/>
      <c r="BT125" s="50"/>
      <c r="BU125" s="49"/>
      <c r="BV125" s="50"/>
      <c r="BW125" s="49"/>
      <c r="BX125" s="50"/>
      <c r="BY125" s="49"/>
      <c r="BZ125" s="49"/>
      <c r="CA125" s="49"/>
      <c r="CB125" s="49"/>
      <c r="CC125" s="49"/>
      <c r="CD125" s="49"/>
      <c r="CE125" s="49"/>
      <c r="CF125" s="49"/>
      <c r="CG125" s="49"/>
      <c r="CH125" s="49"/>
      <c r="CI125" s="49"/>
      <c r="CJ125" s="2"/>
      <c r="CK125" s="3"/>
      <c r="CL125" s="3"/>
      <c r="CM125" s="3"/>
      <c r="CN125" s="3"/>
    </row>
    <row r="126" spans="1:92" x14ac:dyDescent="0.25">
      <c r="A126" s="91" t="s">
        <v>363</v>
      </c>
      <c r="B126" s="92"/>
      <c r="C126" s="92" t="s">
        <v>64</v>
      </c>
      <c r="D126" s="93">
        <v>100</v>
      </c>
      <c r="E126" s="94"/>
      <c r="F126" s="105" t="str">
        <f>HYPERLINK("https://pbs.twimg.com/profile_images/559723197998698496/lORUagGa_normal.jpeg")</f>
        <v>https://pbs.twimg.com/profile_images/559723197998698496/lORUagGa_normal.jpeg</v>
      </c>
      <c r="G126" s="92"/>
      <c r="H126" s="95" t="s">
        <v>363</v>
      </c>
      <c r="I126" s="96"/>
      <c r="J126" s="96" t="s">
        <v>159</v>
      </c>
      <c r="K126" s="95" t="s">
        <v>1580</v>
      </c>
      <c r="L126" s="97">
        <v>1</v>
      </c>
      <c r="M126" s="98">
        <v>9507.24609375</v>
      </c>
      <c r="N126" s="98">
        <v>3188.9814453125</v>
      </c>
      <c r="O126" s="99"/>
      <c r="P126" s="100"/>
      <c r="Q126" s="100"/>
      <c r="R126" s="101"/>
      <c r="S126" s="49">
        <v>1</v>
      </c>
      <c r="T126" s="49">
        <v>0</v>
      </c>
      <c r="U126" s="50">
        <v>0</v>
      </c>
      <c r="V126" s="50">
        <v>0.22983100000000001</v>
      </c>
      <c r="W126" s="50">
        <v>1.0663000000000001E-2</v>
      </c>
      <c r="X126" s="50">
        <v>7.2090000000000001E-3</v>
      </c>
      <c r="Y126" s="50">
        <v>0</v>
      </c>
      <c r="Z126" s="50">
        <v>0</v>
      </c>
      <c r="AA126" s="102">
        <v>126</v>
      </c>
      <c r="AB126" s="102"/>
      <c r="AC126" s="103"/>
      <c r="AD126" s="80" t="s">
        <v>1053</v>
      </c>
      <c r="AE126" s="87" t="s">
        <v>1158</v>
      </c>
      <c r="AF126" s="80">
        <v>3027</v>
      </c>
      <c r="AG126" s="80">
        <v>2953</v>
      </c>
      <c r="AH126" s="80">
        <v>8063</v>
      </c>
      <c r="AI126" s="80">
        <v>138</v>
      </c>
      <c r="AJ126" s="80">
        <v>2908</v>
      </c>
      <c r="AK126" s="80">
        <v>1056</v>
      </c>
      <c r="AL126" s="80" t="b">
        <v>0</v>
      </c>
      <c r="AM126" s="82">
        <v>39976.645497685182</v>
      </c>
      <c r="AN126" s="80"/>
      <c r="AO126" s="80" t="s">
        <v>1348</v>
      </c>
      <c r="AP126" s="85" t="str">
        <f>HYPERLINK("https://t.co/b6Zpfa8liJ")</f>
        <v>https://t.co/b6Zpfa8liJ</v>
      </c>
      <c r="AQ126" s="85" t="str">
        <f>HYPERLINK("http://journalism.arizona.edu/people/jessica-retis")</f>
        <v>http://journalism.arizona.edu/people/jessica-retis</v>
      </c>
      <c r="AR126" s="80" t="s">
        <v>1439</v>
      </c>
      <c r="AS126" s="80"/>
      <c r="AT126" s="80"/>
      <c r="AU126" s="80"/>
      <c r="AV126" s="80">
        <v>1.5322861928211799E+18</v>
      </c>
      <c r="AW126" s="85" t="str">
        <f>HYPERLINK("https://t.co/b6Zpfa8liJ")</f>
        <v>https://t.co/b6Zpfa8liJ</v>
      </c>
      <c r="AX126" s="80" t="b">
        <v>0</v>
      </c>
      <c r="AY126" s="80"/>
      <c r="AZ126" s="80"/>
      <c r="BA126" s="80" t="b">
        <v>0</v>
      </c>
      <c r="BB126" s="80" t="b">
        <v>1</v>
      </c>
      <c r="BC126" s="80" t="b">
        <v>0</v>
      </c>
      <c r="BD126" s="80" t="b">
        <v>0</v>
      </c>
      <c r="BE126" s="80" t="b">
        <v>1</v>
      </c>
      <c r="BF126" s="80" t="b">
        <v>0</v>
      </c>
      <c r="BG126" s="80" t="b">
        <v>0</v>
      </c>
      <c r="BH126" s="85" t="str">
        <f>HYPERLINK("https://pbs.twimg.com/profile_banners/46675138/1655247863")</f>
        <v>https://pbs.twimg.com/profile_banners/46675138/1655247863</v>
      </c>
      <c r="BI126" s="80"/>
      <c r="BJ126" s="80" t="s">
        <v>1455</v>
      </c>
      <c r="BK126" s="80" t="b">
        <v>0</v>
      </c>
      <c r="BL126" s="80"/>
      <c r="BM126" s="80" t="s">
        <v>65</v>
      </c>
      <c r="BN126" s="80" t="s">
        <v>1457</v>
      </c>
      <c r="BO126" s="85" t="str">
        <f>HYPERLINK("https://twitter.com/jretis")</f>
        <v>https://twitter.com/jretis</v>
      </c>
      <c r="BP126" s="80" t="str">
        <f>REPLACE(INDEX(GroupVertices[Group], MATCH("~"&amp;Vertices[[#This Row],[Vertex]],GroupVertices[Vertex],0)),1,1,"")</f>
        <v>11</v>
      </c>
      <c r="BQ126" s="49"/>
      <c r="BR126" s="50"/>
      <c r="BS126" s="49"/>
      <c r="BT126" s="50"/>
      <c r="BU126" s="49"/>
      <c r="BV126" s="50"/>
      <c r="BW126" s="49"/>
      <c r="BX126" s="50"/>
      <c r="BY126" s="49"/>
      <c r="BZ126" s="49"/>
      <c r="CA126" s="49"/>
      <c r="CB126" s="49"/>
      <c r="CC126" s="49"/>
      <c r="CD126" s="49"/>
      <c r="CE126" s="49"/>
      <c r="CF126" s="49"/>
      <c r="CG126" s="49"/>
      <c r="CH126" s="49"/>
      <c r="CI126" s="49"/>
      <c r="CJ126" s="2"/>
      <c r="CK126" s="3"/>
      <c r="CL126" s="3"/>
      <c r="CM126" s="3"/>
      <c r="CN126" s="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126" xr:uid="{00000000-0002-0000-0100-000000000000}"/>
    <dataValidation allowBlank="1" errorTitle="Invalid Vertex Visibility" error="You have entered an unrecognized vertex visibility.  Try selecting from the drop-down list instead." sqref="CJ3" xr:uid="{00000000-0002-0000-0100-000001000000}"/>
    <dataValidation allowBlank="1" showErrorMessage="1" sqref="CJ2" xr:uid="{00000000-0002-0000-0100-000002000000}"/>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126" xr:uid="{00000000-0002-0000-0100-0000030000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126" xr:uid="{00000000-0002-0000-0100-0000040000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126" xr:uid="{00000000-0002-0000-0100-0000050000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126" xr:uid="{00000000-0002-0000-0100-0000060000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126" xr:uid="{00000000-0002-0000-0100-000007000000}"/>
    <dataValidation allowBlank="1" showInputMessage="1" errorTitle="Invalid Vertex Image Key" promptTitle="Vertex Tooltip" prompt="Enter optional text that will pop up when the mouse is hovered over the vertex." sqref="K3:K126" xr:uid="{00000000-0002-0000-0100-000008000000}"/>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126" xr:uid="{00000000-0002-0000-0100-00000900000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126" xr:uid="{00000000-0002-0000-0100-00000A000000}">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126" xr:uid="{00000000-0002-0000-0100-00000B000000}"/>
    <dataValidation allowBlank="1" showInputMessage="1" promptTitle="Vertex Label Fill Color" prompt="To select an optional fill color for the Label shape, right-click and select Select Color on the right-click menu." sqref="I3:I126" xr:uid="{00000000-0002-0000-0100-00000C000000}"/>
    <dataValidation allowBlank="1" showInputMessage="1" errorTitle="Invalid Vertex Image Key" promptTitle="Vertex Image File" prompt="Enter the path to an image file.  Hover over the column header for examples." sqref="F3:F126" xr:uid="{00000000-0002-0000-0100-00000D000000}"/>
    <dataValidation allowBlank="1" showInputMessage="1" promptTitle="Vertex Color" prompt="To select an optional vertex color, right-click and select Select Color on the right-click menu." sqref="B3:B126" xr:uid="{00000000-0002-0000-0100-00000E000000}"/>
    <dataValidation allowBlank="1" showInputMessage="1" errorTitle="Invalid Vertex Opacity" error="The optional vertex opacity must be a whole number between 0 and 10." promptTitle="Vertex Opacity" prompt="Enter an optional vertex opacity between 0 (transparent) and 100 (opaque)." sqref="E3:E126" xr:uid="{00000000-0002-0000-0100-00000F000000}"/>
    <dataValidation type="list" allowBlank="1" showInputMessage="1" showErrorMessage="1" errorTitle="Invalid Vertex Shape" error="You have entered an invalid vertex shape.  Try selecting from the drop-down list instead." promptTitle="Vertex Shape" prompt="Select an optional vertex shape." sqref="C3:C126" xr:uid="{00000000-0002-0000-0100-00001000000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126" xr:uid="{00000000-0002-0000-0100-00001100000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126" xr:uid="{00000000-0002-0000-0100-000012000000}">
      <formula1>ValidVertexLabelPositions</formula1>
    </dataValidation>
    <dataValidation allowBlank="1" showInputMessage="1" showErrorMessage="1" promptTitle="Vertex Name" prompt="Enter the name of the vertex." sqref="A3:A126" xr:uid="{00000000-0002-0000-0100-000013000000}"/>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defaultRowHeight="15" x14ac:dyDescent="0.25"/>
  <cols>
    <col min="1" max="1" width="10.85546875" style="3" bestFit="1" customWidth="1"/>
    <col min="2" max="2" width="16.85546875" style="3" bestFit="1" customWidth="1"/>
    <col min="4" max="5" width="9.140625" customWidth="1"/>
  </cols>
  <sheetData>
    <row r="1" spans="1:1" x14ac:dyDescent="0.25">
      <c r="A1" s="3" t="s">
        <v>49</v>
      </c>
    </row>
    <row r="2" spans="1:1" ht="15" customHeight="1" x14ac:dyDescent="0.25"/>
    <row r="3" spans="1:1" ht="15" customHeight="1" x14ac:dyDescent="0.25">
      <c r="A3" s="31" t="s">
        <v>50</v>
      </c>
    </row>
    <row r="21" spans="4:4" x14ac:dyDescent="0.25">
      <c r="D21" s="7"/>
    </row>
  </sheetData>
  <dataConsolidate/>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AO17"/>
  <sheetViews>
    <sheetView workbookViewId="0">
      <pane ySplit="2" topLeftCell="A3" activePane="bottomLeft" state="frozen"/>
      <selection pane="bottomLeft" activeCell="A3" sqref="A3"/>
    </sheetView>
  </sheetViews>
  <sheetFormatPr defaultRowHeight="15" x14ac:dyDescent="0.25"/>
  <cols>
    <col min="1" max="1" width="9.42578125" style="1" bestFit="1" customWidth="1"/>
    <col min="2" max="2" width="14.28515625" hidden="1" customWidth="1"/>
    <col min="3" max="3" width="15" hidden="1" customWidth="1"/>
    <col min="4" max="4" width="11.140625" hidden="1" customWidth="1"/>
    <col min="5" max="5" width="13" hidden="1" customWidth="1"/>
    <col min="6" max="6" width="8" hidden="1" customWidth="1"/>
    <col min="7" max="8" width="13.5703125" hidden="1" customWidth="1"/>
    <col min="9" max="9" width="11" hidden="1" customWidth="1"/>
    <col min="10" max="10" width="12.5703125" hidden="1" customWidth="1"/>
    <col min="11" max="11" width="11" customWidth="1"/>
    <col min="12" max="12" width="9.7109375" customWidth="1"/>
    <col min="13" max="13" width="13.140625" customWidth="1"/>
    <col min="14" max="15" width="8.42578125" customWidth="1"/>
    <col min="16" max="16" width="18.28515625" customWidth="1"/>
    <col min="17" max="17" width="14.85546875" customWidth="1"/>
    <col min="18" max="18" width="14.5703125" customWidth="1"/>
    <col min="19" max="21" width="24.140625" customWidth="1"/>
    <col min="22" max="22" width="21.28515625" customWidth="1"/>
    <col min="23" max="23" width="19.28515625" customWidth="1"/>
    <col min="24" max="24" width="10" customWidth="1"/>
    <col min="25" max="25" width="19.7109375" bestFit="1" customWidth="1"/>
    <col min="26" max="26" width="24.28515625" bestFit="1" customWidth="1"/>
    <col min="27" max="27" width="19.7109375" bestFit="1" customWidth="1"/>
    <col min="28" max="28" width="24.28515625" bestFit="1" customWidth="1"/>
    <col min="29" max="29" width="19.7109375" bestFit="1" customWidth="1"/>
    <col min="30" max="30" width="24.28515625" bestFit="1" customWidth="1"/>
    <col min="31" max="31" width="18.5703125" bestFit="1" customWidth="1"/>
    <col min="32" max="32" width="22.28515625" bestFit="1" customWidth="1"/>
    <col min="33" max="33" width="16.85546875" bestFit="1" customWidth="1"/>
    <col min="34" max="34" width="11.5703125" bestFit="1" customWidth="1"/>
    <col min="35" max="35" width="15.140625" bestFit="1" customWidth="1"/>
    <col min="36" max="36" width="15.42578125" bestFit="1" customWidth="1"/>
    <col min="37" max="37" width="13.140625" bestFit="1" customWidth="1"/>
    <col min="38" max="38" width="15.85546875" bestFit="1" customWidth="1"/>
    <col min="39" max="39" width="14.5703125" bestFit="1" customWidth="1"/>
    <col min="40" max="40" width="17.42578125" bestFit="1" customWidth="1"/>
    <col min="41" max="41" width="11.5703125" bestFit="1" customWidth="1"/>
  </cols>
  <sheetData>
    <row r="1" spans="1:41" x14ac:dyDescent="0.25">
      <c r="B1" s="55" t="s">
        <v>39</v>
      </c>
      <c r="C1" s="56"/>
      <c r="D1" s="56"/>
      <c r="E1" s="57"/>
      <c r="F1" s="53" t="s">
        <v>43</v>
      </c>
      <c r="G1" s="58" t="s">
        <v>44</v>
      </c>
      <c r="H1" s="59"/>
      <c r="I1" s="60" t="s">
        <v>40</v>
      </c>
      <c r="J1" s="61"/>
      <c r="K1" s="62" t="s">
        <v>42</v>
      </c>
      <c r="L1" s="63"/>
      <c r="M1" s="63"/>
      <c r="N1" s="63"/>
      <c r="O1" s="63"/>
      <c r="P1" s="63"/>
      <c r="Q1" s="63"/>
      <c r="R1" s="63"/>
      <c r="S1" s="63"/>
      <c r="T1" s="63"/>
      <c r="U1" s="63"/>
      <c r="V1" s="63"/>
      <c r="W1" s="63"/>
      <c r="X1" s="63"/>
    </row>
    <row r="2" spans="1:41" s="13" customFormat="1" ht="30" customHeight="1" x14ac:dyDescent="0.2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c r="Y2" s="54" t="s">
        <v>1965</v>
      </c>
      <c r="Z2" s="54" t="s">
        <v>1966</v>
      </c>
      <c r="AA2" s="54" t="s">
        <v>1967</v>
      </c>
      <c r="AB2" s="54" t="s">
        <v>1968</v>
      </c>
      <c r="AC2" s="54" t="s">
        <v>1969</v>
      </c>
      <c r="AD2" s="54" t="s">
        <v>1970</v>
      </c>
      <c r="AE2" s="54" t="s">
        <v>1971</v>
      </c>
      <c r="AF2" s="54" t="s">
        <v>1972</v>
      </c>
      <c r="AG2" s="54" t="s">
        <v>1975</v>
      </c>
      <c r="AH2" s="13" t="s">
        <v>9608</v>
      </c>
      <c r="AI2" s="13" t="s">
        <v>9627</v>
      </c>
      <c r="AJ2" s="13" t="s">
        <v>9644</v>
      </c>
      <c r="AK2" s="13" t="s">
        <v>9661</v>
      </c>
      <c r="AL2" s="13" t="s">
        <v>9775</v>
      </c>
      <c r="AM2" s="13" t="s">
        <v>9810</v>
      </c>
      <c r="AN2" s="13" t="s">
        <v>9812</v>
      </c>
      <c r="AO2" s="13" t="s">
        <v>9834</v>
      </c>
    </row>
    <row r="3" spans="1:41" x14ac:dyDescent="0.25">
      <c r="A3" s="65" t="s">
        <v>1600</v>
      </c>
      <c r="B3" s="66" t="s">
        <v>1615</v>
      </c>
      <c r="C3" s="66" t="s">
        <v>56</v>
      </c>
      <c r="D3" s="107"/>
      <c r="E3" s="14"/>
      <c r="F3" s="15" t="s">
        <v>10076</v>
      </c>
      <c r="G3" s="64"/>
      <c r="H3" s="64"/>
      <c r="I3" s="108">
        <v>3</v>
      </c>
      <c r="J3" s="51"/>
      <c r="K3" s="49">
        <v>18</v>
      </c>
      <c r="L3" s="49">
        <v>30</v>
      </c>
      <c r="M3" s="49">
        <v>8</v>
      </c>
      <c r="N3" s="49">
        <v>38</v>
      </c>
      <c r="O3" s="49">
        <v>9</v>
      </c>
      <c r="P3" s="50">
        <v>0.16666666666666666</v>
      </c>
      <c r="Q3" s="50">
        <v>0.2857142857142857</v>
      </c>
      <c r="R3" s="49">
        <v>1</v>
      </c>
      <c r="S3" s="49">
        <v>0</v>
      </c>
      <c r="T3" s="49">
        <v>18</v>
      </c>
      <c r="U3" s="49">
        <v>38</v>
      </c>
      <c r="V3" s="49">
        <v>4</v>
      </c>
      <c r="W3" s="50">
        <v>2.1666669999999999</v>
      </c>
      <c r="X3" s="50">
        <v>9.1503267973856203E-2</v>
      </c>
      <c r="Y3" s="49">
        <v>42</v>
      </c>
      <c r="Z3" s="50">
        <v>5.4545454545454541</v>
      </c>
      <c r="AA3" s="49">
        <v>4</v>
      </c>
      <c r="AB3" s="50">
        <v>0.51948051948051943</v>
      </c>
      <c r="AC3" s="49">
        <v>0</v>
      </c>
      <c r="AD3" s="50">
        <v>0</v>
      </c>
      <c r="AE3" s="49">
        <v>424</v>
      </c>
      <c r="AF3" s="50">
        <v>55.064935064935064</v>
      </c>
      <c r="AG3" s="49">
        <v>770</v>
      </c>
      <c r="AH3" s="80" t="s">
        <v>9609</v>
      </c>
      <c r="AI3" s="80" t="s">
        <v>9628</v>
      </c>
      <c r="AJ3" s="80" t="s">
        <v>9645</v>
      </c>
      <c r="AK3" s="87" t="s">
        <v>9662</v>
      </c>
      <c r="AL3" s="87" t="s">
        <v>9776</v>
      </c>
      <c r="AM3" s="87" t="s">
        <v>9811</v>
      </c>
      <c r="AN3" s="87" t="s">
        <v>9813</v>
      </c>
      <c r="AO3" s="87" t="s">
        <v>9835</v>
      </c>
    </row>
    <row r="4" spans="1:41" x14ac:dyDescent="0.25">
      <c r="A4" s="65" t="s">
        <v>1601</v>
      </c>
      <c r="B4" s="66" t="s">
        <v>1616</v>
      </c>
      <c r="C4" s="66" t="s">
        <v>56</v>
      </c>
      <c r="D4" s="107"/>
      <c r="E4" s="14"/>
      <c r="F4" s="15" t="s">
        <v>10077</v>
      </c>
      <c r="G4" s="64"/>
      <c r="H4" s="64"/>
      <c r="I4" s="108">
        <v>4</v>
      </c>
      <c r="J4" s="78"/>
      <c r="K4" s="49">
        <v>18</v>
      </c>
      <c r="L4" s="49">
        <v>28</v>
      </c>
      <c r="M4" s="49">
        <v>8</v>
      </c>
      <c r="N4" s="49">
        <v>36</v>
      </c>
      <c r="O4" s="49">
        <v>6</v>
      </c>
      <c r="P4" s="50">
        <v>3.7037037037037035E-2</v>
      </c>
      <c r="Q4" s="50">
        <v>7.1428571428571425E-2</v>
      </c>
      <c r="R4" s="49">
        <v>1</v>
      </c>
      <c r="S4" s="49">
        <v>0</v>
      </c>
      <c r="T4" s="49">
        <v>18</v>
      </c>
      <c r="U4" s="49">
        <v>36</v>
      </c>
      <c r="V4" s="49">
        <v>3</v>
      </c>
      <c r="W4" s="50">
        <v>1.938272</v>
      </c>
      <c r="X4" s="50">
        <v>9.1503267973856203E-2</v>
      </c>
      <c r="Y4" s="49">
        <v>8</v>
      </c>
      <c r="Z4" s="50">
        <v>1.5779092702169626</v>
      </c>
      <c r="AA4" s="49">
        <v>2</v>
      </c>
      <c r="AB4" s="50">
        <v>0.39447731755424065</v>
      </c>
      <c r="AC4" s="49">
        <v>0</v>
      </c>
      <c r="AD4" s="50">
        <v>0</v>
      </c>
      <c r="AE4" s="49">
        <v>326</v>
      </c>
      <c r="AF4" s="50">
        <v>64.299802761341226</v>
      </c>
      <c r="AG4" s="49">
        <v>507</v>
      </c>
      <c r="AH4" s="80" t="s">
        <v>9610</v>
      </c>
      <c r="AI4" s="80" t="s">
        <v>9629</v>
      </c>
      <c r="AJ4" s="80" t="s">
        <v>9646</v>
      </c>
      <c r="AK4" s="87" t="s">
        <v>9663</v>
      </c>
      <c r="AL4" s="87" t="s">
        <v>9777</v>
      </c>
      <c r="AM4" s="87"/>
      <c r="AN4" s="87" t="s">
        <v>9814</v>
      </c>
      <c r="AO4" s="87" t="s">
        <v>9836</v>
      </c>
    </row>
    <row r="5" spans="1:41" x14ac:dyDescent="0.25">
      <c r="A5" s="65" t="s">
        <v>1602</v>
      </c>
      <c r="B5" s="66" t="s">
        <v>1617</v>
      </c>
      <c r="C5" s="66" t="s">
        <v>56</v>
      </c>
      <c r="D5" s="107"/>
      <c r="E5" s="14"/>
      <c r="F5" s="15" t="s">
        <v>10078</v>
      </c>
      <c r="G5" s="64"/>
      <c r="H5" s="64"/>
      <c r="I5" s="108">
        <v>5</v>
      </c>
      <c r="J5" s="78"/>
      <c r="K5" s="49">
        <v>16</v>
      </c>
      <c r="L5" s="49">
        <v>16</v>
      </c>
      <c r="M5" s="49">
        <v>31</v>
      </c>
      <c r="N5" s="49">
        <v>47</v>
      </c>
      <c r="O5" s="49">
        <v>10</v>
      </c>
      <c r="P5" s="50">
        <v>0.1</v>
      </c>
      <c r="Q5" s="50">
        <v>0.18181818181818182</v>
      </c>
      <c r="R5" s="49">
        <v>1</v>
      </c>
      <c r="S5" s="49">
        <v>0</v>
      </c>
      <c r="T5" s="49">
        <v>16</v>
      </c>
      <c r="U5" s="49">
        <v>47</v>
      </c>
      <c r="V5" s="49">
        <v>4</v>
      </c>
      <c r="W5" s="50">
        <v>2.21875</v>
      </c>
      <c r="X5" s="50">
        <v>9.166666666666666E-2</v>
      </c>
      <c r="Y5" s="49">
        <v>29</v>
      </c>
      <c r="Z5" s="50">
        <v>5.06993006993007</v>
      </c>
      <c r="AA5" s="49">
        <v>12</v>
      </c>
      <c r="AB5" s="50">
        <v>2.0979020979020979</v>
      </c>
      <c r="AC5" s="49">
        <v>0</v>
      </c>
      <c r="AD5" s="50">
        <v>0</v>
      </c>
      <c r="AE5" s="49">
        <v>326</v>
      </c>
      <c r="AF5" s="50">
        <v>56.993006993006993</v>
      </c>
      <c r="AG5" s="49">
        <v>572</v>
      </c>
      <c r="AH5" s="80" t="s">
        <v>9611</v>
      </c>
      <c r="AI5" s="80" t="s">
        <v>9630</v>
      </c>
      <c r="AJ5" s="80" t="s">
        <v>9647</v>
      </c>
      <c r="AK5" s="87" t="s">
        <v>9664</v>
      </c>
      <c r="AL5" s="87" t="s">
        <v>9778</v>
      </c>
      <c r="AM5" s="87"/>
      <c r="AN5" s="87" t="s">
        <v>9815</v>
      </c>
      <c r="AO5" s="87" t="s">
        <v>9837</v>
      </c>
    </row>
    <row r="6" spans="1:41" x14ac:dyDescent="0.25">
      <c r="A6" s="65" t="s">
        <v>1603</v>
      </c>
      <c r="B6" s="66" t="s">
        <v>1618</v>
      </c>
      <c r="C6" s="66" t="s">
        <v>56</v>
      </c>
      <c r="D6" s="107"/>
      <c r="E6" s="14"/>
      <c r="F6" s="15" t="s">
        <v>10079</v>
      </c>
      <c r="G6" s="64"/>
      <c r="H6" s="64"/>
      <c r="I6" s="108">
        <v>6</v>
      </c>
      <c r="J6" s="78"/>
      <c r="K6" s="49">
        <v>15</v>
      </c>
      <c r="L6" s="49">
        <v>8</v>
      </c>
      <c r="M6" s="49">
        <v>19</v>
      </c>
      <c r="N6" s="49">
        <v>27</v>
      </c>
      <c r="O6" s="49">
        <v>3</v>
      </c>
      <c r="P6" s="50">
        <v>0.14285714285714285</v>
      </c>
      <c r="Q6" s="50">
        <v>0.25</v>
      </c>
      <c r="R6" s="49">
        <v>1</v>
      </c>
      <c r="S6" s="49">
        <v>0</v>
      </c>
      <c r="T6" s="49">
        <v>15</v>
      </c>
      <c r="U6" s="49">
        <v>27</v>
      </c>
      <c r="V6" s="49">
        <v>3</v>
      </c>
      <c r="W6" s="50">
        <v>2.0977779999999999</v>
      </c>
      <c r="X6" s="50">
        <v>7.6190476190476197E-2</v>
      </c>
      <c r="Y6" s="49">
        <v>2</v>
      </c>
      <c r="Z6" s="50">
        <v>1.4184397163120568</v>
      </c>
      <c r="AA6" s="49">
        <v>2</v>
      </c>
      <c r="AB6" s="50">
        <v>1.4184397163120568</v>
      </c>
      <c r="AC6" s="49">
        <v>0</v>
      </c>
      <c r="AD6" s="50">
        <v>0</v>
      </c>
      <c r="AE6" s="49">
        <v>91</v>
      </c>
      <c r="AF6" s="50">
        <v>64.539007092198588</v>
      </c>
      <c r="AG6" s="49">
        <v>141</v>
      </c>
      <c r="AH6" s="80" t="s">
        <v>9612</v>
      </c>
      <c r="AI6" s="80" t="s">
        <v>9631</v>
      </c>
      <c r="AJ6" s="80" t="s">
        <v>490</v>
      </c>
      <c r="AK6" s="87" t="s">
        <v>9665</v>
      </c>
      <c r="AL6" s="87" t="s">
        <v>9779</v>
      </c>
      <c r="AM6" s="87"/>
      <c r="AN6" s="87" t="s">
        <v>9816</v>
      </c>
      <c r="AO6" s="87" t="s">
        <v>9838</v>
      </c>
    </row>
    <row r="7" spans="1:41" x14ac:dyDescent="0.25">
      <c r="A7" s="65" t="s">
        <v>1604</v>
      </c>
      <c r="B7" s="66" t="s">
        <v>1619</v>
      </c>
      <c r="C7" s="66" t="s">
        <v>56</v>
      </c>
      <c r="D7" s="107"/>
      <c r="E7" s="14"/>
      <c r="F7" s="15" t="s">
        <v>10080</v>
      </c>
      <c r="G7" s="64"/>
      <c r="H7" s="64"/>
      <c r="I7" s="108">
        <v>7</v>
      </c>
      <c r="J7" s="78"/>
      <c r="K7" s="49">
        <v>12</v>
      </c>
      <c r="L7" s="49">
        <v>18</v>
      </c>
      <c r="M7" s="49">
        <v>2</v>
      </c>
      <c r="N7" s="49">
        <v>20</v>
      </c>
      <c r="O7" s="49">
        <v>2</v>
      </c>
      <c r="P7" s="50">
        <v>6.25E-2</v>
      </c>
      <c r="Q7" s="50">
        <v>0.11764705882352941</v>
      </c>
      <c r="R7" s="49">
        <v>1</v>
      </c>
      <c r="S7" s="49">
        <v>0</v>
      </c>
      <c r="T7" s="49">
        <v>12</v>
      </c>
      <c r="U7" s="49">
        <v>20</v>
      </c>
      <c r="V7" s="49">
        <v>3</v>
      </c>
      <c r="W7" s="50">
        <v>1.8055559999999999</v>
      </c>
      <c r="X7" s="50">
        <v>0.12878787878787878</v>
      </c>
      <c r="Y7" s="49">
        <v>6</v>
      </c>
      <c r="Z7" s="50">
        <v>9.8360655737704921</v>
      </c>
      <c r="AA7" s="49">
        <v>2</v>
      </c>
      <c r="AB7" s="50">
        <v>3.278688524590164</v>
      </c>
      <c r="AC7" s="49">
        <v>0</v>
      </c>
      <c r="AD7" s="50">
        <v>0</v>
      </c>
      <c r="AE7" s="49">
        <v>45</v>
      </c>
      <c r="AF7" s="50">
        <v>73.770491803278688</v>
      </c>
      <c r="AG7" s="49">
        <v>61</v>
      </c>
      <c r="AH7" s="80"/>
      <c r="AI7" s="80"/>
      <c r="AJ7" s="80" t="s">
        <v>9648</v>
      </c>
      <c r="AK7" s="87" t="s">
        <v>9666</v>
      </c>
      <c r="AL7" s="87" t="s">
        <v>9780</v>
      </c>
      <c r="AM7" s="87"/>
      <c r="AN7" s="87" t="s">
        <v>9817</v>
      </c>
      <c r="AO7" s="87" t="s">
        <v>9839</v>
      </c>
    </row>
    <row r="8" spans="1:41" x14ac:dyDescent="0.25">
      <c r="A8" s="65" t="s">
        <v>1605</v>
      </c>
      <c r="B8" s="66" t="s">
        <v>1620</v>
      </c>
      <c r="C8" s="66" t="s">
        <v>56</v>
      </c>
      <c r="D8" s="107"/>
      <c r="E8" s="14"/>
      <c r="F8" s="15" t="s">
        <v>10081</v>
      </c>
      <c r="G8" s="64"/>
      <c r="H8" s="64"/>
      <c r="I8" s="108">
        <v>8</v>
      </c>
      <c r="J8" s="78"/>
      <c r="K8" s="49">
        <v>12</v>
      </c>
      <c r="L8" s="49">
        <v>12</v>
      </c>
      <c r="M8" s="49">
        <v>0</v>
      </c>
      <c r="N8" s="49">
        <v>12</v>
      </c>
      <c r="O8" s="49">
        <v>0</v>
      </c>
      <c r="P8" s="50">
        <v>0</v>
      </c>
      <c r="Q8" s="50">
        <v>0</v>
      </c>
      <c r="R8" s="49">
        <v>1</v>
      </c>
      <c r="S8" s="49">
        <v>0</v>
      </c>
      <c r="T8" s="49">
        <v>12</v>
      </c>
      <c r="U8" s="49">
        <v>12</v>
      </c>
      <c r="V8" s="49">
        <v>5</v>
      </c>
      <c r="W8" s="50">
        <v>2.4583330000000001</v>
      </c>
      <c r="X8" s="50">
        <v>9.0909090909090912E-2</v>
      </c>
      <c r="Y8" s="49">
        <v>12</v>
      </c>
      <c r="Z8" s="50">
        <v>5.0420168067226889</v>
      </c>
      <c r="AA8" s="49">
        <v>0</v>
      </c>
      <c r="AB8" s="50">
        <v>0</v>
      </c>
      <c r="AC8" s="49">
        <v>0</v>
      </c>
      <c r="AD8" s="50">
        <v>0</v>
      </c>
      <c r="AE8" s="49">
        <v>132</v>
      </c>
      <c r="AF8" s="50">
        <v>55.462184873949582</v>
      </c>
      <c r="AG8" s="49">
        <v>238</v>
      </c>
      <c r="AH8" s="80" t="s">
        <v>9613</v>
      </c>
      <c r="AI8" s="80" t="s">
        <v>9632</v>
      </c>
      <c r="AJ8" s="80" t="s">
        <v>9649</v>
      </c>
      <c r="AK8" s="87" t="s">
        <v>9667</v>
      </c>
      <c r="AL8" s="87" t="s">
        <v>9781</v>
      </c>
      <c r="AM8" s="87"/>
      <c r="AN8" s="87" t="s">
        <v>9818</v>
      </c>
      <c r="AO8" s="87" t="s">
        <v>9840</v>
      </c>
    </row>
    <row r="9" spans="1:41" x14ac:dyDescent="0.25">
      <c r="A9" s="65" t="s">
        <v>1606</v>
      </c>
      <c r="B9" s="66" t="s">
        <v>1621</v>
      </c>
      <c r="C9" s="66" t="s">
        <v>56</v>
      </c>
      <c r="D9" s="107"/>
      <c r="E9" s="14"/>
      <c r="F9" s="15" t="s">
        <v>10082</v>
      </c>
      <c r="G9" s="64"/>
      <c r="H9" s="64"/>
      <c r="I9" s="108">
        <v>9</v>
      </c>
      <c r="J9" s="78"/>
      <c r="K9" s="49">
        <v>8</v>
      </c>
      <c r="L9" s="49">
        <v>7</v>
      </c>
      <c r="M9" s="49">
        <v>0</v>
      </c>
      <c r="N9" s="49">
        <v>7</v>
      </c>
      <c r="O9" s="49">
        <v>0</v>
      </c>
      <c r="P9" s="50">
        <v>0</v>
      </c>
      <c r="Q9" s="50">
        <v>0</v>
      </c>
      <c r="R9" s="49">
        <v>1</v>
      </c>
      <c r="S9" s="49">
        <v>0</v>
      </c>
      <c r="T9" s="49">
        <v>8</v>
      </c>
      <c r="U9" s="49">
        <v>7</v>
      </c>
      <c r="V9" s="49">
        <v>2</v>
      </c>
      <c r="W9" s="50">
        <v>1.53125</v>
      </c>
      <c r="X9" s="50">
        <v>0.125</v>
      </c>
      <c r="Y9" s="49">
        <v>5</v>
      </c>
      <c r="Z9" s="50">
        <v>4.0983606557377046</v>
      </c>
      <c r="AA9" s="49">
        <v>0</v>
      </c>
      <c r="AB9" s="50">
        <v>0</v>
      </c>
      <c r="AC9" s="49">
        <v>0</v>
      </c>
      <c r="AD9" s="50">
        <v>0</v>
      </c>
      <c r="AE9" s="49">
        <v>78</v>
      </c>
      <c r="AF9" s="50">
        <v>63.934426229508198</v>
      </c>
      <c r="AG9" s="49">
        <v>122</v>
      </c>
      <c r="AH9" s="80" t="s">
        <v>9564</v>
      </c>
      <c r="AI9" s="80" t="s">
        <v>516</v>
      </c>
      <c r="AJ9" s="80" t="s">
        <v>495</v>
      </c>
      <c r="AK9" s="87" t="s">
        <v>9668</v>
      </c>
      <c r="AL9" s="87" t="s">
        <v>9782</v>
      </c>
      <c r="AM9" s="87"/>
      <c r="AN9" s="87" t="s">
        <v>9819</v>
      </c>
      <c r="AO9" s="87" t="s">
        <v>9841</v>
      </c>
    </row>
    <row r="10" spans="1:41" ht="14.25" customHeight="1" x14ac:dyDescent="0.25">
      <c r="A10" s="65" t="s">
        <v>1607</v>
      </c>
      <c r="B10" s="66" t="s">
        <v>1622</v>
      </c>
      <c r="C10" s="66" t="s">
        <v>56</v>
      </c>
      <c r="D10" s="107"/>
      <c r="E10" s="14"/>
      <c r="F10" s="15" t="s">
        <v>10083</v>
      </c>
      <c r="G10" s="64"/>
      <c r="H10" s="64"/>
      <c r="I10" s="108">
        <v>10</v>
      </c>
      <c r="J10" s="78"/>
      <c r="K10" s="49">
        <v>4</v>
      </c>
      <c r="L10" s="49">
        <v>7</v>
      </c>
      <c r="M10" s="49">
        <v>0</v>
      </c>
      <c r="N10" s="49">
        <v>7</v>
      </c>
      <c r="O10" s="49">
        <v>1</v>
      </c>
      <c r="P10" s="50">
        <v>0.2</v>
      </c>
      <c r="Q10" s="50">
        <v>0.33333333333333331</v>
      </c>
      <c r="R10" s="49">
        <v>1</v>
      </c>
      <c r="S10" s="49">
        <v>0</v>
      </c>
      <c r="T10" s="49">
        <v>4</v>
      </c>
      <c r="U10" s="49">
        <v>7</v>
      </c>
      <c r="V10" s="49">
        <v>2</v>
      </c>
      <c r="W10" s="50">
        <v>0.875</v>
      </c>
      <c r="X10" s="50">
        <v>0.5</v>
      </c>
      <c r="Y10" s="49">
        <v>8</v>
      </c>
      <c r="Z10" s="50">
        <v>8</v>
      </c>
      <c r="AA10" s="49">
        <v>0</v>
      </c>
      <c r="AB10" s="50">
        <v>0</v>
      </c>
      <c r="AC10" s="49">
        <v>0</v>
      </c>
      <c r="AD10" s="50">
        <v>0</v>
      </c>
      <c r="AE10" s="49">
        <v>59</v>
      </c>
      <c r="AF10" s="50">
        <v>59</v>
      </c>
      <c r="AG10" s="49">
        <v>100</v>
      </c>
      <c r="AH10" s="80" t="s">
        <v>9600</v>
      </c>
      <c r="AI10" s="80" t="s">
        <v>515</v>
      </c>
      <c r="AJ10" s="80"/>
      <c r="AK10" s="87" t="s">
        <v>9669</v>
      </c>
      <c r="AL10" s="87" t="s">
        <v>9783</v>
      </c>
      <c r="AM10" s="87"/>
      <c r="AN10" s="87" t="s">
        <v>9820</v>
      </c>
      <c r="AO10" s="87" t="s">
        <v>9842</v>
      </c>
    </row>
    <row r="11" spans="1:41" x14ac:dyDescent="0.25">
      <c r="A11" s="65" t="s">
        <v>1608</v>
      </c>
      <c r="B11" s="66" t="s">
        <v>1623</v>
      </c>
      <c r="C11" s="66" t="s">
        <v>56</v>
      </c>
      <c r="D11" s="107"/>
      <c r="E11" s="14"/>
      <c r="F11" s="15" t="s">
        <v>10084</v>
      </c>
      <c r="G11" s="64"/>
      <c r="H11" s="64"/>
      <c r="I11" s="108">
        <v>11</v>
      </c>
      <c r="J11" s="78"/>
      <c r="K11" s="49">
        <v>4</v>
      </c>
      <c r="L11" s="49">
        <v>4</v>
      </c>
      <c r="M11" s="49">
        <v>0</v>
      </c>
      <c r="N11" s="49">
        <v>4</v>
      </c>
      <c r="O11" s="49">
        <v>0</v>
      </c>
      <c r="P11" s="50">
        <v>0.33333333333333331</v>
      </c>
      <c r="Q11" s="50">
        <v>0.5</v>
      </c>
      <c r="R11" s="49">
        <v>1</v>
      </c>
      <c r="S11" s="49">
        <v>0</v>
      </c>
      <c r="T11" s="49">
        <v>4</v>
      </c>
      <c r="U11" s="49">
        <v>4</v>
      </c>
      <c r="V11" s="49">
        <v>2</v>
      </c>
      <c r="W11" s="50">
        <v>1.125</v>
      </c>
      <c r="X11" s="50">
        <v>0.33333333333333331</v>
      </c>
      <c r="Y11" s="49">
        <v>6</v>
      </c>
      <c r="Z11" s="50">
        <v>8.4507042253521121</v>
      </c>
      <c r="AA11" s="49">
        <v>0</v>
      </c>
      <c r="AB11" s="50">
        <v>0</v>
      </c>
      <c r="AC11" s="49">
        <v>0</v>
      </c>
      <c r="AD11" s="50">
        <v>0</v>
      </c>
      <c r="AE11" s="49">
        <v>26</v>
      </c>
      <c r="AF11" s="50">
        <v>36.619718309859152</v>
      </c>
      <c r="AG11" s="49">
        <v>71</v>
      </c>
      <c r="AH11" s="80" t="s">
        <v>9603</v>
      </c>
      <c r="AI11" s="80" t="s">
        <v>511</v>
      </c>
      <c r="AJ11" s="80"/>
      <c r="AK11" s="87" t="s">
        <v>9670</v>
      </c>
      <c r="AL11" s="87" t="s">
        <v>9784</v>
      </c>
      <c r="AM11" s="87"/>
      <c r="AN11" s="87" t="s">
        <v>9821</v>
      </c>
      <c r="AO11" s="87" t="s">
        <v>9843</v>
      </c>
    </row>
    <row r="12" spans="1:41" x14ac:dyDescent="0.25">
      <c r="A12" s="65" t="s">
        <v>1609</v>
      </c>
      <c r="B12" s="66" t="s">
        <v>1624</v>
      </c>
      <c r="C12" s="66" t="s">
        <v>56</v>
      </c>
      <c r="D12" s="107"/>
      <c r="E12" s="14"/>
      <c r="F12" s="15" t="s">
        <v>10085</v>
      </c>
      <c r="G12" s="64"/>
      <c r="H12" s="64"/>
      <c r="I12" s="108">
        <v>12</v>
      </c>
      <c r="J12" s="78"/>
      <c r="K12" s="49">
        <v>4</v>
      </c>
      <c r="L12" s="49">
        <v>4</v>
      </c>
      <c r="M12" s="49">
        <v>0</v>
      </c>
      <c r="N12" s="49">
        <v>4</v>
      </c>
      <c r="O12" s="49">
        <v>1</v>
      </c>
      <c r="P12" s="50">
        <v>0</v>
      </c>
      <c r="Q12" s="50">
        <v>0</v>
      </c>
      <c r="R12" s="49">
        <v>1</v>
      </c>
      <c r="S12" s="49">
        <v>0</v>
      </c>
      <c r="T12" s="49">
        <v>4</v>
      </c>
      <c r="U12" s="49">
        <v>4</v>
      </c>
      <c r="V12" s="49">
        <v>2</v>
      </c>
      <c r="W12" s="50">
        <v>1.125</v>
      </c>
      <c r="X12" s="50">
        <v>0.25</v>
      </c>
      <c r="Y12" s="49">
        <v>0</v>
      </c>
      <c r="Z12" s="50">
        <v>0</v>
      </c>
      <c r="AA12" s="49">
        <v>0</v>
      </c>
      <c r="AB12" s="50">
        <v>0</v>
      </c>
      <c r="AC12" s="49">
        <v>0</v>
      </c>
      <c r="AD12" s="50">
        <v>0</v>
      </c>
      <c r="AE12" s="49">
        <v>66</v>
      </c>
      <c r="AF12" s="50">
        <v>54.545454545454547</v>
      </c>
      <c r="AG12" s="49">
        <v>121</v>
      </c>
      <c r="AH12" s="80" t="s">
        <v>9606</v>
      </c>
      <c r="AI12" s="80" t="s">
        <v>513</v>
      </c>
      <c r="AJ12" s="80" t="s">
        <v>475</v>
      </c>
      <c r="AK12" s="87" t="s">
        <v>9671</v>
      </c>
      <c r="AL12" s="87" t="s">
        <v>9785</v>
      </c>
      <c r="AM12" s="87"/>
      <c r="AN12" s="87" t="s">
        <v>9822</v>
      </c>
      <c r="AO12" s="87" t="s">
        <v>9844</v>
      </c>
    </row>
    <row r="13" spans="1:41" x14ac:dyDescent="0.25">
      <c r="A13" s="65" t="s">
        <v>1610</v>
      </c>
      <c r="B13" s="66" t="s">
        <v>1625</v>
      </c>
      <c r="C13" s="66" t="s">
        <v>56</v>
      </c>
      <c r="D13" s="107"/>
      <c r="E13" s="14"/>
      <c r="F13" s="15" t="s">
        <v>1610</v>
      </c>
      <c r="G13" s="64"/>
      <c r="H13" s="64"/>
      <c r="I13" s="108">
        <v>13</v>
      </c>
      <c r="J13" s="78"/>
      <c r="K13" s="49">
        <v>3</v>
      </c>
      <c r="L13" s="49">
        <v>3</v>
      </c>
      <c r="M13" s="49">
        <v>0</v>
      </c>
      <c r="N13" s="49">
        <v>3</v>
      </c>
      <c r="O13" s="49">
        <v>1</v>
      </c>
      <c r="P13" s="50">
        <v>0</v>
      </c>
      <c r="Q13" s="50">
        <v>0</v>
      </c>
      <c r="R13" s="49">
        <v>1</v>
      </c>
      <c r="S13" s="49">
        <v>0</v>
      </c>
      <c r="T13" s="49">
        <v>3</v>
      </c>
      <c r="U13" s="49">
        <v>3</v>
      </c>
      <c r="V13" s="49">
        <v>2</v>
      </c>
      <c r="W13" s="50">
        <v>0.88888900000000004</v>
      </c>
      <c r="X13" s="50">
        <v>0.33333333333333331</v>
      </c>
      <c r="Y13" s="49">
        <v>2</v>
      </c>
      <c r="Z13" s="50">
        <v>5.5555555555555554</v>
      </c>
      <c r="AA13" s="49">
        <v>0</v>
      </c>
      <c r="AB13" s="50">
        <v>0</v>
      </c>
      <c r="AC13" s="49">
        <v>0</v>
      </c>
      <c r="AD13" s="50">
        <v>0</v>
      </c>
      <c r="AE13" s="49">
        <v>22</v>
      </c>
      <c r="AF13" s="50">
        <v>61.111111111111114</v>
      </c>
      <c r="AG13" s="49">
        <v>36</v>
      </c>
      <c r="AH13" s="80" t="s">
        <v>9563</v>
      </c>
      <c r="AI13" s="80" t="s">
        <v>517</v>
      </c>
      <c r="AJ13" s="80" t="s">
        <v>496</v>
      </c>
      <c r="AK13" s="87" t="s">
        <v>879</v>
      </c>
      <c r="AL13" s="87" t="s">
        <v>879</v>
      </c>
      <c r="AM13" s="87"/>
      <c r="AN13" s="87" t="s">
        <v>556</v>
      </c>
      <c r="AO13" s="87" t="s">
        <v>556</v>
      </c>
    </row>
    <row r="14" spans="1:41" x14ac:dyDescent="0.25">
      <c r="A14" s="65" t="s">
        <v>1611</v>
      </c>
      <c r="B14" s="66" t="s">
        <v>1626</v>
      </c>
      <c r="C14" s="66" t="s">
        <v>56</v>
      </c>
      <c r="D14" s="107"/>
      <c r="E14" s="14"/>
      <c r="F14" s="15" t="s">
        <v>10086</v>
      </c>
      <c r="G14" s="64"/>
      <c r="H14" s="64"/>
      <c r="I14" s="108">
        <v>14</v>
      </c>
      <c r="J14" s="78"/>
      <c r="K14" s="49">
        <v>3</v>
      </c>
      <c r="L14" s="49">
        <v>1</v>
      </c>
      <c r="M14" s="49">
        <v>2</v>
      </c>
      <c r="N14" s="49">
        <v>3</v>
      </c>
      <c r="O14" s="49">
        <v>0</v>
      </c>
      <c r="P14" s="50">
        <v>0</v>
      </c>
      <c r="Q14" s="50">
        <v>0</v>
      </c>
      <c r="R14" s="49">
        <v>1</v>
      </c>
      <c r="S14" s="49">
        <v>0</v>
      </c>
      <c r="T14" s="49">
        <v>3</v>
      </c>
      <c r="U14" s="49">
        <v>3</v>
      </c>
      <c r="V14" s="49">
        <v>2</v>
      </c>
      <c r="W14" s="50">
        <v>0.88888900000000004</v>
      </c>
      <c r="X14" s="50">
        <v>0.33333333333333331</v>
      </c>
      <c r="Y14" s="49">
        <v>0</v>
      </c>
      <c r="Z14" s="50">
        <v>0</v>
      </c>
      <c r="AA14" s="49">
        <v>0</v>
      </c>
      <c r="AB14" s="50">
        <v>0</v>
      </c>
      <c r="AC14" s="49">
        <v>0</v>
      </c>
      <c r="AD14" s="50">
        <v>0</v>
      </c>
      <c r="AE14" s="49">
        <v>7</v>
      </c>
      <c r="AF14" s="50">
        <v>63.636363636363633</v>
      </c>
      <c r="AG14" s="49">
        <v>11</v>
      </c>
      <c r="AH14" s="80"/>
      <c r="AI14" s="80"/>
      <c r="AJ14" s="80"/>
      <c r="AK14" s="87" t="s">
        <v>311</v>
      </c>
      <c r="AL14" s="87" t="s">
        <v>879</v>
      </c>
      <c r="AM14" s="87" t="s">
        <v>311</v>
      </c>
      <c r="AN14" s="87" t="s">
        <v>310</v>
      </c>
      <c r="AO14" s="87" t="s">
        <v>9845</v>
      </c>
    </row>
    <row r="15" spans="1:41" x14ac:dyDescent="0.25">
      <c r="A15" s="65" t="s">
        <v>1612</v>
      </c>
      <c r="B15" s="66" t="s">
        <v>1615</v>
      </c>
      <c r="C15" s="66" t="s">
        <v>59</v>
      </c>
      <c r="D15" s="107"/>
      <c r="E15" s="14"/>
      <c r="F15" s="15" t="s">
        <v>10087</v>
      </c>
      <c r="G15" s="64"/>
      <c r="H15" s="64"/>
      <c r="I15" s="108">
        <v>15</v>
      </c>
      <c r="J15" s="78"/>
      <c r="K15" s="49">
        <v>3</v>
      </c>
      <c r="L15" s="49">
        <v>3</v>
      </c>
      <c r="M15" s="49">
        <v>0</v>
      </c>
      <c r="N15" s="49">
        <v>3</v>
      </c>
      <c r="O15" s="49">
        <v>3</v>
      </c>
      <c r="P15" s="50" t="s">
        <v>1630</v>
      </c>
      <c r="Q15" s="50" t="s">
        <v>1630</v>
      </c>
      <c r="R15" s="49">
        <v>3</v>
      </c>
      <c r="S15" s="49">
        <v>3</v>
      </c>
      <c r="T15" s="49">
        <v>1</v>
      </c>
      <c r="U15" s="49">
        <v>1</v>
      </c>
      <c r="V15" s="49">
        <v>0</v>
      </c>
      <c r="W15" s="50">
        <v>0</v>
      </c>
      <c r="X15" s="50">
        <v>0</v>
      </c>
      <c r="Y15" s="49">
        <v>7</v>
      </c>
      <c r="Z15" s="50">
        <v>6.666666666666667</v>
      </c>
      <c r="AA15" s="49">
        <v>0</v>
      </c>
      <c r="AB15" s="50">
        <v>0</v>
      </c>
      <c r="AC15" s="49">
        <v>0</v>
      </c>
      <c r="AD15" s="50">
        <v>0</v>
      </c>
      <c r="AE15" s="49">
        <v>62</v>
      </c>
      <c r="AF15" s="50">
        <v>59.047619047619051</v>
      </c>
      <c r="AG15" s="49">
        <v>105</v>
      </c>
      <c r="AH15" s="80" t="s">
        <v>9614</v>
      </c>
      <c r="AI15" s="80" t="s">
        <v>509</v>
      </c>
      <c r="AJ15" s="80"/>
      <c r="AK15" s="87" t="s">
        <v>9672</v>
      </c>
      <c r="AL15" s="87" t="s">
        <v>9786</v>
      </c>
      <c r="AM15" s="87"/>
      <c r="AN15" s="87"/>
      <c r="AO15" s="87" t="s">
        <v>9846</v>
      </c>
    </row>
    <row r="16" spans="1:41" x14ac:dyDescent="0.25">
      <c r="A16" s="65" t="s">
        <v>1613</v>
      </c>
      <c r="B16" s="66" t="s">
        <v>1616</v>
      </c>
      <c r="C16" s="66" t="s">
        <v>59</v>
      </c>
      <c r="D16" s="107"/>
      <c r="E16" s="14"/>
      <c r="F16" s="15" t="s">
        <v>1613</v>
      </c>
      <c r="G16" s="64"/>
      <c r="H16" s="64"/>
      <c r="I16" s="108">
        <v>16</v>
      </c>
      <c r="J16" s="78"/>
      <c r="K16" s="49">
        <v>2</v>
      </c>
      <c r="L16" s="49">
        <v>1</v>
      </c>
      <c r="M16" s="49">
        <v>0</v>
      </c>
      <c r="N16" s="49">
        <v>1</v>
      </c>
      <c r="O16" s="49">
        <v>0</v>
      </c>
      <c r="P16" s="50">
        <v>0</v>
      </c>
      <c r="Q16" s="50">
        <v>0</v>
      </c>
      <c r="R16" s="49">
        <v>1</v>
      </c>
      <c r="S16" s="49">
        <v>0</v>
      </c>
      <c r="T16" s="49">
        <v>2</v>
      </c>
      <c r="U16" s="49">
        <v>1</v>
      </c>
      <c r="V16" s="49">
        <v>1</v>
      </c>
      <c r="W16" s="50">
        <v>0.5</v>
      </c>
      <c r="X16" s="50">
        <v>0.5</v>
      </c>
      <c r="Y16" s="49">
        <v>1</v>
      </c>
      <c r="Z16" s="50">
        <v>5.882352941176471</v>
      </c>
      <c r="AA16" s="49">
        <v>0</v>
      </c>
      <c r="AB16" s="50">
        <v>0</v>
      </c>
      <c r="AC16" s="49">
        <v>0</v>
      </c>
      <c r="AD16" s="50">
        <v>0</v>
      </c>
      <c r="AE16" s="49">
        <v>8</v>
      </c>
      <c r="AF16" s="50">
        <v>47.058823529411768</v>
      </c>
      <c r="AG16" s="49">
        <v>17</v>
      </c>
      <c r="AH16" s="80"/>
      <c r="AI16" s="80"/>
      <c r="AJ16" s="80"/>
      <c r="AK16" s="87" t="s">
        <v>879</v>
      </c>
      <c r="AL16" s="87" t="s">
        <v>879</v>
      </c>
      <c r="AM16" s="87" t="s">
        <v>339</v>
      </c>
      <c r="AN16" s="87"/>
      <c r="AO16" s="87" t="s">
        <v>9847</v>
      </c>
    </row>
    <row r="17" spans="1:41" x14ac:dyDescent="0.25">
      <c r="A17" s="65" t="s">
        <v>1614</v>
      </c>
      <c r="B17" s="66" t="s">
        <v>1617</v>
      </c>
      <c r="C17" s="66" t="s">
        <v>59</v>
      </c>
      <c r="D17" s="107"/>
      <c r="E17" s="14"/>
      <c r="F17" s="15" t="s">
        <v>10088</v>
      </c>
      <c r="G17" s="64"/>
      <c r="H17" s="64"/>
      <c r="I17" s="108">
        <v>17</v>
      </c>
      <c r="J17" s="78"/>
      <c r="K17" s="49">
        <v>2</v>
      </c>
      <c r="L17" s="49">
        <v>2</v>
      </c>
      <c r="M17" s="49">
        <v>0</v>
      </c>
      <c r="N17" s="49">
        <v>2</v>
      </c>
      <c r="O17" s="49">
        <v>1</v>
      </c>
      <c r="P17" s="50">
        <v>0</v>
      </c>
      <c r="Q17" s="50">
        <v>0</v>
      </c>
      <c r="R17" s="49">
        <v>1</v>
      </c>
      <c r="S17" s="49">
        <v>0</v>
      </c>
      <c r="T17" s="49">
        <v>2</v>
      </c>
      <c r="U17" s="49">
        <v>2</v>
      </c>
      <c r="V17" s="49">
        <v>1</v>
      </c>
      <c r="W17" s="50">
        <v>0.5</v>
      </c>
      <c r="X17" s="50">
        <v>0.5</v>
      </c>
      <c r="Y17" s="49">
        <v>4</v>
      </c>
      <c r="Z17" s="50">
        <v>8.695652173913043</v>
      </c>
      <c r="AA17" s="49">
        <v>0</v>
      </c>
      <c r="AB17" s="50">
        <v>0</v>
      </c>
      <c r="AC17" s="49">
        <v>0</v>
      </c>
      <c r="AD17" s="50">
        <v>0</v>
      </c>
      <c r="AE17" s="49">
        <v>22</v>
      </c>
      <c r="AF17" s="50">
        <v>47.826086956521742</v>
      </c>
      <c r="AG17" s="49">
        <v>46</v>
      </c>
      <c r="AH17" s="80" t="s">
        <v>9615</v>
      </c>
      <c r="AI17" s="80" t="s">
        <v>507</v>
      </c>
      <c r="AJ17" s="80"/>
      <c r="AK17" s="87" t="s">
        <v>9673</v>
      </c>
      <c r="AL17" s="87" t="s">
        <v>9787</v>
      </c>
      <c r="AM17" s="87"/>
      <c r="AN17" s="87" t="s">
        <v>292</v>
      </c>
      <c r="AO17" s="87" t="s">
        <v>9848</v>
      </c>
    </row>
  </sheetData>
  <dataConsolidate/>
  <dataValidations count="8">
    <dataValidation allowBlank="1" showInputMessage="1" promptTitle="Group Vertex Color" prompt="To select a color to use for all vertices in the group, right-click and select Select Color on the right-click menu." sqref="B3:B17" xr:uid="{00000000-0002-0000-0300-000000000000}"/>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C17" xr:uid="{00000000-0002-0000-0300-000001000000}">
      <formula1>ValidGroupShapes</formula1>
    </dataValidation>
    <dataValidation allowBlank="1" showInputMessage="1" showErrorMessage="1" promptTitle="Group Name" prompt="Enter the name of the group." sqref="A3:A17" xr:uid="{00000000-0002-0000-0300-000002000000}"/>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E17" xr:uid="{00000000-0002-0000-0300-000003000000}">
      <formula1>ValidBooleansDefaultFalse</formula1>
    </dataValidation>
    <dataValidation allowBlank="1" sqref="K3:K17" xr:uid="{00000000-0002-0000-0300-000004000000}"/>
    <dataValidation allowBlank="1" showInputMessage="1" showErrorMessage="1" errorTitle="Invalid Group Collapsed" error="You have entered an unrecognized &quot;group collapsed.&quot;  Try selecting from the drop-down list instead." promptTitle="Group Label" prompt="Enter an optional group label." sqref="F3:F17" xr:uid="{00000000-0002-0000-0300-000005000000}"/>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17" xr:uid="{00000000-0002-0000-0300-000006000000}"/>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D17" xr:uid="{00000000-0002-0000-0300-000007000000}">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125"/>
  <sheetViews>
    <sheetView workbookViewId="0">
      <selection activeCell="A2" sqref="A2"/>
    </sheetView>
  </sheetViews>
  <sheetFormatPr defaultRowHeight="15" x14ac:dyDescent="0.25"/>
  <cols>
    <col min="1" max="1" width="9.42578125" style="1" bestFit="1" customWidth="1"/>
    <col min="2" max="2" width="9.140625" style="1"/>
    <col min="3" max="3" width="11.5703125" bestFit="1" customWidth="1"/>
    <col min="4" max="4" width="9.140625" customWidth="1"/>
  </cols>
  <sheetData>
    <row r="1" spans="1:3" ht="15" customHeight="1" x14ac:dyDescent="0.25">
      <c r="A1" s="11" t="s">
        <v>144</v>
      </c>
      <c r="B1" s="11" t="s">
        <v>5</v>
      </c>
      <c r="C1" s="11" t="s">
        <v>147</v>
      </c>
    </row>
    <row r="2" spans="1:3" x14ac:dyDescent="0.25">
      <c r="A2" s="80" t="s">
        <v>1600</v>
      </c>
      <c r="B2" s="87" t="s">
        <v>268</v>
      </c>
      <c r="C2" s="80">
        <f>VLOOKUP("~"&amp;GroupVertices[[#This Row],[Vertex]], Vertices[], MATCH("ID", Vertices[#Headers], 0), FALSE)</f>
        <v>13</v>
      </c>
    </row>
    <row r="3" spans="1:3" x14ac:dyDescent="0.25">
      <c r="A3" s="81" t="s">
        <v>1600</v>
      </c>
      <c r="B3" s="87" t="s">
        <v>295</v>
      </c>
      <c r="C3" s="80">
        <f>VLOOKUP("~"&amp;GroupVertices[[#This Row],[Vertex]], Vertices[], MATCH("ID", Vertices[#Headers], 0), FALSE)</f>
        <v>103</v>
      </c>
    </row>
    <row r="4" spans="1:3" x14ac:dyDescent="0.25">
      <c r="A4" s="81" t="s">
        <v>1600</v>
      </c>
      <c r="B4" s="87" t="s">
        <v>350</v>
      </c>
      <c r="C4" s="80">
        <f>VLOOKUP("~"&amp;GroupVertices[[#This Row],[Vertex]], Vertices[], MATCH("ID", Vertices[#Headers], 0), FALSE)</f>
        <v>104</v>
      </c>
    </row>
    <row r="5" spans="1:3" x14ac:dyDescent="0.25">
      <c r="A5" s="81" t="s">
        <v>1600</v>
      </c>
      <c r="B5" s="87" t="s">
        <v>293</v>
      </c>
      <c r="C5" s="80">
        <f>VLOOKUP("~"&amp;GroupVertices[[#This Row],[Vertex]], Vertices[], MATCH("ID", Vertices[#Headers], 0), FALSE)</f>
        <v>99</v>
      </c>
    </row>
    <row r="6" spans="1:3" x14ac:dyDescent="0.25">
      <c r="A6" s="81" t="s">
        <v>1600</v>
      </c>
      <c r="B6" s="87" t="s">
        <v>243</v>
      </c>
      <c r="C6" s="80">
        <f>VLOOKUP("~"&amp;GroupVertices[[#This Row],[Vertex]], Vertices[], MATCH("ID", Vertices[#Headers], 0), FALSE)</f>
        <v>10</v>
      </c>
    </row>
    <row r="7" spans="1:3" x14ac:dyDescent="0.25">
      <c r="A7" s="81" t="s">
        <v>1600</v>
      </c>
      <c r="B7" s="87" t="s">
        <v>349</v>
      </c>
      <c r="C7" s="80">
        <f>VLOOKUP("~"&amp;GroupVertices[[#This Row],[Vertex]], Vertices[], MATCH("ID", Vertices[#Headers], 0), FALSE)</f>
        <v>102</v>
      </c>
    </row>
    <row r="8" spans="1:3" x14ac:dyDescent="0.25">
      <c r="A8" s="81" t="s">
        <v>1600</v>
      </c>
      <c r="B8" s="87" t="s">
        <v>348</v>
      </c>
      <c r="C8" s="80">
        <f>VLOOKUP("~"&amp;GroupVertices[[#This Row],[Vertex]], Vertices[], MATCH("ID", Vertices[#Headers], 0), FALSE)</f>
        <v>101</v>
      </c>
    </row>
    <row r="9" spans="1:3" x14ac:dyDescent="0.25">
      <c r="A9" s="81" t="s">
        <v>1600</v>
      </c>
      <c r="B9" s="87" t="s">
        <v>347</v>
      </c>
      <c r="C9" s="80">
        <f>VLOOKUP("~"&amp;GroupVertices[[#This Row],[Vertex]], Vertices[], MATCH("ID", Vertices[#Headers], 0), FALSE)</f>
        <v>100</v>
      </c>
    </row>
    <row r="10" spans="1:3" x14ac:dyDescent="0.25">
      <c r="A10" s="81" t="s">
        <v>1600</v>
      </c>
      <c r="B10" s="87" t="s">
        <v>283</v>
      </c>
      <c r="C10" s="80">
        <f>VLOOKUP("~"&amp;GroupVertices[[#This Row],[Vertex]], Vertices[], MATCH("ID", Vertices[#Headers], 0), FALSE)</f>
        <v>82</v>
      </c>
    </row>
    <row r="11" spans="1:3" x14ac:dyDescent="0.25">
      <c r="A11" s="81" t="s">
        <v>1600</v>
      </c>
      <c r="B11" s="87" t="s">
        <v>274</v>
      </c>
      <c r="C11" s="80">
        <f>VLOOKUP("~"&amp;GroupVertices[[#This Row],[Vertex]], Vertices[], MATCH("ID", Vertices[#Headers], 0), FALSE)</f>
        <v>61</v>
      </c>
    </row>
    <row r="12" spans="1:3" x14ac:dyDescent="0.25">
      <c r="A12" s="81" t="s">
        <v>1600</v>
      </c>
      <c r="B12" s="87" t="s">
        <v>326</v>
      </c>
      <c r="C12" s="80">
        <f>VLOOKUP("~"&amp;GroupVertices[[#This Row],[Vertex]], Vertices[], MATCH("ID", Vertices[#Headers], 0), FALSE)</f>
        <v>62</v>
      </c>
    </row>
    <row r="13" spans="1:3" x14ac:dyDescent="0.25">
      <c r="A13" s="81" t="s">
        <v>1600</v>
      </c>
      <c r="B13" s="87" t="s">
        <v>273</v>
      </c>
      <c r="C13" s="80">
        <f>VLOOKUP("~"&amp;GroupVertices[[#This Row],[Vertex]], Vertices[], MATCH("ID", Vertices[#Headers], 0), FALSE)</f>
        <v>60</v>
      </c>
    </row>
    <row r="14" spans="1:3" x14ac:dyDescent="0.25">
      <c r="A14" s="81" t="s">
        <v>1600</v>
      </c>
      <c r="B14" s="87" t="s">
        <v>269</v>
      </c>
      <c r="C14" s="80">
        <f>VLOOKUP("~"&amp;GroupVertices[[#This Row],[Vertex]], Vertices[], MATCH("ID", Vertices[#Headers], 0), FALSE)</f>
        <v>55</v>
      </c>
    </row>
    <row r="15" spans="1:3" x14ac:dyDescent="0.25">
      <c r="A15" s="81" t="s">
        <v>1600</v>
      </c>
      <c r="B15" s="87" t="s">
        <v>325</v>
      </c>
      <c r="C15" s="80">
        <f>VLOOKUP("~"&amp;GroupVertices[[#This Row],[Vertex]], Vertices[], MATCH("ID", Vertices[#Headers], 0), FALSE)</f>
        <v>56</v>
      </c>
    </row>
    <row r="16" spans="1:3" x14ac:dyDescent="0.25">
      <c r="A16" s="81" t="s">
        <v>1600</v>
      </c>
      <c r="B16" s="87" t="s">
        <v>324</v>
      </c>
      <c r="C16" s="80">
        <f>VLOOKUP("~"&amp;GroupVertices[[#This Row],[Vertex]], Vertices[], MATCH("ID", Vertices[#Headers], 0), FALSE)</f>
        <v>54</v>
      </c>
    </row>
    <row r="17" spans="1:3" x14ac:dyDescent="0.25">
      <c r="A17" s="81" t="s">
        <v>1600</v>
      </c>
      <c r="B17" s="87" t="s">
        <v>255</v>
      </c>
      <c r="C17" s="80">
        <f>VLOOKUP("~"&amp;GroupVertices[[#This Row],[Vertex]], Vertices[], MATCH("ID", Vertices[#Headers], 0), FALSE)</f>
        <v>38</v>
      </c>
    </row>
    <row r="18" spans="1:3" x14ac:dyDescent="0.25">
      <c r="A18" s="81" t="s">
        <v>1600</v>
      </c>
      <c r="B18" s="87" t="s">
        <v>244</v>
      </c>
      <c r="C18" s="80">
        <f>VLOOKUP("~"&amp;GroupVertices[[#This Row],[Vertex]], Vertices[], MATCH("ID", Vertices[#Headers], 0), FALSE)</f>
        <v>12</v>
      </c>
    </row>
    <row r="19" spans="1:3" x14ac:dyDescent="0.25">
      <c r="A19" s="81" t="s">
        <v>1600</v>
      </c>
      <c r="B19" s="87" t="s">
        <v>309</v>
      </c>
      <c r="C19" s="80">
        <f>VLOOKUP("~"&amp;GroupVertices[[#This Row],[Vertex]], Vertices[], MATCH("ID", Vertices[#Headers], 0), FALSE)</f>
        <v>11</v>
      </c>
    </row>
    <row r="20" spans="1:3" x14ac:dyDescent="0.25">
      <c r="A20" s="81" t="s">
        <v>1601</v>
      </c>
      <c r="B20" s="87" t="s">
        <v>299</v>
      </c>
      <c r="C20" s="80">
        <f>VLOOKUP("~"&amp;GroupVertices[[#This Row],[Vertex]], Vertices[], MATCH("ID", Vertices[#Headers], 0), FALSE)</f>
        <v>109</v>
      </c>
    </row>
    <row r="21" spans="1:3" x14ac:dyDescent="0.25">
      <c r="A21" s="81" t="s">
        <v>1601</v>
      </c>
      <c r="B21" s="87" t="s">
        <v>252</v>
      </c>
      <c r="C21" s="80">
        <f>VLOOKUP("~"&amp;GroupVertices[[#This Row],[Vertex]], Vertices[], MATCH("ID", Vertices[#Headers], 0), FALSE)</f>
        <v>22</v>
      </c>
    </row>
    <row r="22" spans="1:3" x14ac:dyDescent="0.25">
      <c r="A22" s="81" t="s">
        <v>1601</v>
      </c>
      <c r="B22" s="87" t="s">
        <v>312</v>
      </c>
      <c r="C22" s="80">
        <f>VLOOKUP("~"&amp;GroupVertices[[#This Row],[Vertex]], Vertices[], MATCH("ID", Vertices[#Headers], 0), FALSE)</f>
        <v>21</v>
      </c>
    </row>
    <row r="23" spans="1:3" x14ac:dyDescent="0.25">
      <c r="A23" s="81" t="s">
        <v>1601</v>
      </c>
      <c r="B23" s="87" t="s">
        <v>291</v>
      </c>
      <c r="C23" s="80">
        <f>VLOOKUP("~"&amp;GroupVertices[[#This Row],[Vertex]], Vertices[], MATCH("ID", Vertices[#Headers], 0), FALSE)</f>
        <v>98</v>
      </c>
    </row>
    <row r="24" spans="1:3" x14ac:dyDescent="0.25">
      <c r="A24" s="81" t="s">
        <v>1601</v>
      </c>
      <c r="B24" s="87" t="s">
        <v>258</v>
      </c>
      <c r="C24" s="80">
        <f>VLOOKUP("~"&amp;GroupVertices[[#This Row],[Vertex]], Vertices[], MATCH("ID", Vertices[#Headers], 0), FALSE)</f>
        <v>41</v>
      </c>
    </row>
    <row r="25" spans="1:3" x14ac:dyDescent="0.25">
      <c r="A25" s="81" t="s">
        <v>1601</v>
      </c>
      <c r="B25" s="87" t="s">
        <v>267</v>
      </c>
      <c r="C25" s="80">
        <f>VLOOKUP("~"&amp;GroupVertices[[#This Row],[Vertex]], Vertices[], MATCH("ID", Vertices[#Headers], 0), FALSE)</f>
        <v>50</v>
      </c>
    </row>
    <row r="26" spans="1:3" x14ac:dyDescent="0.25">
      <c r="A26" s="81" t="s">
        <v>1601</v>
      </c>
      <c r="B26" s="87" t="s">
        <v>266</v>
      </c>
      <c r="C26" s="80">
        <f>VLOOKUP("~"&amp;GroupVertices[[#This Row],[Vertex]], Vertices[], MATCH("ID", Vertices[#Headers], 0), FALSE)</f>
        <v>49</v>
      </c>
    </row>
    <row r="27" spans="1:3" x14ac:dyDescent="0.25">
      <c r="A27" s="81" t="s">
        <v>1601</v>
      </c>
      <c r="B27" s="87" t="s">
        <v>265</v>
      </c>
      <c r="C27" s="80">
        <f>VLOOKUP("~"&amp;GroupVertices[[#This Row],[Vertex]], Vertices[], MATCH("ID", Vertices[#Headers], 0), FALSE)</f>
        <v>48</v>
      </c>
    </row>
    <row r="28" spans="1:3" x14ac:dyDescent="0.25">
      <c r="A28" s="81" t="s">
        <v>1601</v>
      </c>
      <c r="B28" s="87" t="s">
        <v>262</v>
      </c>
      <c r="C28" s="80">
        <f>VLOOKUP("~"&amp;GroupVertices[[#This Row],[Vertex]], Vertices[], MATCH("ID", Vertices[#Headers], 0), FALSE)</f>
        <v>45</v>
      </c>
    </row>
    <row r="29" spans="1:3" x14ac:dyDescent="0.25">
      <c r="A29" s="81" t="s">
        <v>1601</v>
      </c>
      <c r="B29" s="87" t="s">
        <v>261</v>
      </c>
      <c r="C29" s="80">
        <f>VLOOKUP("~"&amp;GroupVertices[[#This Row],[Vertex]], Vertices[], MATCH("ID", Vertices[#Headers], 0), FALSE)</f>
        <v>35</v>
      </c>
    </row>
    <row r="30" spans="1:3" x14ac:dyDescent="0.25">
      <c r="A30" s="81" t="s">
        <v>1601</v>
      </c>
      <c r="B30" s="87" t="s">
        <v>259</v>
      </c>
      <c r="C30" s="80">
        <f>VLOOKUP("~"&amp;GroupVertices[[#This Row],[Vertex]], Vertices[], MATCH("ID", Vertices[#Headers], 0), FALSE)</f>
        <v>42</v>
      </c>
    </row>
    <row r="31" spans="1:3" x14ac:dyDescent="0.25">
      <c r="A31" s="81" t="s">
        <v>1601</v>
      </c>
      <c r="B31" s="87" t="s">
        <v>320</v>
      </c>
      <c r="C31" s="80">
        <f>VLOOKUP("~"&amp;GroupVertices[[#This Row],[Vertex]], Vertices[], MATCH("ID", Vertices[#Headers], 0), FALSE)</f>
        <v>37</v>
      </c>
    </row>
    <row r="32" spans="1:3" x14ac:dyDescent="0.25">
      <c r="A32" s="81" t="s">
        <v>1601</v>
      </c>
      <c r="B32" s="87" t="s">
        <v>257</v>
      </c>
      <c r="C32" s="80">
        <f>VLOOKUP("~"&amp;GroupVertices[[#This Row],[Vertex]], Vertices[], MATCH("ID", Vertices[#Headers], 0), FALSE)</f>
        <v>40</v>
      </c>
    </row>
    <row r="33" spans="1:3" x14ac:dyDescent="0.25">
      <c r="A33" s="81" t="s">
        <v>1601</v>
      </c>
      <c r="B33" s="87" t="s">
        <v>256</v>
      </c>
      <c r="C33" s="80">
        <f>VLOOKUP("~"&amp;GroupVertices[[#This Row],[Vertex]], Vertices[], MATCH("ID", Vertices[#Headers], 0), FALSE)</f>
        <v>39</v>
      </c>
    </row>
    <row r="34" spans="1:3" x14ac:dyDescent="0.25">
      <c r="A34" s="81" t="s">
        <v>1601</v>
      </c>
      <c r="B34" s="87" t="s">
        <v>254</v>
      </c>
      <c r="C34" s="80">
        <f>VLOOKUP("~"&amp;GroupVertices[[#This Row],[Vertex]], Vertices[], MATCH("ID", Vertices[#Headers], 0), FALSE)</f>
        <v>36</v>
      </c>
    </row>
    <row r="35" spans="1:3" x14ac:dyDescent="0.25">
      <c r="A35" s="81" t="s">
        <v>1601</v>
      </c>
      <c r="B35" s="87" t="s">
        <v>319</v>
      </c>
      <c r="C35" s="80">
        <f>VLOOKUP("~"&amp;GroupVertices[[#This Row],[Vertex]], Vertices[], MATCH("ID", Vertices[#Headers], 0), FALSE)</f>
        <v>33</v>
      </c>
    </row>
    <row r="36" spans="1:3" x14ac:dyDescent="0.25">
      <c r="A36" s="81" t="s">
        <v>1601</v>
      </c>
      <c r="B36" s="87" t="s">
        <v>318</v>
      </c>
      <c r="C36" s="80">
        <f>VLOOKUP("~"&amp;GroupVertices[[#This Row],[Vertex]], Vertices[], MATCH("ID", Vertices[#Headers], 0), FALSE)</f>
        <v>32</v>
      </c>
    </row>
    <row r="37" spans="1:3" x14ac:dyDescent="0.25">
      <c r="A37" s="81" t="s">
        <v>1601</v>
      </c>
      <c r="B37" s="87" t="s">
        <v>247</v>
      </c>
      <c r="C37" s="80">
        <f>VLOOKUP("~"&amp;GroupVertices[[#This Row],[Vertex]], Vertices[], MATCH("ID", Vertices[#Headers], 0), FALSE)</f>
        <v>20</v>
      </c>
    </row>
    <row r="38" spans="1:3" x14ac:dyDescent="0.25">
      <c r="A38" s="81" t="s">
        <v>1602</v>
      </c>
      <c r="B38" s="87" t="s">
        <v>288</v>
      </c>
      <c r="C38" s="80">
        <f>VLOOKUP("~"&amp;GroupVertices[[#This Row],[Vertex]], Vertices[], MATCH("ID", Vertices[#Headers], 0), FALSE)</f>
        <v>65</v>
      </c>
    </row>
    <row r="39" spans="1:3" x14ac:dyDescent="0.25">
      <c r="A39" s="81" t="s">
        <v>1602</v>
      </c>
      <c r="B39" s="87" t="s">
        <v>346</v>
      </c>
      <c r="C39" s="80">
        <f>VLOOKUP("~"&amp;GroupVertices[[#This Row],[Vertex]], Vertices[], MATCH("ID", Vertices[#Headers], 0), FALSE)</f>
        <v>96</v>
      </c>
    </row>
    <row r="40" spans="1:3" x14ac:dyDescent="0.25">
      <c r="A40" s="81" t="s">
        <v>1602</v>
      </c>
      <c r="B40" s="87" t="s">
        <v>345</v>
      </c>
      <c r="C40" s="80">
        <f>VLOOKUP("~"&amp;GroupVertices[[#This Row],[Vertex]], Vertices[], MATCH("ID", Vertices[#Headers], 0), FALSE)</f>
        <v>95</v>
      </c>
    </row>
    <row r="41" spans="1:3" x14ac:dyDescent="0.25">
      <c r="A41" s="81" t="s">
        <v>1602</v>
      </c>
      <c r="B41" s="87" t="s">
        <v>249</v>
      </c>
      <c r="C41" s="80">
        <f>VLOOKUP("~"&amp;GroupVertices[[#This Row],[Vertex]], Vertices[], MATCH("ID", Vertices[#Headers], 0), FALSE)</f>
        <v>8</v>
      </c>
    </row>
    <row r="42" spans="1:3" x14ac:dyDescent="0.25">
      <c r="A42" s="81" t="s">
        <v>1602</v>
      </c>
      <c r="B42" s="87" t="s">
        <v>277</v>
      </c>
      <c r="C42" s="80">
        <f>VLOOKUP("~"&amp;GroupVertices[[#This Row],[Vertex]], Vertices[], MATCH("ID", Vertices[#Headers], 0), FALSE)</f>
        <v>64</v>
      </c>
    </row>
    <row r="43" spans="1:3" x14ac:dyDescent="0.25">
      <c r="A43" s="81" t="s">
        <v>1602</v>
      </c>
      <c r="B43" s="87" t="s">
        <v>327</v>
      </c>
      <c r="C43" s="80">
        <f>VLOOKUP("~"&amp;GroupVertices[[#This Row],[Vertex]], Vertices[], MATCH("ID", Vertices[#Headers], 0), FALSE)</f>
        <v>67</v>
      </c>
    </row>
    <row r="44" spans="1:3" x14ac:dyDescent="0.25">
      <c r="A44" s="81" t="s">
        <v>1602</v>
      </c>
      <c r="B44" s="87" t="s">
        <v>307</v>
      </c>
      <c r="C44" s="80">
        <f>VLOOKUP("~"&amp;GroupVertices[[#This Row],[Vertex]], Vertices[], MATCH("ID", Vertices[#Headers], 0), FALSE)</f>
        <v>66</v>
      </c>
    </row>
    <row r="45" spans="1:3" x14ac:dyDescent="0.25">
      <c r="A45" s="81" t="s">
        <v>1602</v>
      </c>
      <c r="B45" s="87" t="s">
        <v>276</v>
      </c>
      <c r="C45" s="80">
        <f>VLOOKUP("~"&amp;GroupVertices[[#This Row],[Vertex]], Vertices[], MATCH("ID", Vertices[#Headers], 0), FALSE)</f>
        <v>63</v>
      </c>
    </row>
    <row r="46" spans="1:3" x14ac:dyDescent="0.25">
      <c r="A46" s="81" t="s">
        <v>1602</v>
      </c>
      <c r="B46" s="87" t="s">
        <v>275</v>
      </c>
      <c r="C46" s="80">
        <f>VLOOKUP("~"&amp;GroupVertices[[#This Row],[Vertex]], Vertices[], MATCH("ID", Vertices[#Headers], 0), FALSE)</f>
        <v>7</v>
      </c>
    </row>
    <row r="47" spans="1:3" x14ac:dyDescent="0.25">
      <c r="A47" s="81" t="s">
        <v>1602</v>
      </c>
      <c r="B47" s="87" t="s">
        <v>272</v>
      </c>
      <c r="C47" s="80">
        <f>VLOOKUP("~"&amp;GroupVertices[[#This Row],[Vertex]], Vertices[], MATCH("ID", Vertices[#Headers], 0), FALSE)</f>
        <v>59</v>
      </c>
    </row>
    <row r="48" spans="1:3" x14ac:dyDescent="0.25">
      <c r="A48" s="81" t="s">
        <v>1602</v>
      </c>
      <c r="B48" s="87" t="s">
        <v>271</v>
      </c>
      <c r="C48" s="80">
        <f>VLOOKUP("~"&amp;GroupVertices[[#This Row],[Vertex]], Vertices[], MATCH("ID", Vertices[#Headers], 0), FALSE)</f>
        <v>58</v>
      </c>
    </row>
    <row r="49" spans="1:3" x14ac:dyDescent="0.25">
      <c r="A49" s="81" t="s">
        <v>1602</v>
      </c>
      <c r="B49" s="87" t="s">
        <v>323</v>
      </c>
      <c r="C49" s="80">
        <f>VLOOKUP("~"&amp;GroupVertices[[#This Row],[Vertex]], Vertices[], MATCH("ID", Vertices[#Headers], 0), FALSE)</f>
        <v>53</v>
      </c>
    </row>
    <row r="50" spans="1:3" x14ac:dyDescent="0.25">
      <c r="A50" s="81" t="s">
        <v>1602</v>
      </c>
      <c r="B50" s="87" t="s">
        <v>321</v>
      </c>
      <c r="C50" s="80">
        <f>VLOOKUP("~"&amp;GroupVertices[[#This Row],[Vertex]], Vertices[], MATCH("ID", Vertices[#Headers], 0), FALSE)</f>
        <v>51</v>
      </c>
    </row>
    <row r="51" spans="1:3" x14ac:dyDescent="0.25">
      <c r="A51" s="81" t="s">
        <v>1602</v>
      </c>
      <c r="B51" s="87" t="s">
        <v>317</v>
      </c>
      <c r="C51" s="80">
        <f>VLOOKUP("~"&amp;GroupVertices[[#This Row],[Vertex]], Vertices[], MATCH("ID", Vertices[#Headers], 0), FALSE)</f>
        <v>28</v>
      </c>
    </row>
    <row r="52" spans="1:3" x14ac:dyDescent="0.25">
      <c r="A52" s="81" t="s">
        <v>1602</v>
      </c>
      <c r="B52" s="87" t="s">
        <v>242</v>
      </c>
      <c r="C52" s="80">
        <f>VLOOKUP("~"&amp;GroupVertices[[#This Row],[Vertex]], Vertices[], MATCH("ID", Vertices[#Headers], 0), FALSE)</f>
        <v>9</v>
      </c>
    </row>
    <row r="53" spans="1:3" x14ac:dyDescent="0.25">
      <c r="A53" s="81" t="s">
        <v>1602</v>
      </c>
      <c r="B53" s="87" t="s">
        <v>241</v>
      </c>
      <c r="C53" s="80">
        <f>VLOOKUP("~"&amp;GroupVertices[[#This Row],[Vertex]], Vertices[], MATCH("ID", Vertices[#Headers], 0), FALSE)</f>
        <v>5</v>
      </c>
    </row>
    <row r="54" spans="1:3" x14ac:dyDescent="0.25">
      <c r="A54" s="81" t="s">
        <v>1603</v>
      </c>
      <c r="B54" s="87" t="s">
        <v>287</v>
      </c>
      <c r="C54" s="80">
        <f>VLOOKUP("~"&amp;GroupVertices[[#This Row],[Vertex]], Vertices[], MATCH("ID", Vertices[#Headers], 0), FALSE)</f>
        <v>89</v>
      </c>
    </row>
    <row r="55" spans="1:3" x14ac:dyDescent="0.25">
      <c r="A55" s="81" t="s">
        <v>1603</v>
      </c>
      <c r="B55" s="87" t="s">
        <v>344</v>
      </c>
      <c r="C55" s="80">
        <f>VLOOKUP("~"&amp;GroupVertices[[#This Row],[Vertex]], Vertices[], MATCH("ID", Vertices[#Headers], 0), FALSE)</f>
        <v>94</v>
      </c>
    </row>
    <row r="56" spans="1:3" x14ac:dyDescent="0.25">
      <c r="A56" s="81" t="s">
        <v>1603</v>
      </c>
      <c r="B56" s="87" t="s">
        <v>343</v>
      </c>
      <c r="C56" s="80">
        <f>VLOOKUP("~"&amp;GroupVertices[[#This Row],[Vertex]], Vertices[], MATCH("ID", Vertices[#Headers], 0), FALSE)</f>
        <v>93</v>
      </c>
    </row>
    <row r="57" spans="1:3" x14ac:dyDescent="0.25">
      <c r="A57" s="81" t="s">
        <v>1603</v>
      </c>
      <c r="B57" s="87" t="s">
        <v>342</v>
      </c>
      <c r="C57" s="80">
        <f>VLOOKUP("~"&amp;GroupVertices[[#This Row],[Vertex]], Vertices[], MATCH("ID", Vertices[#Headers], 0), FALSE)</f>
        <v>92</v>
      </c>
    </row>
    <row r="58" spans="1:3" x14ac:dyDescent="0.25">
      <c r="A58" s="81" t="s">
        <v>1603</v>
      </c>
      <c r="B58" s="87" t="s">
        <v>341</v>
      </c>
      <c r="C58" s="80">
        <f>VLOOKUP("~"&amp;GroupVertices[[#This Row],[Vertex]], Vertices[], MATCH("ID", Vertices[#Headers], 0), FALSE)</f>
        <v>91</v>
      </c>
    </row>
    <row r="59" spans="1:3" x14ac:dyDescent="0.25">
      <c r="A59" s="81" t="s">
        <v>1603</v>
      </c>
      <c r="B59" s="87" t="s">
        <v>340</v>
      </c>
      <c r="C59" s="80">
        <f>VLOOKUP("~"&amp;GroupVertices[[#This Row],[Vertex]], Vertices[], MATCH("ID", Vertices[#Headers], 0), FALSE)</f>
        <v>90</v>
      </c>
    </row>
    <row r="60" spans="1:3" x14ac:dyDescent="0.25">
      <c r="A60" s="81" t="s">
        <v>1603</v>
      </c>
      <c r="B60" s="87" t="s">
        <v>280</v>
      </c>
      <c r="C60" s="80">
        <f>VLOOKUP("~"&amp;GroupVertices[[#This Row],[Vertex]], Vertices[], MATCH("ID", Vertices[#Headers], 0), FALSE)</f>
        <v>70</v>
      </c>
    </row>
    <row r="61" spans="1:3" x14ac:dyDescent="0.25">
      <c r="A61" s="81" t="s">
        <v>1603</v>
      </c>
      <c r="B61" s="87" t="s">
        <v>334</v>
      </c>
      <c r="C61" s="80">
        <f>VLOOKUP("~"&amp;GroupVertices[[#This Row],[Vertex]], Vertices[], MATCH("ID", Vertices[#Headers], 0), FALSE)</f>
        <v>77</v>
      </c>
    </row>
    <row r="62" spans="1:3" x14ac:dyDescent="0.25">
      <c r="A62" s="81" t="s">
        <v>1603</v>
      </c>
      <c r="B62" s="87" t="s">
        <v>333</v>
      </c>
      <c r="C62" s="80">
        <f>VLOOKUP("~"&amp;GroupVertices[[#This Row],[Vertex]], Vertices[], MATCH("ID", Vertices[#Headers], 0), FALSE)</f>
        <v>76</v>
      </c>
    </row>
    <row r="63" spans="1:3" x14ac:dyDescent="0.25">
      <c r="A63" s="81" t="s">
        <v>1603</v>
      </c>
      <c r="B63" s="87" t="s">
        <v>332</v>
      </c>
      <c r="C63" s="80">
        <f>VLOOKUP("~"&amp;GroupVertices[[#This Row],[Vertex]], Vertices[], MATCH("ID", Vertices[#Headers], 0), FALSE)</f>
        <v>75</v>
      </c>
    </row>
    <row r="64" spans="1:3" x14ac:dyDescent="0.25">
      <c r="A64" s="81" t="s">
        <v>1603</v>
      </c>
      <c r="B64" s="87" t="s">
        <v>331</v>
      </c>
      <c r="C64" s="80">
        <f>VLOOKUP("~"&amp;GroupVertices[[#This Row],[Vertex]], Vertices[], MATCH("ID", Vertices[#Headers], 0), FALSE)</f>
        <v>74</v>
      </c>
    </row>
    <row r="65" spans="1:3" x14ac:dyDescent="0.25">
      <c r="A65" s="81" t="s">
        <v>1603</v>
      </c>
      <c r="B65" s="87" t="s">
        <v>330</v>
      </c>
      <c r="C65" s="80">
        <f>VLOOKUP("~"&amp;GroupVertices[[#This Row],[Vertex]], Vertices[], MATCH("ID", Vertices[#Headers], 0), FALSE)</f>
        <v>73</v>
      </c>
    </row>
    <row r="66" spans="1:3" x14ac:dyDescent="0.25">
      <c r="A66" s="81" t="s">
        <v>1603</v>
      </c>
      <c r="B66" s="87" t="s">
        <v>329</v>
      </c>
      <c r="C66" s="80">
        <f>VLOOKUP("~"&amp;GroupVertices[[#This Row],[Vertex]], Vertices[], MATCH("ID", Vertices[#Headers], 0), FALSE)</f>
        <v>72</v>
      </c>
    </row>
    <row r="67" spans="1:3" x14ac:dyDescent="0.25">
      <c r="A67" s="81" t="s">
        <v>1603</v>
      </c>
      <c r="B67" s="87" t="s">
        <v>328</v>
      </c>
      <c r="C67" s="80">
        <f>VLOOKUP("~"&amp;GroupVertices[[#This Row],[Vertex]], Vertices[], MATCH("ID", Vertices[#Headers], 0), FALSE)</f>
        <v>71</v>
      </c>
    </row>
    <row r="68" spans="1:3" x14ac:dyDescent="0.25">
      <c r="A68" s="81" t="s">
        <v>1603</v>
      </c>
      <c r="B68" s="87" t="s">
        <v>279</v>
      </c>
      <c r="C68" s="80">
        <f>VLOOKUP("~"&amp;GroupVertices[[#This Row],[Vertex]], Vertices[], MATCH("ID", Vertices[#Headers], 0), FALSE)</f>
        <v>69</v>
      </c>
    </row>
    <row r="69" spans="1:3" x14ac:dyDescent="0.25">
      <c r="A69" s="81" t="s">
        <v>1604</v>
      </c>
      <c r="B69" s="87" t="s">
        <v>301</v>
      </c>
      <c r="C69" s="80">
        <f>VLOOKUP("~"&amp;GroupVertices[[#This Row],[Vertex]], Vertices[], MATCH("ID", Vertices[#Headers], 0), FALSE)</f>
        <v>111</v>
      </c>
    </row>
    <row r="70" spans="1:3" x14ac:dyDescent="0.25">
      <c r="A70" s="81" t="s">
        <v>1604</v>
      </c>
      <c r="B70" s="87" t="s">
        <v>358</v>
      </c>
      <c r="C70" s="80">
        <f>VLOOKUP("~"&amp;GroupVertices[[#This Row],[Vertex]], Vertices[], MATCH("ID", Vertices[#Headers], 0), FALSE)</f>
        <v>120</v>
      </c>
    </row>
    <row r="71" spans="1:3" x14ac:dyDescent="0.25">
      <c r="A71" s="81" t="s">
        <v>1604</v>
      </c>
      <c r="B71" s="87" t="s">
        <v>357</v>
      </c>
      <c r="C71" s="80">
        <f>VLOOKUP("~"&amp;GroupVertices[[#This Row],[Vertex]], Vertices[], MATCH("ID", Vertices[#Headers], 0), FALSE)</f>
        <v>119</v>
      </c>
    </row>
    <row r="72" spans="1:3" x14ac:dyDescent="0.25">
      <c r="A72" s="81" t="s">
        <v>1604</v>
      </c>
      <c r="B72" s="87" t="s">
        <v>303</v>
      </c>
      <c r="C72" s="80">
        <f>VLOOKUP("~"&amp;GroupVertices[[#This Row],[Vertex]], Vertices[], MATCH("ID", Vertices[#Headers], 0), FALSE)</f>
        <v>115</v>
      </c>
    </row>
    <row r="73" spans="1:3" x14ac:dyDescent="0.25">
      <c r="A73" s="81" t="s">
        <v>1604</v>
      </c>
      <c r="B73" s="87" t="s">
        <v>356</v>
      </c>
      <c r="C73" s="80">
        <f>VLOOKUP("~"&amp;GroupVertices[[#This Row],[Vertex]], Vertices[], MATCH("ID", Vertices[#Headers], 0), FALSE)</f>
        <v>118</v>
      </c>
    </row>
    <row r="74" spans="1:3" x14ac:dyDescent="0.25">
      <c r="A74" s="81" t="s">
        <v>1604</v>
      </c>
      <c r="B74" s="87" t="s">
        <v>355</v>
      </c>
      <c r="C74" s="80">
        <f>VLOOKUP("~"&amp;GroupVertices[[#This Row],[Vertex]], Vertices[], MATCH("ID", Vertices[#Headers], 0), FALSE)</f>
        <v>117</v>
      </c>
    </row>
    <row r="75" spans="1:3" x14ac:dyDescent="0.25">
      <c r="A75" s="81" t="s">
        <v>1604</v>
      </c>
      <c r="B75" s="87" t="s">
        <v>354</v>
      </c>
      <c r="C75" s="80">
        <f>VLOOKUP("~"&amp;GroupVertices[[#This Row],[Vertex]], Vertices[], MATCH("ID", Vertices[#Headers], 0), FALSE)</f>
        <v>116</v>
      </c>
    </row>
    <row r="76" spans="1:3" x14ac:dyDescent="0.25">
      <c r="A76" s="81" t="s">
        <v>1604</v>
      </c>
      <c r="B76" s="87" t="s">
        <v>298</v>
      </c>
      <c r="C76" s="80">
        <f>VLOOKUP("~"&amp;GroupVertices[[#This Row],[Vertex]], Vertices[], MATCH("ID", Vertices[#Headers], 0), FALSE)</f>
        <v>107</v>
      </c>
    </row>
    <row r="77" spans="1:3" x14ac:dyDescent="0.25">
      <c r="A77" s="81" t="s">
        <v>1604</v>
      </c>
      <c r="B77" s="87" t="s">
        <v>353</v>
      </c>
      <c r="C77" s="80">
        <f>VLOOKUP("~"&amp;GroupVertices[[#This Row],[Vertex]], Vertices[], MATCH("ID", Vertices[#Headers], 0), FALSE)</f>
        <v>113</v>
      </c>
    </row>
    <row r="78" spans="1:3" x14ac:dyDescent="0.25">
      <c r="A78" s="81" t="s">
        <v>1604</v>
      </c>
      <c r="B78" s="87" t="s">
        <v>352</v>
      </c>
      <c r="C78" s="80">
        <f>VLOOKUP("~"&amp;GroupVertices[[#This Row],[Vertex]], Vertices[], MATCH("ID", Vertices[#Headers], 0), FALSE)</f>
        <v>112</v>
      </c>
    </row>
    <row r="79" spans="1:3" x14ac:dyDescent="0.25">
      <c r="A79" s="81" t="s">
        <v>1604</v>
      </c>
      <c r="B79" s="87" t="s">
        <v>300</v>
      </c>
      <c r="C79" s="80">
        <f>VLOOKUP("~"&amp;GroupVertices[[#This Row],[Vertex]], Vertices[], MATCH("ID", Vertices[#Headers], 0), FALSE)</f>
        <v>110</v>
      </c>
    </row>
    <row r="80" spans="1:3" x14ac:dyDescent="0.25">
      <c r="A80" s="81" t="s">
        <v>1604</v>
      </c>
      <c r="B80" s="87" t="s">
        <v>351</v>
      </c>
      <c r="C80" s="80">
        <f>VLOOKUP("~"&amp;GroupVertices[[#This Row],[Vertex]], Vertices[], MATCH("ID", Vertices[#Headers], 0), FALSE)</f>
        <v>108</v>
      </c>
    </row>
    <row r="81" spans="1:3" x14ac:dyDescent="0.25">
      <c r="A81" s="81" t="s">
        <v>1605</v>
      </c>
      <c r="B81" s="87" t="s">
        <v>294</v>
      </c>
      <c r="C81" s="80">
        <f>VLOOKUP("~"&amp;GroupVertices[[#This Row],[Vertex]], Vertices[], MATCH("ID", Vertices[#Headers], 0), FALSE)</f>
        <v>81</v>
      </c>
    </row>
    <row r="82" spans="1:3" x14ac:dyDescent="0.25">
      <c r="A82" s="81" t="s">
        <v>1605</v>
      </c>
      <c r="B82" s="87" t="s">
        <v>281</v>
      </c>
      <c r="C82" s="80">
        <f>VLOOKUP("~"&amp;GroupVertices[[#This Row],[Vertex]], Vertices[], MATCH("ID", Vertices[#Headers], 0), FALSE)</f>
        <v>78</v>
      </c>
    </row>
    <row r="83" spans="1:3" x14ac:dyDescent="0.25">
      <c r="A83" s="81" t="s">
        <v>1605</v>
      </c>
      <c r="B83" s="87" t="s">
        <v>336</v>
      </c>
      <c r="C83" s="80">
        <f>VLOOKUP("~"&amp;GroupVertices[[#This Row],[Vertex]], Vertices[], MATCH("ID", Vertices[#Headers], 0), FALSE)</f>
        <v>80</v>
      </c>
    </row>
    <row r="84" spans="1:3" x14ac:dyDescent="0.25">
      <c r="A84" s="81" t="s">
        <v>1605</v>
      </c>
      <c r="B84" s="87" t="s">
        <v>282</v>
      </c>
      <c r="C84" s="80">
        <f>VLOOKUP("~"&amp;GroupVertices[[#This Row],[Vertex]], Vertices[], MATCH("ID", Vertices[#Headers], 0), FALSE)</f>
        <v>3</v>
      </c>
    </row>
    <row r="85" spans="1:3" x14ac:dyDescent="0.25">
      <c r="A85" s="81" t="s">
        <v>1605</v>
      </c>
      <c r="B85" s="87" t="s">
        <v>335</v>
      </c>
      <c r="C85" s="80">
        <f>VLOOKUP("~"&amp;GroupVertices[[#This Row],[Vertex]], Vertices[], MATCH("ID", Vertices[#Headers], 0), FALSE)</f>
        <v>79</v>
      </c>
    </row>
    <row r="86" spans="1:3" x14ac:dyDescent="0.25">
      <c r="A86" s="81" t="s">
        <v>1605</v>
      </c>
      <c r="B86" s="87" t="s">
        <v>322</v>
      </c>
      <c r="C86" s="80">
        <f>VLOOKUP("~"&amp;GroupVertices[[#This Row],[Vertex]], Vertices[], MATCH("ID", Vertices[#Headers], 0), FALSE)</f>
        <v>52</v>
      </c>
    </row>
    <row r="87" spans="1:3" x14ac:dyDescent="0.25">
      <c r="A87" s="81" t="s">
        <v>1605</v>
      </c>
      <c r="B87" s="87" t="s">
        <v>248</v>
      </c>
      <c r="C87" s="80">
        <f>VLOOKUP("~"&amp;GroupVertices[[#This Row],[Vertex]], Vertices[], MATCH("ID", Vertices[#Headers], 0), FALSE)</f>
        <v>23</v>
      </c>
    </row>
    <row r="88" spans="1:3" x14ac:dyDescent="0.25">
      <c r="A88" s="81" t="s">
        <v>1605</v>
      </c>
      <c r="B88" s="87" t="s">
        <v>316</v>
      </c>
      <c r="C88" s="80">
        <f>VLOOKUP("~"&amp;GroupVertices[[#This Row],[Vertex]], Vertices[], MATCH("ID", Vertices[#Headers], 0), FALSE)</f>
        <v>27</v>
      </c>
    </row>
    <row r="89" spans="1:3" x14ac:dyDescent="0.25">
      <c r="A89" s="81" t="s">
        <v>1605</v>
      </c>
      <c r="B89" s="87" t="s">
        <v>315</v>
      </c>
      <c r="C89" s="80">
        <f>VLOOKUP("~"&amp;GroupVertices[[#This Row],[Vertex]], Vertices[], MATCH("ID", Vertices[#Headers], 0), FALSE)</f>
        <v>26</v>
      </c>
    </row>
    <row r="90" spans="1:3" x14ac:dyDescent="0.25">
      <c r="A90" s="81" t="s">
        <v>1605</v>
      </c>
      <c r="B90" s="87" t="s">
        <v>314</v>
      </c>
      <c r="C90" s="80">
        <f>VLOOKUP("~"&amp;GroupVertices[[#This Row],[Vertex]], Vertices[], MATCH("ID", Vertices[#Headers], 0), FALSE)</f>
        <v>25</v>
      </c>
    </row>
    <row r="91" spans="1:3" x14ac:dyDescent="0.25">
      <c r="A91" s="81" t="s">
        <v>1605</v>
      </c>
      <c r="B91" s="87" t="s">
        <v>313</v>
      </c>
      <c r="C91" s="80">
        <f>VLOOKUP("~"&amp;GroupVertices[[#This Row],[Vertex]], Vertices[], MATCH("ID", Vertices[#Headers], 0), FALSE)</f>
        <v>24</v>
      </c>
    </row>
    <row r="92" spans="1:3" x14ac:dyDescent="0.25">
      <c r="A92" s="81" t="s">
        <v>1605</v>
      </c>
      <c r="B92" s="87" t="s">
        <v>364</v>
      </c>
      <c r="C92" s="80">
        <f>VLOOKUP("~"&amp;GroupVertices[[#This Row],[Vertex]], Vertices[], MATCH("ID", Vertices[#Headers], 0), FALSE)</f>
        <v>4</v>
      </c>
    </row>
    <row r="93" spans="1:3" x14ac:dyDescent="0.25">
      <c r="A93" s="81" t="s">
        <v>1606</v>
      </c>
      <c r="B93" s="87" t="s">
        <v>306</v>
      </c>
      <c r="C93" s="80">
        <f>VLOOKUP("~"&amp;GroupVertices[[#This Row],[Vertex]], Vertices[], MATCH("ID", Vertices[#Headers], 0), FALSE)</f>
        <v>30</v>
      </c>
    </row>
    <row r="94" spans="1:3" x14ac:dyDescent="0.25">
      <c r="A94" s="81" t="s">
        <v>1606</v>
      </c>
      <c r="B94" s="87" t="s">
        <v>361</v>
      </c>
      <c r="C94" s="80">
        <f>VLOOKUP("~"&amp;GroupVertices[[#This Row],[Vertex]], Vertices[], MATCH("ID", Vertices[#Headers], 0), FALSE)</f>
        <v>124</v>
      </c>
    </row>
    <row r="95" spans="1:3" x14ac:dyDescent="0.25">
      <c r="A95" s="81" t="s">
        <v>1606</v>
      </c>
      <c r="B95" s="87" t="s">
        <v>360</v>
      </c>
      <c r="C95" s="80">
        <f>VLOOKUP("~"&amp;GroupVertices[[#This Row],[Vertex]], Vertices[], MATCH("ID", Vertices[#Headers], 0), FALSE)</f>
        <v>123</v>
      </c>
    </row>
    <row r="96" spans="1:3" x14ac:dyDescent="0.25">
      <c r="A96" s="81" t="s">
        <v>1606</v>
      </c>
      <c r="B96" s="87" t="s">
        <v>359</v>
      </c>
      <c r="C96" s="80">
        <f>VLOOKUP("~"&amp;GroupVertices[[#This Row],[Vertex]], Vertices[], MATCH("ID", Vertices[#Headers], 0), FALSE)</f>
        <v>122</v>
      </c>
    </row>
    <row r="97" spans="1:3" x14ac:dyDescent="0.25">
      <c r="A97" s="81" t="s">
        <v>1606</v>
      </c>
      <c r="B97" s="87" t="s">
        <v>297</v>
      </c>
      <c r="C97" s="80">
        <f>VLOOKUP("~"&amp;GroupVertices[[#This Row],[Vertex]], Vertices[], MATCH("ID", Vertices[#Headers], 0), FALSE)</f>
        <v>106</v>
      </c>
    </row>
    <row r="98" spans="1:3" x14ac:dyDescent="0.25">
      <c r="A98" s="81" t="s">
        <v>1606</v>
      </c>
      <c r="B98" s="87" t="s">
        <v>286</v>
      </c>
      <c r="C98" s="80">
        <f>VLOOKUP("~"&amp;GroupVertices[[#This Row],[Vertex]], Vertices[], MATCH("ID", Vertices[#Headers], 0), FALSE)</f>
        <v>88</v>
      </c>
    </row>
    <row r="99" spans="1:3" x14ac:dyDescent="0.25">
      <c r="A99" s="81" t="s">
        <v>1606</v>
      </c>
      <c r="B99" s="87" t="s">
        <v>264</v>
      </c>
      <c r="C99" s="80">
        <f>VLOOKUP("~"&amp;GroupVertices[[#This Row],[Vertex]], Vertices[], MATCH("ID", Vertices[#Headers], 0), FALSE)</f>
        <v>47</v>
      </c>
    </row>
    <row r="100" spans="1:3" x14ac:dyDescent="0.25">
      <c r="A100" s="81" t="s">
        <v>1606</v>
      </c>
      <c r="B100" s="87" t="s">
        <v>250</v>
      </c>
      <c r="C100" s="80">
        <f>VLOOKUP("~"&amp;GroupVertices[[#This Row],[Vertex]], Vertices[], MATCH("ID", Vertices[#Headers], 0), FALSE)</f>
        <v>29</v>
      </c>
    </row>
    <row r="101" spans="1:3" x14ac:dyDescent="0.25">
      <c r="A101" s="81" t="s">
        <v>1607</v>
      </c>
      <c r="B101" s="87" t="s">
        <v>305</v>
      </c>
      <c r="C101" s="80">
        <f>VLOOKUP("~"&amp;GroupVertices[[#This Row],[Vertex]], Vertices[], MATCH("ID", Vertices[#Headers], 0), FALSE)</f>
        <v>121</v>
      </c>
    </row>
    <row r="102" spans="1:3" x14ac:dyDescent="0.25">
      <c r="A102" s="81" t="s">
        <v>1607</v>
      </c>
      <c r="B102" s="87" t="s">
        <v>302</v>
      </c>
      <c r="C102" s="80">
        <f>VLOOKUP("~"&amp;GroupVertices[[#This Row],[Vertex]], Vertices[], MATCH("ID", Vertices[#Headers], 0), FALSE)</f>
        <v>19</v>
      </c>
    </row>
    <row r="103" spans="1:3" x14ac:dyDescent="0.25">
      <c r="A103" s="81" t="s">
        <v>1607</v>
      </c>
      <c r="B103" s="87" t="s">
        <v>304</v>
      </c>
      <c r="C103" s="80">
        <f>VLOOKUP("~"&amp;GroupVertices[[#This Row],[Vertex]], Vertices[], MATCH("ID", Vertices[#Headers], 0), FALSE)</f>
        <v>18</v>
      </c>
    </row>
    <row r="104" spans="1:3" x14ac:dyDescent="0.25">
      <c r="A104" s="81" t="s">
        <v>1607</v>
      </c>
      <c r="B104" s="87" t="s">
        <v>246</v>
      </c>
      <c r="C104" s="80">
        <f>VLOOKUP("~"&amp;GroupVertices[[#This Row],[Vertex]], Vertices[], MATCH("ID", Vertices[#Headers], 0), FALSE)</f>
        <v>17</v>
      </c>
    </row>
    <row r="105" spans="1:3" x14ac:dyDescent="0.25">
      <c r="A105" s="81" t="s">
        <v>1608</v>
      </c>
      <c r="B105" s="87" t="s">
        <v>296</v>
      </c>
      <c r="C105" s="80">
        <f>VLOOKUP("~"&amp;GroupVertices[[#This Row],[Vertex]], Vertices[], MATCH("ID", Vertices[#Headers], 0), FALSE)</f>
        <v>105</v>
      </c>
    </row>
    <row r="106" spans="1:3" x14ac:dyDescent="0.25">
      <c r="A106" s="81" t="s">
        <v>1608</v>
      </c>
      <c r="B106" s="87" t="s">
        <v>284</v>
      </c>
      <c r="C106" s="80">
        <f>VLOOKUP("~"&amp;GroupVertices[[#This Row],[Vertex]], Vertices[], MATCH("ID", Vertices[#Headers], 0), FALSE)</f>
        <v>83</v>
      </c>
    </row>
    <row r="107" spans="1:3" x14ac:dyDescent="0.25">
      <c r="A107" s="81" t="s">
        <v>1608</v>
      </c>
      <c r="B107" s="87" t="s">
        <v>338</v>
      </c>
      <c r="C107" s="80">
        <f>VLOOKUP("~"&amp;GroupVertices[[#This Row],[Vertex]], Vertices[], MATCH("ID", Vertices[#Headers], 0), FALSE)</f>
        <v>85</v>
      </c>
    </row>
    <row r="108" spans="1:3" x14ac:dyDescent="0.25">
      <c r="A108" s="81" t="s">
        <v>1608</v>
      </c>
      <c r="B108" s="87" t="s">
        <v>337</v>
      </c>
      <c r="C108" s="80">
        <f>VLOOKUP("~"&amp;GroupVertices[[#This Row],[Vertex]], Vertices[], MATCH("ID", Vertices[#Headers], 0), FALSE)</f>
        <v>84</v>
      </c>
    </row>
    <row r="109" spans="1:3" x14ac:dyDescent="0.25">
      <c r="A109" s="81" t="s">
        <v>1609</v>
      </c>
      <c r="B109" s="87" t="s">
        <v>290</v>
      </c>
      <c r="C109" s="80">
        <f>VLOOKUP("~"&amp;GroupVertices[[#This Row],[Vertex]], Vertices[], MATCH("ID", Vertices[#Headers], 0), FALSE)</f>
        <v>97</v>
      </c>
    </row>
    <row r="110" spans="1:3" x14ac:dyDescent="0.25">
      <c r="A110" s="81" t="s">
        <v>1609</v>
      </c>
      <c r="B110" s="87" t="s">
        <v>289</v>
      </c>
      <c r="C110" s="80">
        <f>VLOOKUP("~"&amp;GroupVertices[[#This Row],[Vertex]], Vertices[], MATCH("ID", Vertices[#Headers], 0), FALSE)</f>
        <v>6</v>
      </c>
    </row>
    <row r="111" spans="1:3" x14ac:dyDescent="0.25">
      <c r="A111" s="81" t="s">
        <v>1609</v>
      </c>
      <c r="B111" s="87" t="s">
        <v>270</v>
      </c>
      <c r="C111" s="80">
        <f>VLOOKUP("~"&amp;GroupVertices[[#This Row],[Vertex]], Vertices[], MATCH("ID", Vertices[#Headers], 0), FALSE)</f>
        <v>57</v>
      </c>
    </row>
    <row r="112" spans="1:3" x14ac:dyDescent="0.25">
      <c r="A112" s="81" t="s">
        <v>1609</v>
      </c>
      <c r="B112" s="87" t="s">
        <v>253</v>
      </c>
      <c r="C112" s="80">
        <f>VLOOKUP("~"&amp;GroupVertices[[#This Row],[Vertex]], Vertices[], MATCH("ID", Vertices[#Headers], 0), FALSE)</f>
        <v>34</v>
      </c>
    </row>
    <row r="113" spans="1:3" x14ac:dyDescent="0.25">
      <c r="A113" s="81" t="s">
        <v>1610</v>
      </c>
      <c r="B113" s="87" t="s">
        <v>308</v>
      </c>
      <c r="C113" s="80">
        <f>VLOOKUP("~"&amp;GroupVertices[[#This Row],[Vertex]], Vertices[], MATCH("ID", Vertices[#Headers], 0), FALSE)</f>
        <v>114</v>
      </c>
    </row>
    <row r="114" spans="1:3" x14ac:dyDescent="0.25">
      <c r="A114" s="81" t="s">
        <v>1610</v>
      </c>
      <c r="B114" s="87" t="s">
        <v>363</v>
      </c>
      <c r="C114" s="80">
        <f>VLOOKUP("~"&amp;GroupVertices[[#This Row],[Vertex]], Vertices[], MATCH("ID", Vertices[#Headers], 0), FALSE)</f>
        <v>126</v>
      </c>
    </row>
    <row r="115" spans="1:3" x14ac:dyDescent="0.25">
      <c r="A115" s="81" t="s">
        <v>1610</v>
      </c>
      <c r="B115" s="87" t="s">
        <v>362</v>
      </c>
      <c r="C115" s="80">
        <f>VLOOKUP("~"&amp;GroupVertices[[#This Row],[Vertex]], Vertices[], MATCH("ID", Vertices[#Headers], 0), FALSE)</f>
        <v>125</v>
      </c>
    </row>
    <row r="116" spans="1:3" x14ac:dyDescent="0.25">
      <c r="A116" s="81" t="s">
        <v>1611</v>
      </c>
      <c r="B116" s="87" t="s">
        <v>245</v>
      </c>
      <c r="C116" s="80">
        <f>VLOOKUP("~"&amp;GroupVertices[[#This Row],[Vertex]], Vertices[], MATCH("ID", Vertices[#Headers], 0), FALSE)</f>
        <v>14</v>
      </c>
    </row>
    <row r="117" spans="1:3" x14ac:dyDescent="0.25">
      <c r="A117" s="81" t="s">
        <v>1611</v>
      </c>
      <c r="B117" s="87" t="s">
        <v>311</v>
      </c>
      <c r="C117" s="80">
        <f>VLOOKUP("~"&amp;GroupVertices[[#This Row],[Vertex]], Vertices[], MATCH("ID", Vertices[#Headers], 0), FALSE)</f>
        <v>16</v>
      </c>
    </row>
    <row r="118" spans="1:3" x14ac:dyDescent="0.25">
      <c r="A118" s="81" t="s">
        <v>1611</v>
      </c>
      <c r="B118" s="87" t="s">
        <v>310</v>
      </c>
      <c r="C118" s="80">
        <f>VLOOKUP("~"&amp;GroupVertices[[#This Row],[Vertex]], Vertices[], MATCH("ID", Vertices[#Headers], 0), FALSE)</f>
        <v>15</v>
      </c>
    </row>
    <row r="119" spans="1:3" x14ac:dyDescent="0.25">
      <c r="A119" s="81" t="s">
        <v>1612</v>
      </c>
      <c r="B119" s="87" t="s">
        <v>251</v>
      </c>
      <c r="C119" s="80">
        <f>VLOOKUP("~"&amp;GroupVertices[[#This Row],[Vertex]], Vertices[], MATCH("ID", Vertices[#Headers], 0), FALSE)</f>
        <v>31</v>
      </c>
    </row>
    <row r="120" spans="1:3" x14ac:dyDescent="0.25">
      <c r="A120" s="81" t="s">
        <v>1612</v>
      </c>
      <c r="B120" s="87" t="s">
        <v>263</v>
      </c>
      <c r="C120" s="80">
        <f>VLOOKUP("~"&amp;GroupVertices[[#This Row],[Vertex]], Vertices[], MATCH("ID", Vertices[#Headers], 0), FALSE)</f>
        <v>46</v>
      </c>
    </row>
    <row r="121" spans="1:3" x14ac:dyDescent="0.25">
      <c r="A121" s="81" t="s">
        <v>1612</v>
      </c>
      <c r="B121" s="87" t="s">
        <v>278</v>
      </c>
      <c r="C121" s="80">
        <f>VLOOKUP("~"&amp;GroupVertices[[#This Row],[Vertex]], Vertices[], MATCH("ID", Vertices[#Headers], 0), FALSE)</f>
        <v>68</v>
      </c>
    </row>
    <row r="122" spans="1:3" x14ac:dyDescent="0.25">
      <c r="A122" s="81" t="s">
        <v>1613</v>
      </c>
      <c r="B122" s="87" t="s">
        <v>285</v>
      </c>
      <c r="C122" s="80">
        <f>VLOOKUP("~"&amp;GroupVertices[[#This Row],[Vertex]], Vertices[], MATCH("ID", Vertices[#Headers], 0), FALSE)</f>
        <v>86</v>
      </c>
    </row>
    <row r="123" spans="1:3" x14ac:dyDescent="0.25">
      <c r="A123" s="81" t="s">
        <v>1613</v>
      </c>
      <c r="B123" s="87" t="s">
        <v>339</v>
      </c>
      <c r="C123" s="80">
        <f>VLOOKUP("~"&amp;GroupVertices[[#This Row],[Vertex]], Vertices[], MATCH("ID", Vertices[#Headers], 0), FALSE)</f>
        <v>87</v>
      </c>
    </row>
    <row r="124" spans="1:3" x14ac:dyDescent="0.25">
      <c r="A124" s="81" t="s">
        <v>1614</v>
      </c>
      <c r="B124" s="87" t="s">
        <v>292</v>
      </c>
      <c r="C124" s="80">
        <f>VLOOKUP("~"&amp;GroupVertices[[#This Row],[Vertex]], Vertices[], MATCH("ID", Vertices[#Headers], 0), FALSE)</f>
        <v>44</v>
      </c>
    </row>
    <row r="125" spans="1:3" x14ac:dyDescent="0.25">
      <c r="A125" s="81" t="s">
        <v>1614</v>
      </c>
      <c r="B125" s="87" t="s">
        <v>260</v>
      </c>
      <c r="C125" s="80">
        <f>VLOOKUP("~"&amp;GroupVertices[[#This Row],[Vertex]], Vertices[], MATCH("ID", Vertices[#Headers], 0), FALSE)</f>
        <v>43</v>
      </c>
    </row>
  </sheetData>
  <dataConsolidate/>
  <dataValidations xWindow="58" yWindow="226" count="3">
    <dataValidation allowBlank="1" showInputMessage="1" showErrorMessage="1" promptTitle="Group Name" prompt="Enter the name of the group.  The group name must also be entered on the Groups worksheet." sqref="A2:A125" xr:uid="{00000000-0002-0000-0400-000000000000}"/>
    <dataValidation allowBlank="1" showInputMessage="1" showErrorMessage="1" promptTitle="Vertex Name" prompt="Enter the name of a vertex to include in the group." sqref="B2:B125" xr:uid="{00000000-0002-0000-0400-000001000000}"/>
    <dataValidation allowBlank="1" showInputMessage="1" promptTitle="Vertex ID" prompt="This is the value of the hidden ID cell in the Vertices worksheet.  It gets filled in by the items on the NodeXL, Analysis, Groups menu." sqref="C2:C125" xr:uid="{00000000-0002-0000-0400-000002000000}"/>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175"/>
  <sheetViews>
    <sheetView workbookViewId="0">
      <selection activeCell="A56" sqref="A56:XFD56"/>
    </sheetView>
  </sheetViews>
  <sheetFormatPr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13" t="s">
        <v>162</v>
      </c>
      <c r="B1" s="13" t="s">
        <v>17</v>
      </c>
      <c r="D1" t="s">
        <v>79</v>
      </c>
      <c r="E1" t="s">
        <v>80</v>
      </c>
      <c r="F1" s="36" t="s">
        <v>86</v>
      </c>
      <c r="G1" s="37" t="s">
        <v>87</v>
      </c>
      <c r="H1" s="36" t="s">
        <v>92</v>
      </c>
      <c r="I1" s="37" t="s">
        <v>93</v>
      </c>
      <c r="J1" s="36" t="s">
        <v>98</v>
      </c>
      <c r="K1" s="37" t="s">
        <v>99</v>
      </c>
      <c r="L1" s="36" t="s">
        <v>104</v>
      </c>
      <c r="M1" s="37" t="s">
        <v>105</v>
      </c>
      <c r="N1" s="36" t="s">
        <v>110</v>
      </c>
      <c r="O1" s="37" t="s">
        <v>111</v>
      </c>
      <c r="P1" s="37" t="s">
        <v>138</v>
      </c>
      <c r="Q1" s="37" t="s">
        <v>139</v>
      </c>
      <c r="R1" s="36" t="s">
        <v>116</v>
      </c>
      <c r="S1" s="36" t="s">
        <v>117</v>
      </c>
      <c r="T1" s="36" t="s">
        <v>122</v>
      </c>
      <c r="U1" s="37" t="s">
        <v>123</v>
      </c>
      <c r="W1" t="s">
        <v>127</v>
      </c>
      <c r="X1" t="s">
        <v>17</v>
      </c>
    </row>
    <row r="2" spans="1:24" ht="15.75" thickTop="1" x14ac:dyDescent="0.25">
      <c r="A2" s="35" t="s">
        <v>9520</v>
      </c>
      <c r="B2" s="35" t="s">
        <v>191</v>
      </c>
      <c r="D2" s="32">
        <f>MIN(Vertices[Degree])</f>
        <v>0</v>
      </c>
      <c r="E2" s="3">
        <f>COUNTIF(Vertices[Degree], "&gt;= " &amp; D2) - COUNTIF(Vertices[Degree], "&gt;=" &amp; D3)</f>
        <v>0</v>
      </c>
      <c r="F2" s="38">
        <f>MIN(Vertices[In-Degree])</f>
        <v>0</v>
      </c>
      <c r="G2" s="39">
        <f>COUNTIF(Vertices[In-Degree], "&gt;= " &amp; F2) - COUNTIF(Vertices[In-Degree], "&gt;=" &amp; F3)</f>
        <v>28</v>
      </c>
      <c r="H2" s="38">
        <f>MIN(Vertices[Out-Degree])</f>
        <v>0</v>
      </c>
      <c r="I2" s="39">
        <f>COUNTIF(Vertices[Out-Degree], "&gt;= " &amp; H2) - COUNTIF(Vertices[Out-Degree], "&gt;=" &amp; H3)</f>
        <v>56</v>
      </c>
      <c r="J2" s="38">
        <f>MIN(Vertices[Betweenness Centrality])</f>
        <v>0</v>
      </c>
      <c r="K2" s="39">
        <f>COUNTIF(Vertices[Betweenness Centrality], "&gt;= " &amp; J2) - COUNTIF(Vertices[Betweenness Centrality], "&gt;=" &amp; J3)</f>
        <v>106</v>
      </c>
      <c r="L2" s="38">
        <f>MIN(Vertices[Closeness Centrality])</f>
        <v>0</v>
      </c>
      <c r="M2" s="39">
        <f>COUNTIF(Vertices[Closeness Centrality], "&gt;= " &amp; L2) - COUNTIF(Vertices[Closeness Centrality], "&gt;=" &amp; L3)</f>
        <v>9</v>
      </c>
      <c r="N2" s="38">
        <f>MIN(Vertices[Eigenvector Centrality])</f>
        <v>0</v>
      </c>
      <c r="O2" s="39">
        <f>COUNTIF(Vertices[Eigenvector Centrality], "&gt;= " &amp; N2) - COUNTIF(Vertices[Eigenvector Centrality], "&gt;=" &amp; N3)</f>
        <v>61</v>
      </c>
      <c r="P2" s="38">
        <f>MIN(Vertices[PageRank])</f>
        <v>6.9379999999999997E-3</v>
      </c>
      <c r="Q2" s="39">
        <f>COUNTIF(Vertices[PageRank], "&gt;= " &amp; P2) - COUNTIF(Vertices[PageRank], "&gt;=" &amp; P3)</f>
        <v>71</v>
      </c>
      <c r="R2" s="38">
        <f>MIN(Vertices[Clustering Coefficient])</f>
        <v>0</v>
      </c>
      <c r="S2" s="44">
        <f>COUNTIF(Vertices[Clustering Coefficient], "&gt;= " &amp; R2) - COUNTIF(Vertices[Clustering Coefficient], "&gt;=" &amp; R3)</f>
        <v>74</v>
      </c>
      <c r="T2" s="38" t="e">
        <f ca="1">MIN(INDIRECT(DynamicFilterSourceColumnRange))</f>
        <v>#REF!</v>
      </c>
      <c r="U2" s="39" t="e">
        <f t="shared" ref="U2:U25" ca="1" si="0">COUNTIF(INDIRECT(DynamicFilterSourceColumnRange), "&gt;= " &amp; T2) - COUNTIF(INDIRECT(DynamicFilterSourceColumnRange), "&gt;=" &amp; T3)</f>
        <v>#REF!</v>
      </c>
      <c r="W2" t="s">
        <v>124</v>
      </c>
      <c r="X2">
        <f>ROWS(HistogramBins[Degree Bin]) - 1</f>
        <v>34</v>
      </c>
    </row>
    <row r="3" spans="1:24" x14ac:dyDescent="0.25">
      <c r="A3" s="115"/>
      <c r="B3" s="115"/>
      <c r="D3" s="33">
        <f t="shared" ref="D3:D35" si="1">D2+($D$36-$D$2)/BinDivisor</f>
        <v>0</v>
      </c>
      <c r="E3" s="3">
        <f>COUNTIF(Vertices[Degree], "&gt;= " &amp; D3) - COUNTIF(Vertices[Degree], "&gt;=" &amp; D4)</f>
        <v>0</v>
      </c>
      <c r="F3" s="40">
        <f t="shared" ref="F3:F35" si="2">F2+($F$36-$F$2)/BinDivisor</f>
        <v>0.73529411764705888</v>
      </c>
      <c r="G3" s="41">
        <f>COUNTIF(Vertices[In-Degree], "&gt;= " &amp; F3) - COUNTIF(Vertices[In-Degree], "&gt;=" &amp; F4)</f>
        <v>55</v>
      </c>
      <c r="H3" s="40">
        <f t="shared" ref="H3:H35" si="3">H2+($H$36-$H$2)/BinDivisor</f>
        <v>0.52941176470588236</v>
      </c>
      <c r="I3" s="41">
        <f>COUNTIF(Vertices[Out-Degree], "&gt;= " &amp; H3) - COUNTIF(Vertices[Out-Degree], "&gt;=" &amp; H4)</f>
        <v>24</v>
      </c>
      <c r="J3" s="40">
        <f t="shared" ref="J3:J35" si="4">J2+($J$36-$J$2)/BinDivisor</f>
        <v>271.34705882352938</v>
      </c>
      <c r="K3" s="41">
        <f>COUNTIF(Vertices[Betweenness Centrality], "&gt;= " &amp; J3) - COUNTIF(Vertices[Betweenness Centrality], "&gt;=" &amp; J4)</f>
        <v>6</v>
      </c>
      <c r="L3" s="40">
        <f t="shared" ref="L3:L35" si="5">L2+($L$36-$L$2)/BinDivisor</f>
        <v>1.4173647058823529E-2</v>
      </c>
      <c r="M3" s="41">
        <f>COUNTIF(Vertices[Closeness Centrality], "&gt;= " &amp; L3) - COUNTIF(Vertices[Closeness Centrality], "&gt;=" &amp; L4)</f>
        <v>1</v>
      </c>
      <c r="N3" s="40">
        <f t="shared" ref="N3:N35" si="6">N2+($N$36-$N$2)/BinDivisor</f>
        <v>1.7801264705882353E-2</v>
      </c>
      <c r="O3" s="41">
        <f>COUNTIF(Vertices[Eigenvector Centrality], "&gt;= " &amp; N3) - COUNTIF(Vertices[Eigenvector Centrality], "&gt;=" &amp; N4)</f>
        <v>18</v>
      </c>
      <c r="P3" s="40">
        <f t="shared" ref="P3:P35" si="7">P2+($P$36-$P$2)/BinDivisor</f>
        <v>7.3362941176470589E-3</v>
      </c>
      <c r="Q3" s="41">
        <f>COUNTIF(Vertices[PageRank], "&gt;= " &amp; P3) - COUNTIF(Vertices[PageRank], "&gt;=" &amp; P4)</f>
        <v>16</v>
      </c>
      <c r="R3" s="40">
        <f t="shared" ref="R3:R35" si="8">R2+($R$36-$R$2)/BinDivisor</f>
        <v>2.9411764705882353E-2</v>
      </c>
      <c r="S3" s="45">
        <f>COUNTIF(Vertices[Clustering Coefficient], "&gt;= " &amp; R3) - COUNTIF(Vertices[Clustering Coefficient], "&gt;=" &amp; R4)</f>
        <v>2</v>
      </c>
      <c r="T3" s="40" t="e">
        <f t="shared" ref="T3:T35" ca="1" si="9">T2+($T$36-$T$2)/BinDivisor</f>
        <v>#REF!</v>
      </c>
      <c r="U3" s="41" t="e">
        <f t="shared" ca="1" si="0"/>
        <v>#REF!</v>
      </c>
      <c r="W3" t="s">
        <v>125</v>
      </c>
      <c r="X3" t="s">
        <v>85</v>
      </c>
    </row>
    <row r="4" spans="1:24" x14ac:dyDescent="0.25">
      <c r="A4" s="35" t="s">
        <v>146</v>
      </c>
      <c r="B4" s="35">
        <v>124</v>
      </c>
      <c r="D4" s="33">
        <f t="shared" si="1"/>
        <v>0</v>
      </c>
      <c r="E4" s="3">
        <f>COUNTIF(Vertices[Degree], "&gt;= " &amp; D4) - COUNTIF(Vertices[Degree], "&gt;=" &amp; D5)</f>
        <v>0</v>
      </c>
      <c r="F4" s="38">
        <f t="shared" si="2"/>
        <v>1.4705882352941178</v>
      </c>
      <c r="G4" s="39">
        <f>COUNTIF(Vertices[In-Degree], "&gt;= " &amp; F4) - COUNTIF(Vertices[In-Degree], "&gt;=" &amp; F5)</f>
        <v>24</v>
      </c>
      <c r="H4" s="38">
        <f t="shared" si="3"/>
        <v>1.0588235294117647</v>
      </c>
      <c r="I4" s="39">
        <f>COUNTIF(Vertices[Out-Degree], "&gt;= " &amp; H4) - COUNTIF(Vertices[Out-Degree], "&gt;=" &amp; H5)</f>
        <v>0</v>
      </c>
      <c r="J4" s="38">
        <f t="shared" si="4"/>
        <v>542.69411764705876</v>
      </c>
      <c r="K4" s="39">
        <f>COUNTIF(Vertices[Betweenness Centrality], "&gt;= " &amp; J4) - COUNTIF(Vertices[Betweenness Centrality], "&gt;=" &amp; J5)</f>
        <v>4</v>
      </c>
      <c r="L4" s="38">
        <f t="shared" si="5"/>
        <v>2.8347294117647057E-2</v>
      </c>
      <c r="M4" s="39">
        <f>COUNTIF(Vertices[Closeness Centrality], "&gt;= " &amp; L4) - COUNTIF(Vertices[Closeness Centrality], "&gt;=" &amp; L5)</f>
        <v>7</v>
      </c>
      <c r="N4" s="38">
        <f t="shared" si="6"/>
        <v>3.5602529411764706E-2</v>
      </c>
      <c r="O4" s="39">
        <f>COUNTIF(Vertices[Eigenvector Centrality], "&gt;= " &amp; N4) - COUNTIF(Vertices[Eigenvector Centrality], "&gt;=" &amp; N5)</f>
        <v>4</v>
      </c>
      <c r="P4" s="38">
        <f t="shared" si="7"/>
        <v>7.7345882352941181E-3</v>
      </c>
      <c r="Q4" s="39">
        <f>COUNTIF(Vertices[PageRank], "&gt;= " &amp; P4) - COUNTIF(Vertices[PageRank], "&gt;=" &amp; P5)</f>
        <v>7</v>
      </c>
      <c r="R4" s="38">
        <f t="shared" si="8"/>
        <v>5.8823529411764705E-2</v>
      </c>
      <c r="S4" s="44">
        <f>COUNTIF(Vertices[Clustering Coefficient], "&gt;= " &amp; R4) - COUNTIF(Vertices[Clustering Coefficient], "&gt;=" &amp; R5)</f>
        <v>3</v>
      </c>
      <c r="T4" s="38" t="e">
        <f t="shared" ca="1" si="9"/>
        <v>#REF!</v>
      </c>
      <c r="U4" s="39" t="e">
        <f t="shared" ca="1" si="0"/>
        <v>#REF!</v>
      </c>
      <c r="W4" s="12" t="s">
        <v>126</v>
      </c>
      <c r="X4" s="12" t="s">
        <v>128</v>
      </c>
    </row>
    <row r="5" spans="1:24" x14ac:dyDescent="0.25">
      <c r="A5" s="115"/>
      <c r="B5" s="115"/>
      <c r="D5" s="33">
        <f t="shared" si="1"/>
        <v>0</v>
      </c>
      <c r="E5" s="3">
        <f>COUNTIF(Vertices[Degree], "&gt;= " &amp; D5) - COUNTIF(Vertices[Degree], "&gt;=" &amp; D6)</f>
        <v>0</v>
      </c>
      <c r="F5" s="40">
        <f t="shared" si="2"/>
        <v>2.2058823529411766</v>
      </c>
      <c r="G5" s="41">
        <f>COUNTIF(Vertices[In-Degree], "&gt;= " &amp; F5) - COUNTIF(Vertices[In-Degree], "&gt;=" &amp; F6)</f>
        <v>0</v>
      </c>
      <c r="H5" s="40">
        <f t="shared" si="3"/>
        <v>1.5882352941176472</v>
      </c>
      <c r="I5" s="41">
        <f>COUNTIF(Vertices[Out-Degree], "&gt;= " &amp; H5) - COUNTIF(Vertices[Out-Degree], "&gt;=" &amp; H6)</f>
        <v>19</v>
      </c>
      <c r="J5" s="40">
        <f t="shared" si="4"/>
        <v>814.0411764705882</v>
      </c>
      <c r="K5" s="41">
        <f>COUNTIF(Vertices[Betweenness Centrality], "&gt;= " &amp; J5) - COUNTIF(Vertices[Betweenness Centrality], "&gt;=" &amp; J6)</f>
        <v>3</v>
      </c>
      <c r="L5" s="40">
        <f t="shared" si="5"/>
        <v>4.2520941176470588E-2</v>
      </c>
      <c r="M5" s="41">
        <f>COUNTIF(Vertices[Closeness Centrality], "&gt;= " &amp; L5) - COUNTIF(Vertices[Closeness Centrality], "&gt;=" &amp; L6)</f>
        <v>0</v>
      </c>
      <c r="N5" s="40">
        <f t="shared" si="6"/>
        <v>5.3403794117647063E-2</v>
      </c>
      <c r="O5" s="41">
        <f>COUNTIF(Vertices[Eigenvector Centrality], "&gt;= " &amp; N5) - COUNTIF(Vertices[Eigenvector Centrality], "&gt;=" &amp; N6)</f>
        <v>4</v>
      </c>
      <c r="P5" s="40">
        <f t="shared" si="7"/>
        <v>8.1328823529411773E-3</v>
      </c>
      <c r="Q5" s="41">
        <f>COUNTIF(Vertices[PageRank], "&gt;= " &amp; P5) - COUNTIF(Vertices[PageRank], "&gt;=" &amp; P6)</f>
        <v>5</v>
      </c>
      <c r="R5" s="40">
        <f t="shared" si="8"/>
        <v>8.8235294117647051E-2</v>
      </c>
      <c r="S5" s="45">
        <f>COUNTIF(Vertices[Clustering Coefficient], "&gt;= " &amp; R5) - COUNTIF(Vertices[Clustering Coefficient], "&gt;=" &amp; R6)</f>
        <v>1</v>
      </c>
      <c r="T5" s="40" t="e">
        <f t="shared" ca="1" si="9"/>
        <v>#REF!</v>
      </c>
      <c r="U5" s="41" t="e">
        <f t="shared" ca="1" si="0"/>
        <v>#REF!</v>
      </c>
    </row>
    <row r="6" spans="1:24" x14ac:dyDescent="0.25">
      <c r="A6" s="35" t="s">
        <v>148</v>
      </c>
      <c r="B6" s="35">
        <v>170</v>
      </c>
      <c r="D6" s="33">
        <f t="shared" si="1"/>
        <v>0</v>
      </c>
      <c r="E6" s="3">
        <f>COUNTIF(Vertices[Degree], "&gt;= " &amp; D6) - COUNTIF(Vertices[Degree], "&gt;=" &amp; D7)</f>
        <v>0</v>
      </c>
      <c r="F6" s="38">
        <f t="shared" si="2"/>
        <v>2.9411764705882355</v>
      </c>
      <c r="G6" s="39">
        <f>COUNTIF(Vertices[In-Degree], "&gt;= " &amp; F6) - COUNTIF(Vertices[In-Degree], "&gt;=" &amp; F7)</f>
        <v>5</v>
      </c>
      <c r="H6" s="38">
        <f t="shared" si="3"/>
        <v>2.1176470588235294</v>
      </c>
      <c r="I6" s="39">
        <f>COUNTIF(Vertices[Out-Degree], "&gt;= " &amp; H6) - COUNTIF(Vertices[Out-Degree], "&gt;=" &amp; H7)</f>
        <v>0</v>
      </c>
      <c r="J6" s="38">
        <f t="shared" si="4"/>
        <v>1085.3882352941175</v>
      </c>
      <c r="K6" s="39">
        <f>COUNTIF(Vertices[Betweenness Centrality], "&gt;= " &amp; J6) - COUNTIF(Vertices[Betweenness Centrality], "&gt;=" &amp; J7)</f>
        <v>0</v>
      </c>
      <c r="L6" s="38">
        <f t="shared" si="5"/>
        <v>5.6694588235294115E-2</v>
      </c>
      <c r="M6" s="39">
        <f>COUNTIF(Vertices[Closeness Centrality], "&gt;= " &amp; L6) - COUNTIF(Vertices[Closeness Centrality], "&gt;=" &amp; L7)</f>
        <v>1</v>
      </c>
      <c r="N6" s="38">
        <f t="shared" si="6"/>
        <v>7.1205058823529413E-2</v>
      </c>
      <c r="O6" s="39">
        <f>COUNTIF(Vertices[Eigenvector Centrality], "&gt;= " &amp; N6) - COUNTIF(Vertices[Eigenvector Centrality], "&gt;=" &amp; N7)</f>
        <v>8</v>
      </c>
      <c r="P6" s="38">
        <f t="shared" si="7"/>
        <v>8.5311764705882365E-3</v>
      </c>
      <c r="Q6" s="39">
        <f>COUNTIF(Vertices[PageRank], "&gt;= " &amp; P6) - COUNTIF(Vertices[PageRank], "&gt;=" &amp; P7)</f>
        <v>5</v>
      </c>
      <c r="R6" s="38">
        <f t="shared" si="8"/>
        <v>0.11764705882352941</v>
      </c>
      <c r="S6" s="44">
        <f>COUNTIF(Vertices[Clustering Coefficient], "&gt;= " &amp; R6) - COUNTIF(Vertices[Clustering Coefficient], "&gt;=" &amp; R7)</f>
        <v>1</v>
      </c>
      <c r="T6" s="38" t="e">
        <f t="shared" ca="1" si="9"/>
        <v>#REF!</v>
      </c>
      <c r="U6" s="39" t="e">
        <f t="shared" ca="1" si="0"/>
        <v>#REF!</v>
      </c>
    </row>
    <row r="7" spans="1:24" x14ac:dyDescent="0.25">
      <c r="A7" s="35" t="s">
        <v>149</v>
      </c>
      <c r="B7" s="35">
        <v>124</v>
      </c>
      <c r="D7" s="33">
        <f t="shared" si="1"/>
        <v>0</v>
      </c>
      <c r="E7" s="3">
        <f>COUNTIF(Vertices[Degree], "&gt;= " &amp; D7) - COUNTIF(Vertices[Degree], "&gt;=" &amp; D8)</f>
        <v>0</v>
      </c>
      <c r="F7" s="40">
        <f t="shared" si="2"/>
        <v>3.6764705882352944</v>
      </c>
      <c r="G7" s="41">
        <f>COUNTIF(Vertices[In-Degree], "&gt;= " &amp; F7) - COUNTIF(Vertices[In-Degree], "&gt;=" &amp; F8)</f>
        <v>5</v>
      </c>
      <c r="H7" s="40">
        <f t="shared" si="3"/>
        <v>2.6470588235294117</v>
      </c>
      <c r="I7" s="41">
        <f>COUNTIF(Vertices[Out-Degree], "&gt;= " &amp; H7) - COUNTIF(Vertices[Out-Degree], "&gt;=" &amp; H8)</f>
        <v>9</v>
      </c>
      <c r="J7" s="40">
        <f t="shared" si="4"/>
        <v>1356.7352941176468</v>
      </c>
      <c r="K7" s="41">
        <f>COUNTIF(Vertices[Betweenness Centrality], "&gt;= " &amp; J7) - COUNTIF(Vertices[Betweenness Centrality], "&gt;=" &amp; J8)</f>
        <v>1</v>
      </c>
      <c r="L7" s="40">
        <f t="shared" si="5"/>
        <v>7.0868235294117649E-2</v>
      </c>
      <c r="M7" s="41">
        <f>COUNTIF(Vertices[Closeness Centrality], "&gt;= " &amp; L7) - COUNTIF(Vertices[Closeness Centrality], "&gt;=" &amp; L8)</f>
        <v>0</v>
      </c>
      <c r="N7" s="40">
        <f t="shared" si="6"/>
        <v>8.9006323529411763E-2</v>
      </c>
      <c r="O7" s="41">
        <f>COUNTIF(Vertices[Eigenvector Centrality], "&gt;= " &amp; N7) - COUNTIF(Vertices[Eigenvector Centrality], "&gt;=" &amp; N8)</f>
        <v>9</v>
      </c>
      <c r="P7" s="40">
        <f t="shared" si="7"/>
        <v>8.9294705882352957E-3</v>
      </c>
      <c r="Q7" s="41">
        <f>COUNTIF(Vertices[PageRank], "&gt;= " &amp; P7) - COUNTIF(Vertices[PageRank], "&gt;=" &amp; P8)</f>
        <v>4</v>
      </c>
      <c r="R7" s="40">
        <f t="shared" si="8"/>
        <v>0.14705882352941177</v>
      </c>
      <c r="S7" s="45">
        <f>COUNTIF(Vertices[Clustering Coefficient], "&gt;= " &amp; R7) - COUNTIF(Vertices[Clustering Coefficient], "&gt;=" &amp; R8)</f>
        <v>7</v>
      </c>
      <c r="T7" s="40" t="e">
        <f t="shared" ca="1" si="9"/>
        <v>#REF!</v>
      </c>
      <c r="U7" s="41" t="e">
        <f t="shared" ca="1" si="0"/>
        <v>#REF!</v>
      </c>
    </row>
    <row r="8" spans="1:24" x14ac:dyDescent="0.25">
      <c r="A8" s="35" t="s">
        <v>150</v>
      </c>
      <c r="B8" s="35">
        <v>294</v>
      </c>
      <c r="D8" s="33">
        <f t="shared" si="1"/>
        <v>0</v>
      </c>
      <c r="E8" s="3">
        <f>COUNTIF(Vertices[Degree], "&gt;= " &amp; D8) - COUNTIF(Vertices[Degree], "&gt;=" &amp; D9)</f>
        <v>0</v>
      </c>
      <c r="F8" s="38">
        <f t="shared" si="2"/>
        <v>4.4117647058823533</v>
      </c>
      <c r="G8" s="39">
        <f>COUNTIF(Vertices[In-Degree], "&gt;= " &amp; F8) - COUNTIF(Vertices[In-Degree], "&gt;=" &amp; F9)</f>
        <v>0</v>
      </c>
      <c r="H8" s="38">
        <f t="shared" si="3"/>
        <v>3.1764705882352939</v>
      </c>
      <c r="I8" s="39">
        <f>COUNTIF(Vertices[Out-Degree], "&gt;= " &amp; H8) - COUNTIF(Vertices[Out-Degree], "&gt;=" &amp; H9)</f>
        <v>0</v>
      </c>
      <c r="J8" s="38">
        <f t="shared" si="4"/>
        <v>1628.0823529411762</v>
      </c>
      <c r="K8" s="39">
        <f>COUNTIF(Vertices[Betweenness Centrality], "&gt;= " &amp; J8) - COUNTIF(Vertices[Betweenness Centrality], "&gt;=" &amp; J9)</f>
        <v>2</v>
      </c>
      <c r="L8" s="38">
        <f t="shared" si="5"/>
        <v>8.5041882352941175E-2</v>
      </c>
      <c r="M8" s="39">
        <f>COUNTIF(Vertices[Closeness Centrality], "&gt;= " &amp; L8) - COUNTIF(Vertices[Closeness Centrality], "&gt;=" &amp; L9)</f>
        <v>0</v>
      </c>
      <c r="N8" s="38">
        <f t="shared" si="6"/>
        <v>0.10680758823529411</v>
      </c>
      <c r="O8" s="39">
        <f>COUNTIF(Vertices[Eigenvector Centrality], "&gt;= " &amp; N8) - COUNTIF(Vertices[Eigenvector Centrality], "&gt;=" &amp; N9)</f>
        <v>6</v>
      </c>
      <c r="P8" s="38">
        <f t="shared" si="7"/>
        <v>9.3277647058823548E-3</v>
      </c>
      <c r="Q8" s="39">
        <f>COUNTIF(Vertices[PageRank], "&gt;= " &amp; P8) - COUNTIF(Vertices[PageRank], "&gt;=" &amp; P9)</f>
        <v>4</v>
      </c>
      <c r="R8" s="38">
        <f t="shared" si="8"/>
        <v>0.17647058823529413</v>
      </c>
      <c r="S8" s="44">
        <f>COUNTIF(Vertices[Clustering Coefficient], "&gt;= " &amp; R8) - COUNTIF(Vertices[Clustering Coefficient], "&gt;=" &amp; R9)</f>
        <v>0</v>
      </c>
      <c r="T8" s="38" t="e">
        <f t="shared" ca="1" si="9"/>
        <v>#REF!</v>
      </c>
      <c r="U8" s="39" t="e">
        <f t="shared" ca="1" si="0"/>
        <v>#REF!</v>
      </c>
    </row>
    <row r="9" spans="1:24" x14ac:dyDescent="0.25">
      <c r="A9" s="115"/>
      <c r="B9" s="115"/>
      <c r="D9" s="33">
        <f t="shared" si="1"/>
        <v>0</v>
      </c>
      <c r="E9" s="3">
        <f>COUNTIF(Vertices[Degree], "&gt;= " &amp; D9) - COUNTIF(Vertices[Degree], "&gt;=" &amp; D10)</f>
        <v>0</v>
      </c>
      <c r="F9" s="40">
        <f t="shared" si="2"/>
        <v>5.1470588235294121</v>
      </c>
      <c r="G9" s="41">
        <f>COUNTIF(Vertices[In-Degree], "&gt;= " &amp; F9) - COUNTIF(Vertices[In-Degree], "&gt;=" &amp; F10)</f>
        <v>0</v>
      </c>
      <c r="H9" s="40">
        <f t="shared" si="3"/>
        <v>3.7058823529411762</v>
      </c>
      <c r="I9" s="41">
        <f>COUNTIF(Vertices[Out-Degree], "&gt;= " &amp; H9) - COUNTIF(Vertices[Out-Degree], "&gt;=" &amp; H10)</f>
        <v>2</v>
      </c>
      <c r="J9" s="40">
        <f t="shared" si="4"/>
        <v>1899.4294117647055</v>
      </c>
      <c r="K9" s="41">
        <f>COUNTIF(Vertices[Betweenness Centrality], "&gt;= " &amp; J9) - COUNTIF(Vertices[Betweenness Centrality], "&gt;=" &amp; J10)</f>
        <v>0</v>
      </c>
      <c r="L9" s="40">
        <f t="shared" si="5"/>
        <v>9.9215529411764702E-2</v>
      </c>
      <c r="M9" s="41">
        <f>COUNTIF(Vertices[Closeness Centrality], "&gt;= " &amp; L9) - COUNTIF(Vertices[Closeness Centrality], "&gt;=" &amp; L10)</f>
        <v>0</v>
      </c>
      <c r="N9" s="40">
        <f t="shared" si="6"/>
        <v>0.12460885294117646</v>
      </c>
      <c r="O9" s="41">
        <f>COUNTIF(Vertices[Eigenvector Centrality], "&gt;= " &amp; N9) - COUNTIF(Vertices[Eigenvector Centrality], "&gt;=" &amp; N10)</f>
        <v>6</v>
      </c>
      <c r="P9" s="40">
        <f t="shared" si="7"/>
        <v>9.726058823529414E-3</v>
      </c>
      <c r="Q9" s="41">
        <f>COUNTIF(Vertices[PageRank], "&gt;= " &amp; P9) - COUNTIF(Vertices[PageRank], "&gt;=" &amp; P10)</f>
        <v>1</v>
      </c>
      <c r="R9" s="40">
        <f t="shared" si="8"/>
        <v>0.20588235294117649</v>
      </c>
      <c r="S9" s="45">
        <f>COUNTIF(Vertices[Clustering Coefficient], "&gt;= " &amp; R9) - COUNTIF(Vertices[Clustering Coefficient], "&gt;=" &amp; R10)</f>
        <v>0</v>
      </c>
      <c r="T9" s="40" t="e">
        <f t="shared" ca="1" si="9"/>
        <v>#REF!</v>
      </c>
      <c r="U9" s="41" t="e">
        <f t="shared" ca="1" si="0"/>
        <v>#REF!</v>
      </c>
    </row>
    <row r="10" spans="1:24" x14ac:dyDescent="0.25">
      <c r="A10" s="35" t="s">
        <v>9521</v>
      </c>
      <c r="B10" s="35">
        <v>8</v>
      </c>
      <c r="D10" s="33">
        <f t="shared" si="1"/>
        <v>0</v>
      </c>
      <c r="E10" s="3">
        <f>COUNTIF(Vertices[Degree], "&gt;= " &amp; D10) - COUNTIF(Vertices[Degree], "&gt;=" &amp; D11)</f>
        <v>0</v>
      </c>
      <c r="F10" s="38">
        <f t="shared" si="2"/>
        <v>5.882352941176471</v>
      </c>
      <c r="G10" s="39">
        <f>COUNTIF(Vertices[In-Degree], "&gt;= " &amp; F10) - COUNTIF(Vertices[In-Degree], "&gt;=" &amp; F11)</f>
        <v>2</v>
      </c>
      <c r="H10" s="38">
        <f t="shared" si="3"/>
        <v>4.2352941176470589</v>
      </c>
      <c r="I10" s="39">
        <f>COUNTIF(Vertices[Out-Degree], "&gt;= " &amp; H10) - COUNTIF(Vertices[Out-Degree], "&gt;=" &amp; H11)</f>
        <v>0</v>
      </c>
      <c r="J10" s="38">
        <f t="shared" si="4"/>
        <v>2170.776470588235</v>
      </c>
      <c r="K10" s="39">
        <f>COUNTIF(Vertices[Betweenness Centrality], "&gt;= " &amp; J10) - COUNTIF(Vertices[Betweenness Centrality], "&gt;=" &amp; J11)</f>
        <v>0</v>
      </c>
      <c r="L10" s="38">
        <f t="shared" si="5"/>
        <v>0.11338917647058823</v>
      </c>
      <c r="M10" s="39">
        <f>COUNTIF(Vertices[Closeness Centrality], "&gt;= " &amp; L10) - COUNTIF(Vertices[Closeness Centrality], "&gt;=" &amp; L11)</f>
        <v>0</v>
      </c>
      <c r="N10" s="38">
        <f t="shared" si="6"/>
        <v>0.14241011764705883</v>
      </c>
      <c r="O10" s="39">
        <f>COUNTIF(Vertices[Eigenvector Centrality], "&gt;= " &amp; N10) - COUNTIF(Vertices[Eigenvector Centrality], "&gt;=" &amp; N11)</f>
        <v>2</v>
      </c>
      <c r="P10" s="38">
        <f t="shared" si="7"/>
        <v>1.0124352941176473E-2</v>
      </c>
      <c r="Q10" s="39">
        <f>COUNTIF(Vertices[PageRank], "&gt;= " &amp; P10) - COUNTIF(Vertices[PageRank], "&gt;=" &amp; P11)</f>
        <v>2</v>
      </c>
      <c r="R10" s="38">
        <f t="shared" si="8"/>
        <v>0.23529411764705885</v>
      </c>
      <c r="S10" s="44">
        <f>COUNTIF(Vertices[Clustering Coefficient], "&gt;= " &amp; R10) - COUNTIF(Vertices[Clustering Coefficient], "&gt;=" &amp; R11)</f>
        <v>0</v>
      </c>
      <c r="T10" s="38" t="e">
        <f t="shared" ca="1" si="9"/>
        <v>#REF!</v>
      </c>
      <c r="U10" s="39" t="e">
        <f t="shared" ca="1" si="0"/>
        <v>#REF!</v>
      </c>
    </row>
    <row r="11" spans="1:24" x14ac:dyDescent="0.25">
      <c r="A11" s="115"/>
      <c r="B11" s="115"/>
      <c r="D11" s="33">
        <f t="shared" si="1"/>
        <v>0</v>
      </c>
      <c r="E11" s="3">
        <f>COUNTIF(Vertices[Degree], "&gt;= " &amp; D11) - COUNTIF(Vertices[Degree], "&gt;=" &amp; D12)</f>
        <v>0</v>
      </c>
      <c r="F11" s="40">
        <f t="shared" si="2"/>
        <v>6.6176470588235299</v>
      </c>
      <c r="G11" s="41">
        <f>COUNTIF(Vertices[In-Degree], "&gt;= " &amp; F11) - COUNTIF(Vertices[In-Degree], "&gt;=" &amp; F12)</f>
        <v>1</v>
      </c>
      <c r="H11" s="40">
        <f t="shared" si="3"/>
        <v>4.7647058823529411</v>
      </c>
      <c r="I11" s="41">
        <f>COUNTIF(Vertices[Out-Degree], "&gt;= " &amp; H11) - COUNTIF(Vertices[Out-Degree], "&gt;=" &amp; H12)</f>
        <v>3</v>
      </c>
      <c r="J11" s="40">
        <f t="shared" si="4"/>
        <v>2442.1235294117646</v>
      </c>
      <c r="K11" s="41">
        <f>COUNTIF(Vertices[Betweenness Centrality], "&gt;= " &amp; J11) - COUNTIF(Vertices[Betweenness Centrality], "&gt;=" &amp; J12)</f>
        <v>1</v>
      </c>
      <c r="L11" s="40">
        <f t="shared" si="5"/>
        <v>0.12756282352941176</v>
      </c>
      <c r="M11" s="41">
        <f>COUNTIF(Vertices[Closeness Centrality], "&gt;= " &amp; L11) - COUNTIF(Vertices[Closeness Centrality], "&gt;=" &amp; L12)</f>
        <v>0</v>
      </c>
      <c r="N11" s="40">
        <f t="shared" si="6"/>
        <v>0.16021138235294119</v>
      </c>
      <c r="O11" s="41">
        <f>COUNTIF(Vertices[Eigenvector Centrality], "&gt;= " &amp; N11) - COUNTIF(Vertices[Eigenvector Centrality], "&gt;=" &amp; N12)</f>
        <v>1</v>
      </c>
      <c r="P11" s="40">
        <f t="shared" si="7"/>
        <v>1.0522647058823532E-2</v>
      </c>
      <c r="Q11" s="41">
        <f>COUNTIF(Vertices[PageRank], "&gt;= " &amp; P11) - COUNTIF(Vertices[PageRank], "&gt;=" &amp; P12)</f>
        <v>0</v>
      </c>
      <c r="R11" s="40">
        <f t="shared" si="8"/>
        <v>0.26470588235294118</v>
      </c>
      <c r="S11" s="45">
        <f>COUNTIF(Vertices[Clustering Coefficient], "&gt;= " &amp; R11) - COUNTIF(Vertices[Clustering Coefficient], "&gt;=" &amp; R12)</f>
        <v>2</v>
      </c>
      <c r="T11" s="40" t="e">
        <f t="shared" ca="1" si="9"/>
        <v>#REF!</v>
      </c>
      <c r="U11" s="41" t="e">
        <f t="shared" ca="1" si="0"/>
        <v>#REF!</v>
      </c>
    </row>
    <row r="12" spans="1:24" x14ac:dyDescent="0.25">
      <c r="A12" s="35" t="s">
        <v>367</v>
      </c>
      <c r="B12" s="35">
        <v>112</v>
      </c>
      <c r="D12" s="33">
        <f t="shared" si="1"/>
        <v>0</v>
      </c>
      <c r="E12" s="3">
        <f>COUNTIF(Vertices[Degree], "&gt;= " &amp; D12) - COUNTIF(Vertices[Degree], "&gt;=" &amp; D13)</f>
        <v>0</v>
      </c>
      <c r="F12" s="38">
        <f t="shared" si="2"/>
        <v>7.3529411764705888</v>
      </c>
      <c r="G12" s="39">
        <f>COUNTIF(Vertices[In-Degree], "&gt;= " &amp; F12) - COUNTIF(Vertices[In-Degree], "&gt;=" &amp; F13)</f>
        <v>1</v>
      </c>
      <c r="H12" s="38">
        <f t="shared" si="3"/>
        <v>5.2941176470588234</v>
      </c>
      <c r="I12" s="39">
        <f>COUNTIF(Vertices[Out-Degree], "&gt;= " &amp; H12) - COUNTIF(Vertices[Out-Degree], "&gt;=" &amp; H13)</f>
        <v>0</v>
      </c>
      <c r="J12" s="38">
        <f t="shared" si="4"/>
        <v>2713.4705882352941</v>
      </c>
      <c r="K12" s="39">
        <f>COUNTIF(Vertices[Betweenness Centrality], "&gt;= " &amp; J12) - COUNTIF(Vertices[Betweenness Centrality], "&gt;=" &amp; J13)</f>
        <v>0</v>
      </c>
      <c r="L12" s="38">
        <f t="shared" si="5"/>
        <v>0.1417364705882353</v>
      </c>
      <c r="M12" s="39">
        <f>COUNTIF(Vertices[Closeness Centrality], "&gt;= " &amp; L12) - COUNTIF(Vertices[Closeness Centrality], "&gt;=" &amp; L13)</f>
        <v>0</v>
      </c>
      <c r="N12" s="38">
        <f t="shared" si="6"/>
        <v>0.17801264705882355</v>
      </c>
      <c r="O12" s="39">
        <f>COUNTIF(Vertices[Eigenvector Centrality], "&gt;= " &amp; N12) - COUNTIF(Vertices[Eigenvector Centrality], "&gt;=" &amp; N13)</f>
        <v>1</v>
      </c>
      <c r="P12" s="38">
        <f t="shared" si="7"/>
        <v>1.0920941176470592E-2</v>
      </c>
      <c r="Q12" s="39">
        <f>COUNTIF(Vertices[PageRank], "&gt;= " &amp; P12) - COUNTIF(Vertices[PageRank], "&gt;=" &amp; P13)</f>
        <v>1</v>
      </c>
      <c r="R12" s="38">
        <f t="shared" si="8"/>
        <v>0.29411764705882354</v>
      </c>
      <c r="S12" s="44">
        <f>COUNTIF(Vertices[Clustering Coefficient], "&gt;= " &amp; R12) - COUNTIF(Vertices[Clustering Coefficient], "&gt;=" &amp; R13)</f>
        <v>0</v>
      </c>
      <c r="T12" s="38" t="e">
        <f t="shared" ca="1" si="9"/>
        <v>#REF!</v>
      </c>
      <c r="U12" s="39" t="e">
        <f t="shared" ca="1" si="0"/>
        <v>#REF!</v>
      </c>
    </row>
    <row r="13" spans="1:24" x14ac:dyDescent="0.25">
      <c r="A13" s="35" t="s">
        <v>365</v>
      </c>
      <c r="B13" s="35">
        <v>67</v>
      </c>
      <c r="D13" s="33">
        <f t="shared" si="1"/>
        <v>0</v>
      </c>
      <c r="E13" s="3">
        <f>COUNTIF(Vertices[Degree], "&gt;= " &amp; D13) - COUNTIF(Vertices[Degree], "&gt;=" &amp; D14)</f>
        <v>0</v>
      </c>
      <c r="F13" s="40">
        <f t="shared" si="2"/>
        <v>8.0882352941176485</v>
      </c>
      <c r="G13" s="41">
        <f>COUNTIF(Vertices[In-Degree], "&gt;= " &amp; F13) - COUNTIF(Vertices[In-Degree], "&gt;=" &amp; F14)</f>
        <v>0</v>
      </c>
      <c r="H13" s="40">
        <f t="shared" si="3"/>
        <v>5.8235294117647056</v>
      </c>
      <c r="I13" s="41">
        <f>COUNTIF(Vertices[Out-Degree], "&gt;= " &amp; H13) - COUNTIF(Vertices[Out-Degree], "&gt;=" &amp; H14)</f>
        <v>3</v>
      </c>
      <c r="J13" s="40">
        <f t="shared" si="4"/>
        <v>2984.8176470588237</v>
      </c>
      <c r="K13" s="41">
        <f>COUNTIF(Vertices[Betweenness Centrality], "&gt;= " &amp; J13) - COUNTIF(Vertices[Betweenness Centrality], "&gt;=" &amp; J14)</f>
        <v>0</v>
      </c>
      <c r="L13" s="40">
        <f t="shared" si="5"/>
        <v>0.15591011764705884</v>
      </c>
      <c r="M13" s="41">
        <f>COUNTIF(Vertices[Closeness Centrality], "&gt;= " &amp; L13) - COUNTIF(Vertices[Closeness Centrality], "&gt;=" &amp; L14)</f>
        <v>2</v>
      </c>
      <c r="N13" s="40">
        <f t="shared" si="6"/>
        <v>0.19581391176470592</v>
      </c>
      <c r="O13" s="41">
        <f>COUNTIF(Vertices[Eigenvector Centrality], "&gt;= " &amp; N13) - COUNTIF(Vertices[Eigenvector Centrality], "&gt;=" &amp; N14)</f>
        <v>2</v>
      </c>
      <c r="P13" s="40">
        <f t="shared" si="7"/>
        <v>1.1319235294117651E-2</v>
      </c>
      <c r="Q13" s="41">
        <f>COUNTIF(Vertices[PageRank], "&gt;= " &amp; P13) - COUNTIF(Vertices[PageRank], "&gt;=" &amp; P14)</f>
        <v>0</v>
      </c>
      <c r="R13" s="40">
        <f t="shared" si="8"/>
        <v>0.3235294117647059</v>
      </c>
      <c r="S13" s="45">
        <f>COUNTIF(Vertices[Clustering Coefficient], "&gt;= " &amp; R13) - COUNTIF(Vertices[Clustering Coefficient], "&gt;=" &amp; R14)</f>
        <v>9</v>
      </c>
      <c r="T13" s="40" t="e">
        <f t="shared" ca="1" si="9"/>
        <v>#REF!</v>
      </c>
      <c r="U13" s="41" t="e">
        <f t="shared" ca="1" si="0"/>
        <v>#REF!</v>
      </c>
    </row>
    <row r="14" spans="1:24" x14ac:dyDescent="0.25">
      <c r="A14" s="35" t="s">
        <v>366</v>
      </c>
      <c r="B14" s="35">
        <v>64</v>
      </c>
      <c r="D14" s="33">
        <f t="shared" si="1"/>
        <v>0</v>
      </c>
      <c r="E14" s="3">
        <f>COUNTIF(Vertices[Degree], "&gt;= " &amp; D14) - COUNTIF(Vertices[Degree], "&gt;=" &amp; D15)</f>
        <v>0</v>
      </c>
      <c r="F14" s="38">
        <f t="shared" si="2"/>
        <v>8.8235294117647065</v>
      </c>
      <c r="G14" s="39">
        <f>COUNTIF(Vertices[In-Degree], "&gt;= " &amp; F14) - COUNTIF(Vertices[In-Degree], "&gt;=" &amp; F15)</f>
        <v>1</v>
      </c>
      <c r="H14" s="38">
        <f t="shared" si="3"/>
        <v>6.3529411764705879</v>
      </c>
      <c r="I14" s="39">
        <f>COUNTIF(Vertices[Out-Degree], "&gt;= " &amp; H14) - COUNTIF(Vertices[Out-Degree], "&gt;=" &amp; H15)</f>
        <v>0</v>
      </c>
      <c r="J14" s="38">
        <f t="shared" si="4"/>
        <v>3256.1647058823532</v>
      </c>
      <c r="K14" s="39">
        <f>COUNTIF(Vertices[Betweenness Centrality], "&gt;= " &amp; J14) - COUNTIF(Vertices[Betweenness Centrality], "&gt;=" &amp; J15)</f>
        <v>0</v>
      </c>
      <c r="L14" s="38">
        <f t="shared" si="5"/>
        <v>0.17008376470588238</v>
      </c>
      <c r="M14" s="39">
        <f>COUNTIF(Vertices[Closeness Centrality], "&gt;= " &amp; L14) - COUNTIF(Vertices[Closeness Centrality], "&gt;=" &amp; L15)</f>
        <v>0</v>
      </c>
      <c r="N14" s="38">
        <f t="shared" si="6"/>
        <v>0.21361517647058828</v>
      </c>
      <c r="O14" s="39">
        <f>COUNTIF(Vertices[Eigenvector Centrality], "&gt;= " &amp; N14) - COUNTIF(Vertices[Eigenvector Centrality], "&gt;=" &amp; N15)</f>
        <v>0</v>
      </c>
      <c r="P14" s="38">
        <f t="shared" si="7"/>
        <v>1.171752941176471E-2</v>
      </c>
      <c r="Q14" s="39">
        <f>COUNTIF(Vertices[PageRank], "&gt;= " &amp; P14) - COUNTIF(Vertices[PageRank], "&gt;=" &amp; P15)</f>
        <v>1</v>
      </c>
      <c r="R14" s="38">
        <f t="shared" si="8"/>
        <v>0.35294117647058826</v>
      </c>
      <c r="S14" s="44">
        <f>COUNTIF(Vertices[Clustering Coefficient], "&gt;= " &amp; R14) - COUNTIF(Vertices[Clustering Coefficient], "&gt;=" &amp; R15)</f>
        <v>0</v>
      </c>
      <c r="T14" s="38" t="e">
        <f t="shared" ca="1" si="9"/>
        <v>#REF!</v>
      </c>
      <c r="U14" s="39" t="e">
        <f t="shared" ca="1" si="0"/>
        <v>#REF!</v>
      </c>
    </row>
    <row r="15" spans="1:24" x14ac:dyDescent="0.25">
      <c r="A15" s="35" t="s">
        <v>196</v>
      </c>
      <c r="B15" s="35">
        <v>18</v>
      </c>
      <c r="D15" s="33">
        <f t="shared" si="1"/>
        <v>0</v>
      </c>
      <c r="E15" s="3">
        <f>COUNTIF(Vertices[Degree], "&gt;= " &amp; D15) - COUNTIF(Vertices[Degree], "&gt;=" &amp; D16)</f>
        <v>0</v>
      </c>
      <c r="F15" s="40">
        <f t="shared" si="2"/>
        <v>9.5588235294117645</v>
      </c>
      <c r="G15" s="41">
        <f>COUNTIF(Vertices[In-Degree], "&gt;= " &amp; F15) - COUNTIF(Vertices[In-Degree], "&gt;=" &amp; F16)</f>
        <v>0</v>
      </c>
      <c r="H15" s="40">
        <f t="shared" si="3"/>
        <v>6.8823529411764701</v>
      </c>
      <c r="I15" s="41">
        <f>COUNTIF(Vertices[Out-Degree], "&gt;= " &amp; H15) - COUNTIF(Vertices[Out-Degree], "&gt;=" &amp; H16)</f>
        <v>3</v>
      </c>
      <c r="J15" s="40">
        <f t="shared" si="4"/>
        <v>3527.5117647058828</v>
      </c>
      <c r="K15" s="41">
        <f>COUNTIF(Vertices[Betweenness Centrality], "&gt;= " &amp; J15) - COUNTIF(Vertices[Betweenness Centrality], "&gt;=" &amp; J16)</f>
        <v>0</v>
      </c>
      <c r="L15" s="40">
        <f t="shared" si="5"/>
        <v>0.18425741176470592</v>
      </c>
      <c r="M15" s="41">
        <f>COUNTIF(Vertices[Closeness Centrality], "&gt;= " &amp; L15) - COUNTIF(Vertices[Closeness Centrality], "&gt;=" &amp; L16)</f>
        <v>6</v>
      </c>
      <c r="N15" s="40">
        <f t="shared" si="6"/>
        <v>0.23141644117647064</v>
      </c>
      <c r="O15" s="41">
        <f>COUNTIF(Vertices[Eigenvector Centrality], "&gt;= " &amp; N15) - COUNTIF(Vertices[Eigenvector Centrality], "&gt;=" &amp; N16)</f>
        <v>0</v>
      </c>
      <c r="P15" s="40">
        <f t="shared" si="7"/>
        <v>1.2115823529411769E-2</v>
      </c>
      <c r="Q15" s="41">
        <f>COUNTIF(Vertices[PageRank], "&gt;= " &amp; P15) - COUNTIF(Vertices[PageRank], "&gt;=" &amp; P16)</f>
        <v>1</v>
      </c>
      <c r="R15" s="40">
        <f t="shared" si="8"/>
        <v>0.38235294117647062</v>
      </c>
      <c r="S15" s="45">
        <f>COUNTIF(Vertices[Clustering Coefficient], "&gt;= " &amp; R15) - COUNTIF(Vertices[Clustering Coefficient], "&gt;=" &amp; R16)</f>
        <v>0</v>
      </c>
      <c r="T15" s="40" t="e">
        <f t="shared" ca="1" si="9"/>
        <v>#REF!</v>
      </c>
      <c r="U15" s="41" t="e">
        <f t="shared" ca="1" si="0"/>
        <v>#REF!</v>
      </c>
    </row>
    <row r="16" spans="1:24" x14ac:dyDescent="0.25">
      <c r="A16" s="35" t="s">
        <v>371</v>
      </c>
      <c r="B16" s="35">
        <v>6</v>
      </c>
      <c r="D16" s="33">
        <f t="shared" si="1"/>
        <v>0</v>
      </c>
      <c r="E16" s="3">
        <f>COUNTIF(Vertices[Degree], "&gt;= " &amp; D16) - COUNTIF(Vertices[Degree], "&gt;=" &amp; D17)</f>
        <v>0</v>
      </c>
      <c r="F16" s="38">
        <f t="shared" si="2"/>
        <v>10.294117647058822</v>
      </c>
      <c r="G16" s="39">
        <f>COUNTIF(Vertices[In-Degree], "&gt;= " &amp; F16) - COUNTIF(Vertices[In-Degree], "&gt;=" &amp; F17)</f>
        <v>1</v>
      </c>
      <c r="H16" s="38">
        <f t="shared" si="3"/>
        <v>7.4117647058823524</v>
      </c>
      <c r="I16" s="39">
        <f>COUNTIF(Vertices[Out-Degree], "&gt;= " &amp; H16) - COUNTIF(Vertices[Out-Degree], "&gt;=" &amp; H17)</f>
        <v>0</v>
      </c>
      <c r="J16" s="38">
        <f t="shared" si="4"/>
        <v>3798.8588235294123</v>
      </c>
      <c r="K16" s="39">
        <f>COUNTIF(Vertices[Betweenness Centrality], "&gt;= " &amp; J16) - COUNTIF(Vertices[Betweenness Centrality], "&gt;=" &amp; J17)</f>
        <v>0</v>
      </c>
      <c r="L16" s="38">
        <f t="shared" si="5"/>
        <v>0.19843105882352946</v>
      </c>
      <c r="M16" s="39">
        <f>COUNTIF(Vertices[Closeness Centrality], "&gt;= " &amp; L16) - COUNTIF(Vertices[Closeness Centrality], "&gt;=" &amp; L17)</f>
        <v>2</v>
      </c>
      <c r="N16" s="38">
        <f t="shared" si="6"/>
        <v>0.24921770588235301</v>
      </c>
      <c r="O16" s="39">
        <f>COUNTIF(Vertices[Eigenvector Centrality], "&gt;= " &amp; N16) - COUNTIF(Vertices[Eigenvector Centrality], "&gt;=" &amp; N17)</f>
        <v>0</v>
      </c>
      <c r="P16" s="38">
        <f t="shared" si="7"/>
        <v>1.2514117647058828E-2</v>
      </c>
      <c r="Q16" s="39">
        <f>COUNTIF(Vertices[PageRank], "&gt;= " &amp; P16) - COUNTIF(Vertices[PageRank], "&gt;=" &amp; P17)</f>
        <v>0</v>
      </c>
      <c r="R16" s="38">
        <f t="shared" si="8"/>
        <v>0.41176470588235298</v>
      </c>
      <c r="S16" s="44">
        <f>COUNTIF(Vertices[Clustering Coefficient], "&gt;= " &amp; R16) - COUNTIF(Vertices[Clustering Coefficient], "&gt;=" &amp; R17)</f>
        <v>0</v>
      </c>
      <c r="T16" s="38" t="e">
        <f t="shared" ca="1" si="9"/>
        <v>#REF!</v>
      </c>
      <c r="U16" s="39" t="e">
        <f t="shared" ca="1" si="0"/>
        <v>#REF!</v>
      </c>
    </row>
    <row r="17" spans="1:21" x14ac:dyDescent="0.25">
      <c r="A17" s="35" t="s">
        <v>370</v>
      </c>
      <c r="B17" s="35">
        <v>17</v>
      </c>
      <c r="D17" s="33">
        <f t="shared" si="1"/>
        <v>0</v>
      </c>
      <c r="E17" s="3">
        <f>COUNTIF(Vertices[Degree], "&gt;= " &amp; D17) - COUNTIF(Vertices[Degree], "&gt;=" &amp; D18)</f>
        <v>0</v>
      </c>
      <c r="F17" s="40">
        <f t="shared" si="2"/>
        <v>11.02941176470588</v>
      </c>
      <c r="G17" s="41">
        <f>COUNTIF(Vertices[In-Degree], "&gt;= " &amp; F17) - COUNTIF(Vertices[In-Degree], "&gt;=" &amp; F18)</f>
        <v>0</v>
      </c>
      <c r="H17" s="40">
        <f t="shared" si="3"/>
        <v>7.9411764705882346</v>
      </c>
      <c r="I17" s="41">
        <f>COUNTIF(Vertices[Out-Degree], "&gt;= " &amp; H17) - COUNTIF(Vertices[Out-Degree], "&gt;=" &amp; H18)</f>
        <v>1</v>
      </c>
      <c r="J17" s="40">
        <f t="shared" si="4"/>
        <v>4070.2058823529419</v>
      </c>
      <c r="K17" s="41">
        <f>COUNTIF(Vertices[Betweenness Centrality], "&gt;= " &amp; J17) - COUNTIF(Vertices[Betweenness Centrality], "&gt;=" &amp; J18)</f>
        <v>0</v>
      </c>
      <c r="L17" s="40">
        <f t="shared" si="5"/>
        <v>0.212604705882353</v>
      </c>
      <c r="M17" s="41">
        <f>COUNTIF(Vertices[Closeness Centrality], "&gt;= " &amp; L17) - COUNTIF(Vertices[Closeness Centrality], "&gt;=" &amp; L18)</f>
        <v>0</v>
      </c>
      <c r="N17" s="40">
        <f t="shared" si="6"/>
        <v>0.26701897058823537</v>
      </c>
      <c r="O17" s="41">
        <f>COUNTIF(Vertices[Eigenvector Centrality], "&gt;= " &amp; N17) - COUNTIF(Vertices[Eigenvector Centrality], "&gt;=" &amp; N18)</f>
        <v>1</v>
      </c>
      <c r="P17" s="40">
        <f t="shared" si="7"/>
        <v>1.2912411764705888E-2</v>
      </c>
      <c r="Q17" s="41">
        <f>COUNTIF(Vertices[PageRank], "&gt;= " &amp; P17) - COUNTIF(Vertices[PageRank], "&gt;=" &amp; P18)</f>
        <v>1</v>
      </c>
      <c r="R17" s="40">
        <f t="shared" si="8"/>
        <v>0.44117647058823534</v>
      </c>
      <c r="S17" s="45">
        <f>COUNTIF(Vertices[Clustering Coefficient], "&gt;= " &amp; R17) - COUNTIF(Vertices[Clustering Coefficient], "&gt;=" &amp; R18)</f>
        <v>0</v>
      </c>
      <c r="T17" s="40" t="e">
        <f t="shared" ca="1" si="9"/>
        <v>#REF!</v>
      </c>
      <c r="U17" s="41" t="e">
        <f t="shared" ca="1" si="0"/>
        <v>#REF!</v>
      </c>
    </row>
    <row r="18" spans="1:21" x14ac:dyDescent="0.25">
      <c r="A18" s="35" t="s">
        <v>369</v>
      </c>
      <c r="B18" s="35">
        <v>4</v>
      </c>
      <c r="D18" s="33">
        <f t="shared" si="1"/>
        <v>0</v>
      </c>
      <c r="E18" s="3">
        <f>COUNTIF(Vertices[Degree], "&gt;= " &amp; D18) - COUNTIF(Vertices[Degree], "&gt;=" &amp; D19)</f>
        <v>0</v>
      </c>
      <c r="F18" s="38">
        <f t="shared" si="2"/>
        <v>11.764705882352938</v>
      </c>
      <c r="G18" s="39">
        <f>COUNTIF(Vertices[In-Degree], "&gt;= " &amp; F18) - COUNTIF(Vertices[In-Degree], "&gt;=" &amp; F19)</f>
        <v>0</v>
      </c>
      <c r="H18" s="38">
        <f t="shared" si="3"/>
        <v>8.4705882352941178</v>
      </c>
      <c r="I18" s="39">
        <f>COUNTIF(Vertices[Out-Degree], "&gt;= " &amp; H18) - COUNTIF(Vertices[Out-Degree], "&gt;=" &amp; H19)</f>
        <v>0</v>
      </c>
      <c r="J18" s="38">
        <f t="shared" si="4"/>
        <v>4341.552941176471</v>
      </c>
      <c r="K18" s="39">
        <f>COUNTIF(Vertices[Betweenness Centrality], "&gt;= " &amp; J18) - COUNTIF(Vertices[Betweenness Centrality], "&gt;=" &amp; J19)</f>
        <v>0</v>
      </c>
      <c r="L18" s="38">
        <f t="shared" si="5"/>
        <v>0.22677835294117654</v>
      </c>
      <c r="M18" s="39">
        <f>COUNTIF(Vertices[Closeness Centrality], "&gt;= " &amp; L18) - COUNTIF(Vertices[Closeness Centrality], "&gt;=" &amp; L19)</f>
        <v>27</v>
      </c>
      <c r="N18" s="38">
        <f t="shared" si="6"/>
        <v>0.28482023529411771</v>
      </c>
      <c r="O18" s="39">
        <f>COUNTIF(Vertices[Eigenvector Centrality], "&gt;= " &amp; N18) - COUNTIF(Vertices[Eigenvector Centrality], "&gt;=" &amp; N19)</f>
        <v>0</v>
      </c>
      <c r="P18" s="38">
        <f t="shared" si="7"/>
        <v>1.3310705882352947E-2</v>
      </c>
      <c r="Q18" s="39">
        <f>COUNTIF(Vertices[PageRank], "&gt;= " &amp; P18) - COUNTIF(Vertices[PageRank], "&gt;=" &amp; P19)</f>
        <v>1</v>
      </c>
      <c r="R18" s="38">
        <f t="shared" si="8"/>
        <v>0.4705882352941177</v>
      </c>
      <c r="S18" s="44">
        <f>COUNTIF(Vertices[Clustering Coefficient], "&gt;= " &amp; R18) - COUNTIF(Vertices[Clustering Coefficient], "&gt;=" &amp; R19)</f>
        <v>0</v>
      </c>
      <c r="T18" s="38" t="e">
        <f t="shared" ca="1" si="9"/>
        <v>#REF!</v>
      </c>
      <c r="U18" s="39" t="e">
        <f t="shared" ca="1" si="0"/>
        <v>#REF!</v>
      </c>
    </row>
    <row r="19" spans="1:21" x14ac:dyDescent="0.25">
      <c r="A19" s="35" t="s">
        <v>368</v>
      </c>
      <c r="B19" s="35">
        <v>6</v>
      </c>
      <c r="D19" s="33">
        <f t="shared" si="1"/>
        <v>0</v>
      </c>
      <c r="E19" s="3">
        <f>COUNTIF(Vertices[Degree], "&gt;= " &amp; D19) - COUNTIF(Vertices[Degree], "&gt;=" &amp; D20)</f>
        <v>0</v>
      </c>
      <c r="F19" s="40">
        <f t="shared" si="2"/>
        <v>12.499999999999996</v>
      </c>
      <c r="G19" s="41">
        <f>COUNTIF(Vertices[In-Degree], "&gt;= " &amp; F19) - COUNTIF(Vertices[In-Degree], "&gt;=" &amp; F20)</f>
        <v>0</v>
      </c>
      <c r="H19" s="40">
        <f t="shared" si="3"/>
        <v>9</v>
      </c>
      <c r="I19" s="41">
        <f>COUNTIF(Vertices[Out-Degree], "&gt;= " &amp; H19) - COUNTIF(Vertices[Out-Degree], "&gt;=" &amp; H20)</f>
        <v>0</v>
      </c>
      <c r="J19" s="40">
        <f t="shared" si="4"/>
        <v>4612.9000000000005</v>
      </c>
      <c r="K19" s="41">
        <f>COUNTIF(Vertices[Betweenness Centrality], "&gt;= " &amp; J19) - COUNTIF(Vertices[Betweenness Centrality], "&gt;=" &amp; J20)</f>
        <v>0</v>
      </c>
      <c r="L19" s="40">
        <f t="shared" si="5"/>
        <v>0.24095200000000008</v>
      </c>
      <c r="M19" s="41">
        <f>COUNTIF(Vertices[Closeness Centrality], "&gt;= " &amp; L19) - COUNTIF(Vertices[Closeness Centrality], "&gt;=" &amp; L20)</f>
        <v>28</v>
      </c>
      <c r="N19" s="40">
        <f t="shared" si="6"/>
        <v>0.30262150000000004</v>
      </c>
      <c r="O19" s="41">
        <f>COUNTIF(Vertices[Eigenvector Centrality], "&gt;= " &amp; N19) - COUNTIF(Vertices[Eigenvector Centrality], "&gt;=" &amp; N20)</f>
        <v>0</v>
      </c>
      <c r="P19" s="40">
        <f t="shared" si="7"/>
        <v>1.3709000000000006E-2</v>
      </c>
      <c r="Q19" s="41">
        <f>COUNTIF(Vertices[PageRank], "&gt;= " &amp; P19) - COUNTIF(Vertices[PageRank], "&gt;=" &amp; P20)</f>
        <v>0</v>
      </c>
      <c r="R19" s="40">
        <f t="shared" si="8"/>
        <v>0.5</v>
      </c>
      <c r="S19" s="45">
        <f>COUNTIF(Vertices[Clustering Coefficient], "&gt;= " &amp; R19) - COUNTIF(Vertices[Clustering Coefficient], "&gt;=" &amp; R20)</f>
        <v>11</v>
      </c>
      <c r="T19" s="40" t="e">
        <f t="shared" ca="1" si="9"/>
        <v>#REF!</v>
      </c>
      <c r="U19" s="41" t="e">
        <f t="shared" ca="1" si="0"/>
        <v>#REF!</v>
      </c>
    </row>
    <row r="20" spans="1:21" x14ac:dyDescent="0.25">
      <c r="A20" s="115"/>
      <c r="B20" s="115"/>
      <c r="D20" s="33">
        <f t="shared" si="1"/>
        <v>0</v>
      </c>
      <c r="E20" s="3">
        <f>COUNTIF(Vertices[Degree], "&gt;= " &amp; D20) - COUNTIF(Vertices[Degree], "&gt;=" &amp; D21)</f>
        <v>0</v>
      </c>
      <c r="F20" s="38">
        <f t="shared" si="2"/>
        <v>13.235294117647054</v>
      </c>
      <c r="G20" s="39">
        <f>COUNTIF(Vertices[In-Degree], "&gt;= " &amp; F20) - COUNTIF(Vertices[In-Degree], "&gt;=" &amp; F21)</f>
        <v>0</v>
      </c>
      <c r="H20" s="38">
        <f t="shared" si="3"/>
        <v>9.5294117647058822</v>
      </c>
      <c r="I20" s="39">
        <f>COUNTIF(Vertices[Out-Degree], "&gt;= " &amp; H20) - COUNTIF(Vertices[Out-Degree], "&gt;=" &amp; H21)</f>
        <v>1</v>
      </c>
      <c r="J20" s="38">
        <f t="shared" si="4"/>
        <v>4884.2470588235301</v>
      </c>
      <c r="K20" s="39">
        <f>COUNTIF(Vertices[Betweenness Centrality], "&gt;= " &amp; J20) - COUNTIF(Vertices[Betweenness Centrality], "&gt;=" &amp; J21)</f>
        <v>0</v>
      </c>
      <c r="L20" s="38">
        <f t="shared" si="5"/>
        <v>0.25512564705882362</v>
      </c>
      <c r="M20" s="39">
        <f>COUNTIF(Vertices[Closeness Centrality], "&gt;= " &amp; L20) - COUNTIF(Vertices[Closeness Centrality], "&gt;=" &amp; L21)</f>
        <v>4</v>
      </c>
      <c r="N20" s="38">
        <f t="shared" si="6"/>
        <v>0.32042276470588238</v>
      </c>
      <c r="O20" s="39">
        <f>COUNTIF(Vertices[Eigenvector Centrality], "&gt;= " &amp; N20) - COUNTIF(Vertices[Eigenvector Centrality], "&gt;=" &amp; N21)</f>
        <v>0</v>
      </c>
      <c r="P20" s="38">
        <f t="shared" si="7"/>
        <v>1.4107294117647065E-2</v>
      </c>
      <c r="Q20" s="39">
        <f>COUNTIF(Vertices[PageRank], "&gt;= " &amp; P20) - COUNTIF(Vertices[PageRank], "&gt;=" &amp; P21)</f>
        <v>2</v>
      </c>
      <c r="R20" s="38">
        <f t="shared" si="8"/>
        <v>0.52941176470588236</v>
      </c>
      <c r="S20" s="44">
        <f>COUNTIF(Vertices[Clustering Coefficient], "&gt;= " &amp; R20) - COUNTIF(Vertices[Clustering Coefficient], "&gt;=" &amp; R21)</f>
        <v>0</v>
      </c>
      <c r="T20" s="38" t="e">
        <f t="shared" ca="1" si="9"/>
        <v>#REF!</v>
      </c>
      <c r="U20" s="39" t="e">
        <f t="shared" ca="1" si="0"/>
        <v>#REF!</v>
      </c>
    </row>
    <row r="21" spans="1:21" x14ac:dyDescent="0.25">
      <c r="A21" s="35" t="s">
        <v>151</v>
      </c>
      <c r="B21" s="35">
        <v>37</v>
      </c>
      <c r="D21" s="33">
        <f t="shared" si="1"/>
        <v>0</v>
      </c>
      <c r="E21" s="3">
        <f>COUNTIF(Vertices[Degree], "&gt;= " &amp; D21) - COUNTIF(Vertices[Degree], "&gt;=" &amp; D22)</f>
        <v>0</v>
      </c>
      <c r="F21" s="40">
        <f t="shared" si="2"/>
        <v>13.970588235294112</v>
      </c>
      <c r="G21" s="41">
        <f>COUNTIF(Vertices[In-Degree], "&gt;= " &amp; F21) - COUNTIF(Vertices[In-Degree], "&gt;=" &amp; F22)</f>
        <v>0</v>
      </c>
      <c r="H21" s="40">
        <f t="shared" si="3"/>
        <v>10.058823529411764</v>
      </c>
      <c r="I21" s="41">
        <f>COUNTIF(Vertices[Out-Degree], "&gt;= " &amp; H21) - COUNTIF(Vertices[Out-Degree], "&gt;=" &amp; H22)</f>
        <v>0</v>
      </c>
      <c r="J21" s="40">
        <f t="shared" si="4"/>
        <v>5155.5941176470596</v>
      </c>
      <c r="K21" s="41">
        <f>COUNTIF(Vertices[Betweenness Centrality], "&gt;= " &amp; J21) - COUNTIF(Vertices[Betweenness Centrality], "&gt;=" &amp; J22)</f>
        <v>0</v>
      </c>
      <c r="L21" s="40">
        <f t="shared" si="5"/>
        <v>0.26929929411764714</v>
      </c>
      <c r="M21" s="41">
        <f>COUNTIF(Vertices[Closeness Centrality], "&gt;= " &amp; L21) - COUNTIF(Vertices[Closeness Centrality], "&gt;=" &amp; L22)</f>
        <v>0</v>
      </c>
      <c r="N21" s="40">
        <f t="shared" si="6"/>
        <v>0.33822402941176472</v>
      </c>
      <c r="O21" s="41">
        <f>COUNTIF(Vertices[Eigenvector Centrality], "&gt;= " &amp; N21) - COUNTIF(Vertices[Eigenvector Centrality], "&gt;=" &amp; N22)</f>
        <v>0</v>
      </c>
      <c r="P21" s="40">
        <f t="shared" si="7"/>
        <v>1.4505588235294124E-2</v>
      </c>
      <c r="Q21" s="41">
        <f>COUNTIF(Vertices[PageRank], "&gt;= " &amp; P21) - COUNTIF(Vertices[PageRank], "&gt;=" &amp; P22)</f>
        <v>0</v>
      </c>
      <c r="R21" s="40">
        <f t="shared" si="8"/>
        <v>0.55882352941176472</v>
      </c>
      <c r="S21" s="45">
        <f>COUNTIF(Vertices[Clustering Coefficient], "&gt;= " &amp; R21) - COUNTIF(Vertices[Clustering Coefficient], "&gt;=" &amp; R22)</f>
        <v>0</v>
      </c>
      <c r="T21" s="40" t="e">
        <f t="shared" ca="1" si="9"/>
        <v>#REF!</v>
      </c>
      <c r="U21" s="41" t="e">
        <f t="shared" ca="1" si="0"/>
        <v>#REF!</v>
      </c>
    </row>
    <row r="22" spans="1:21" x14ac:dyDescent="0.25">
      <c r="A22" s="115"/>
      <c r="B22" s="115"/>
      <c r="D22" s="33">
        <f t="shared" si="1"/>
        <v>0</v>
      </c>
      <c r="E22" s="3">
        <f>COUNTIF(Vertices[Degree], "&gt;= " &amp; D22) - COUNTIF(Vertices[Degree], "&gt;=" &amp; D23)</f>
        <v>0</v>
      </c>
      <c r="F22" s="38">
        <f t="shared" si="2"/>
        <v>14.70588235294117</v>
      </c>
      <c r="G22" s="39">
        <f>COUNTIF(Vertices[In-Degree], "&gt;= " &amp; F22) - COUNTIF(Vertices[In-Degree], "&gt;=" &amp; F23)</f>
        <v>0</v>
      </c>
      <c r="H22" s="38">
        <f t="shared" si="3"/>
        <v>10.588235294117647</v>
      </c>
      <c r="I22" s="39">
        <f>COUNTIF(Vertices[Out-Degree], "&gt;= " &amp; H22) - COUNTIF(Vertices[Out-Degree], "&gt;=" &amp; H23)</f>
        <v>1</v>
      </c>
      <c r="J22" s="38">
        <f t="shared" si="4"/>
        <v>5426.9411764705892</v>
      </c>
      <c r="K22" s="39">
        <f>COUNTIF(Vertices[Betweenness Centrality], "&gt;= " &amp; J22) - COUNTIF(Vertices[Betweenness Centrality], "&gt;=" &amp; J23)</f>
        <v>0</v>
      </c>
      <c r="L22" s="38">
        <f t="shared" si="5"/>
        <v>0.28347294117647065</v>
      </c>
      <c r="M22" s="39">
        <f>COUNTIF(Vertices[Closeness Centrality], "&gt;= " &amp; L22) - COUNTIF(Vertices[Closeness Centrality], "&gt;=" &amp; L23)</f>
        <v>0</v>
      </c>
      <c r="N22" s="38">
        <f t="shared" si="6"/>
        <v>0.35602529411764705</v>
      </c>
      <c r="O22" s="39">
        <f>COUNTIF(Vertices[Eigenvector Centrality], "&gt;= " &amp; N22) - COUNTIF(Vertices[Eigenvector Centrality], "&gt;=" &amp; N23)</f>
        <v>0</v>
      </c>
      <c r="P22" s="38">
        <f t="shared" si="7"/>
        <v>1.4903882352941183E-2</v>
      </c>
      <c r="Q22" s="39">
        <f>COUNTIF(Vertices[PageRank], "&gt;= " &amp; P22) - COUNTIF(Vertices[PageRank], "&gt;=" &amp; P23)</f>
        <v>0</v>
      </c>
      <c r="R22" s="38">
        <f t="shared" si="8"/>
        <v>0.58823529411764708</v>
      </c>
      <c r="S22" s="44">
        <f>COUNTIF(Vertices[Clustering Coefficient], "&gt;= " &amp; R22) - COUNTIF(Vertices[Clustering Coefficient], "&gt;=" &amp; R23)</f>
        <v>0</v>
      </c>
      <c r="T22" s="38" t="e">
        <f t="shared" ca="1" si="9"/>
        <v>#REF!</v>
      </c>
      <c r="U22" s="39" t="e">
        <f t="shared" ca="1" si="0"/>
        <v>#REF!</v>
      </c>
    </row>
    <row r="23" spans="1:21" x14ac:dyDescent="0.25">
      <c r="A23" s="35" t="s">
        <v>170</v>
      </c>
      <c r="B23" s="35">
        <v>0.10526315789473684</v>
      </c>
      <c r="D23" s="33">
        <f t="shared" si="1"/>
        <v>0</v>
      </c>
      <c r="E23" s="3">
        <f>COUNTIF(Vertices[Degree], "&gt;= " &amp; D23) - COUNTIF(Vertices[Degree], "&gt;=" &amp; D24)</f>
        <v>0</v>
      </c>
      <c r="F23" s="40">
        <f t="shared" si="2"/>
        <v>15.441176470588228</v>
      </c>
      <c r="G23" s="41">
        <f>COUNTIF(Vertices[In-Degree], "&gt;= " &amp; F23) - COUNTIF(Vertices[In-Degree], "&gt;=" &amp; F24)</f>
        <v>0</v>
      </c>
      <c r="H23" s="40">
        <f t="shared" si="3"/>
        <v>11.117647058823529</v>
      </c>
      <c r="I23" s="41">
        <f>COUNTIF(Vertices[Out-Degree], "&gt;= " &amp; H23) - COUNTIF(Vertices[Out-Degree], "&gt;=" &amp; H24)</f>
        <v>0</v>
      </c>
      <c r="J23" s="40">
        <f t="shared" si="4"/>
        <v>5698.2882352941187</v>
      </c>
      <c r="K23" s="41">
        <f>COUNTIF(Vertices[Betweenness Centrality], "&gt;= " &amp; J23) - COUNTIF(Vertices[Betweenness Centrality], "&gt;=" &amp; J24)</f>
        <v>0</v>
      </c>
      <c r="L23" s="40">
        <f t="shared" si="5"/>
        <v>0.29764658823529416</v>
      </c>
      <c r="M23" s="41">
        <f>COUNTIF(Vertices[Closeness Centrality], "&gt;= " &amp; L23) - COUNTIF(Vertices[Closeness Centrality], "&gt;=" &amp; L24)</f>
        <v>5</v>
      </c>
      <c r="N23" s="40">
        <f t="shared" si="6"/>
        <v>0.37382655882352939</v>
      </c>
      <c r="O23" s="41">
        <f>COUNTIF(Vertices[Eigenvector Centrality], "&gt;= " &amp; N23) - COUNTIF(Vertices[Eigenvector Centrality], "&gt;=" &amp; N24)</f>
        <v>0</v>
      </c>
      <c r="P23" s="40">
        <f t="shared" si="7"/>
        <v>1.5302176470588243E-2</v>
      </c>
      <c r="Q23" s="41">
        <f>COUNTIF(Vertices[PageRank], "&gt;= " &amp; P23) - COUNTIF(Vertices[PageRank], "&gt;=" &amp; P24)</f>
        <v>1</v>
      </c>
      <c r="R23" s="40">
        <f t="shared" si="8"/>
        <v>0.61764705882352944</v>
      </c>
      <c r="S23" s="45">
        <f>COUNTIF(Vertices[Clustering Coefficient], "&gt;= " &amp; R23) - COUNTIF(Vertices[Clustering Coefficient], "&gt;=" &amp; R24)</f>
        <v>0</v>
      </c>
      <c r="T23" s="40" t="e">
        <f t="shared" ca="1" si="9"/>
        <v>#REF!</v>
      </c>
      <c r="U23" s="41" t="e">
        <f t="shared" ca="1" si="0"/>
        <v>#REF!</v>
      </c>
    </row>
    <row r="24" spans="1:21" x14ac:dyDescent="0.25">
      <c r="A24" s="35" t="s">
        <v>171</v>
      </c>
      <c r="B24" s="35">
        <v>0.19047619047619047</v>
      </c>
      <c r="D24" s="33">
        <f t="shared" si="1"/>
        <v>0</v>
      </c>
      <c r="E24" s="3">
        <f>COUNTIF(Vertices[Degree], "&gt;= " &amp; D24) - COUNTIF(Vertices[Degree], "&gt;=" &amp; D25)</f>
        <v>0</v>
      </c>
      <c r="F24" s="38">
        <f t="shared" si="2"/>
        <v>16.176470588235286</v>
      </c>
      <c r="G24" s="39">
        <f>COUNTIF(Vertices[In-Degree], "&gt;= " &amp; F24) - COUNTIF(Vertices[In-Degree], "&gt;=" &amp; F25)</f>
        <v>0</v>
      </c>
      <c r="H24" s="38">
        <f t="shared" si="3"/>
        <v>11.647058823529411</v>
      </c>
      <c r="I24" s="39">
        <f>COUNTIF(Vertices[Out-Degree], "&gt;= " &amp; H24) - COUNTIF(Vertices[Out-Degree], "&gt;=" &amp; H25)</f>
        <v>1</v>
      </c>
      <c r="J24" s="38">
        <f t="shared" si="4"/>
        <v>5969.6352941176483</v>
      </c>
      <c r="K24" s="39">
        <f>COUNTIF(Vertices[Betweenness Centrality], "&gt;= " &amp; J24) - COUNTIF(Vertices[Betweenness Centrality], "&gt;=" &amp; J25)</f>
        <v>0</v>
      </c>
      <c r="L24" s="38">
        <f t="shared" si="5"/>
        <v>0.31182023529411768</v>
      </c>
      <c r="M24" s="39">
        <f>COUNTIF(Vertices[Closeness Centrality], "&gt;= " &amp; L24) - COUNTIF(Vertices[Closeness Centrality], "&gt;=" &amp; L25)</f>
        <v>22</v>
      </c>
      <c r="N24" s="38">
        <f t="shared" si="6"/>
        <v>0.39162782352941172</v>
      </c>
      <c r="O24" s="39">
        <f>COUNTIF(Vertices[Eigenvector Centrality], "&gt;= " &amp; N24) - COUNTIF(Vertices[Eigenvector Centrality], "&gt;=" &amp; N25)</f>
        <v>0</v>
      </c>
      <c r="P24" s="38">
        <f t="shared" si="7"/>
        <v>1.5700470588235302E-2</v>
      </c>
      <c r="Q24" s="39">
        <f>COUNTIF(Vertices[PageRank], "&gt;= " &amp; P24) - COUNTIF(Vertices[PageRank], "&gt;=" &amp; P25)</f>
        <v>0</v>
      </c>
      <c r="R24" s="38">
        <f t="shared" si="8"/>
        <v>0.6470588235294118</v>
      </c>
      <c r="S24" s="44">
        <f>COUNTIF(Vertices[Clustering Coefficient], "&gt;= " &amp; R24) - COUNTIF(Vertices[Clustering Coefficient], "&gt;=" &amp; R25)</f>
        <v>1</v>
      </c>
      <c r="T24" s="38" t="e">
        <f t="shared" ca="1" si="9"/>
        <v>#REF!</v>
      </c>
      <c r="U24" s="39" t="e">
        <f t="shared" ca="1" si="0"/>
        <v>#REF!</v>
      </c>
    </row>
    <row r="25" spans="1:21" x14ac:dyDescent="0.25">
      <c r="A25" s="115"/>
      <c r="B25" s="115"/>
      <c r="D25" s="33">
        <f t="shared" si="1"/>
        <v>0</v>
      </c>
      <c r="E25" s="3">
        <f>COUNTIF(Vertices[Degree], "&gt;= " &amp; D25) - COUNTIF(Vertices[Degree], "&gt;=" &amp; D26)</f>
        <v>0</v>
      </c>
      <c r="F25" s="40">
        <f t="shared" si="2"/>
        <v>16.911764705882344</v>
      </c>
      <c r="G25" s="41">
        <f>COUNTIF(Vertices[In-Degree], "&gt;= " &amp; F25) - COUNTIF(Vertices[In-Degree], "&gt;=" &amp; F26)</f>
        <v>0</v>
      </c>
      <c r="H25" s="40">
        <f t="shared" si="3"/>
        <v>12.176470588235293</v>
      </c>
      <c r="I25" s="41">
        <f>COUNTIF(Vertices[Out-Degree], "&gt;= " &amp; H25) - COUNTIF(Vertices[Out-Degree], "&gt;=" &amp; H26)</f>
        <v>0</v>
      </c>
      <c r="J25" s="40">
        <f t="shared" si="4"/>
        <v>6240.9823529411779</v>
      </c>
      <c r="K25" s="41">
        <f>COUNTIF(Vertices[Betweenness Centrality], "&gt;= " &amp; J25) - COUNTIF(Vertices[Betweenness Centrality], "&gt;=" &amp; J26)</f>
        <v>0</v>
      </c>
      <c r="L25" s="40">
        <f t="shared" si="5"/>
        <v>0.32599388235294119</v>
      </c>
      <c r="M25" s="41">
        <f>COUNTIF(Vertices[Closeness Centrality], "&gt;= " &amp; L25) - COUNTIF(Vertices[Closeness Centrality], "&gt;=" &amp; L26)</f>
        <v>5</v>
      </c>
      <c r="N25" s="40">
        <f t="shared" si="6"/>
        <v>0.40942908823529406</v>
      </c>
      <c r="O25" s="41">
        <f>COUNTIF(Vertices[Eigenvector Centrality], "&gt;= " &amp; N25) - COUNTIF(Vertices[Eigenvector Centrality], "&gt;=" &amp; N26)</f>
        <v>0</v>
      </c>
      <c r="P25" s="40">
        <f t="shared" si="7"/>
        <v>1.6098764705882361E-2</v>
      </c>
      <c r="Q25" s="41">
        <f>COUNTIF(Vertices[PageRank], "&gt;= " &amp; P25) - COUNTIF(Vertices[PageRank], "&gt;=" &amp; P26)</f>
        <v>0</v>
      </c>
      <c r="R25" s="40">
        <f t="shared" si="8"/>
        <v>0.67647058823529416</v>
      </c>
      <c r="S25" s="45">
        <f>COUNTIF(Vertices[Clustering Coefficient], "&gt;= " &amp; R25) - COUNTIF(Vertices[Clustering Coefficient], "&gt;=" &amp; R26)</f>
        <v>0</v>
      </c>
      <c r="T25" s="40" t="e">
        <f t="shared" ca="1" si="9"/>
        <v>#REF!</v>
      </c>
      <c r="U25" s="41" t="e">
        <f t="shared" ca="1" si="0"/>
        <v>#REF!</v>
      </c>
    </row>
    <row r="26" spans="1:21" x14ac:dyDescent="0.25">
      <c r="A26" s="35" t="s">
        <v>152</v>
      </c>
      <c r="B26" s="35">
        <v>8</v>
      </c>
      <c r="D26" s="33">
        <f t="shared" si="1"/>
        <v>0</v>
      </c>
      <c r="E26" s="3">
        <f>COUNTIF(Vertices[Degree], "&gt;= " &amp; D26) - COUNTIF(Vertices[Degree], "&gt;=" &amp; D27)</f>
        <v>0</v>
      </c>
      <c r="F26" s="38">
        <f t="shared" si="2"/>
        <v>17.647058823529402</v>
      </c>
      <c r="G26" s="39">
        <f>COUNTIF(Vertices[In-Degree], "&gt;= " &amp; F26) - COUNTIF(Vertices[In-Degree], "&gt;=" &amp; F27)</f>
        <v>0</v>
      </c>
      <c r="H26" s="38">
        <f t="shared" si="3"/>
        <v>12.705882352941176</v>
      </c>
      <c r="I26" s="39">
        <f>COUNTIF(Vertices[Out-Degree], "&gt;= " &amp; H26) - COUNTIF(Vertices[Out-Degree], "&gt;=" &amp; H27)</f>
        <v>0</v>
      </c>
      <c r="J26" s="38">
        <f t="shared" si="4"/>
        <v>6512.3294117647074</v>
      </c>
      <c r="K26" s="39">
        <f>COUNTIF(Vertices[Betweenness Centrality], "&gt;= " &amp; J26) - COUNTIF(Vertices[Betweenness Centrality], "&gt;=" &amp; J27)</f>
        <v>0</v>
      </c>
      <c r="L26" s="38">
        <f t="shared" si="5"/>
        <v>0.3401675294117647</v>
      </c>
      <c r="M26" s="39">
        <f>COUNTIF(Vertices[Closeness Centrality], "&gt;= " &amp; L26) - COUNTIF(Vertices[Closeness Centrality], "&gt;=" &amp; L27)</f>
        <v>3</v>
      </c>
      <c r="N26" s="38">
        <f t="shared" si="6"/>
        <v>0.42723035294117639</v>
      </c>
      <c r="O26" s="39">
        <f>COUNTIF(Vertices[Eigenvector Centrality], "&gt;= " &amp; N26) - COUNTIF(Vertices[Eigenvector Centrality], "&gt;=" &amp; N27)</f>
        <v>0</v>
      </c>
      <c r="P26" s="38">
        <f t="shared" si="7"/>
        <v>1.649705882352942E-2</v>
      </c>
      <c r="Q26" s="39">
        <f>COUNTIF(Vertices[PageRank], "&gt;= " &amp; P26) - COUNTIF(Vertices[PageRank], "&gt;=" &amp; P27)</f>
        <v>0</v>
      </c>
      <c r="R26" s="38">
        <f t="shared" si="8"/>
        <v>0.70588235294117652</v>
      </c>
      <c r="S26" s="44">
        <f>COUNTIF(Vertices[Clustering Coefficient], "&gt;= " &amp; R26) - COUNTIF(Vertices[Clustering Coefficient], "&gt;=" &amp; R27)</f>
        <v>0</v>
      </c>
      <c r="T26" s="38" t="e">
        <f t="shared" ca="1" si="9"/>
        <v>#REF!</v>
      </c>
      <c r="U26" s="39" t="e">
        <f t="shared" ref="U26:U35" ca="1" si="10">COUNTIF(INDIRECT(DynamicFilterSourceColumnRange), "&gt;= " &amp; T26) - COUNTIF(INDIRECT(DynamicFilterSourceColumnRange), "&gt;=" &amp; T27)</f>
        <v>#REF!</v>
      </c>
    </row>
    <row r="27" spans="1:21" x14ac:dyDescent="0.25">
      <c r="A27" s="35" t="s">
        <v>153</v>
      </c>
      <c r="B27" s="35">
        <v>3</v>
      </c>
      <c r="D27" s="33">
        <f t="shared" si="1"/>
        <v>0</v>
      </c>
      <c r="E27" s="3">
        <f>COUNTIF(Vertices[Degree], "&gt;= " &amp; D27) - COUNTIF(Vertices[Degree], "&gt;=" &amp; D28)</f>
        <v>0</v>
      </c>
      <c r="F27" s="40">
        <f t="shared" si="2"/>
        <v>18.38235294117646</v>
      </c>
      <c r="G27" s="41">
        <f>COUNTIF(Vertices[In-Degree], "&gt;= " &amp; F27) - COUNTIF(Vertices[In-Degree], "&gt;=" &amp; F28)</f>
        <v>0</v>
      </c>
      <c r="H27" s="40">
        <f t="shared" si="3"/>
        <v>13.235294117647058</v>
      </c>
      <c r="I27" s="41">
        <f>COUNTIF(Vertices[Out-Degree], "&gt;= " &amp; H27) - COUNTIF(Vertices[Out-Degree], "&gt;=" &amp; H28)</f>
        <v>0</v>
      </c>
      <c r="J27" s="40">
        <f t="shared" si="4"/>
        <v>6783.676470588237</v>
      </c>
      <c r="K27" s="41">
        <f>COUNTIF(Vertices[Betweenness Centrality], "&gt;= " &amp; J27) - COUNTIF(Vertices[Betweenness Centrality], "&gt;=" &amp; J28)</f>
        <v>0</v>
      </c>
      <c r="L27" s="40">
        <f t="shared" si="5"/>
        <v>0.35434117647058821</v>
      </c>
      <c r="M27" s="41">
        <f>COUNTIF(Vertices[Closeness Centrality], "&gt;= " &amp; L27) - COUNTIF(Vertices[Closeness Centrality], "&gt;=" &amp; L28)</f>
        <v>1</v>
      </c>
      <c r="N27" s="40">
        <f t="shared" si="6"/>
        <v>0.44503161764705873</v>
      </c>
      <c r="O27" s="41">
        <f>COUNTIF(Vertices[Eigenvector Centrality], "&gt;= " &amp; N27) - COUNTIF(Vertices[Eigenvector Centrality], "&gt;=" &amp; N28)</f>
        <v>0</v>
      </c>
      <c r="P27" s="40">
        <f t="shared" si="7"/>
        <v>1.6895352941176479E-2</v>
      </c>
      <c r="Q27" s="41">
        <f>COUNTIF(Vertices[PageRank], "&gt;= " &amp; P27) - COUNTIF(Vertices[PageRank], "&gt;=" &amp; P28)</f>
        <v>0</v>
      </c>
      <c r="R27" s="40">
        <f t="shared" si="8"/>
        <v>0.73529411764705888</v>
      </c>
      <c r="S27" s="45">
        <f>COUNTIF(Vertices[Clustering Coefficient], "&gt;= " &amp; R27) - COUNTIF(Vertices[Clustering Coefficient], "&gt;=" &amp; R28)</f>
        <v>0</v>
      </c>
      <c r="T27" s="40" t="e">
        <f t="shared" ca="1" si="9"/>
        <v>#REF!</v>
      </c>
      <c r="U27" s="41" t="e">
        <f t="shared" ca="1" si="10"/>
        <v>#REF!</v>
      </c>
    </row>
    <row r="28" spans="1:21" x14ac:dyDescent="0.25">
      <c r="A28" s="35" t="s">
        <v>154</v>
      </c>
      <c r="B28" s="35">
        <v>106</v>
      </c>
      <c r="D28" s="33">
        <f t="shared" si="1"/>
        <v>0</v>
      </c>
      <c r="E28" s="3">
        <f>COUNTIF(Vertices[Degree], "&gt;= " &amp; D28) - COUNTIF(Vertices[Degree], "&gt;=" &amp; D29)</f>
        <v>0</v>
      </c>
      <c r="F28" s="38">
        <f t="shared" si="2"/>
        <v>19.117647058823518</v>
      </c>
      <c r="G28" s="39">
        <f>COUNTIF(Vertices[In-Degree], "&gt;= " &amp; F28) - COUNTIF(Vertices[In-Degree], "&gt;=" &amp; F29)</f>
        <v>0</v>
      </c>
      <c r="H28" s="38">
        <f t="shared" si="3"/>
        <v>13.76470588235294</v>
      </c>
      <c r="I28" s="39">
        <f>COUNTIF(Vertices[Out-Degree], "&gt;= " &amp; H28) - COUNTIF(Vertices[Out-Degree], "&gt;=" &amp; H29)</f>
        <v>0</v>
      </c>
      <c r="J28" s="38">
        <f t="shared" si="4"/>
        <v>7055.0235294117665</v>
      </c>
      <c r="K28" s="39">
        <f>COUNTIF(Vertices[Betweenness Centrality], "&gt;= " &amp; J28) - COUNTIF(Vertices[Betweenness Centrality], "&gt;=" &amp; J29)</f>
        <v>0</v>
      </c>
      <c r="L28" s="38">
        <f t="shared" si="5"/>
        <v>0.36851482352941173</v>
      </c>
      <c r="M28" s="39">
        <f>COUNTIF(Vertices[Closeness Centrality], "&gt;= " &amp; L28) - COUNTIF(Vertices[Closeness Centrality], "&gt;=" &amp; L29)</f>
        <v>0</v>
      </c>
      <c r="N28" s="38">
        <f t="shared" si="6"/>
        <v>0.46283288235294107</v>
      </c>
      <c r="O28" s="39">
        <f>COUNTIF(Vertices[Eigenvector Centrality], "&gt;= " &amp; N28) - COUNTIF(Vertices[Eigenvector Centrality], "&gt;=" &amp; N29)</f>
        <v>0</v>
      </c>
      <c r="P28" s="38">
        <f t="shared" si="7"/>
        <v>1.7293647058823539E-2</v>
      </c>
      <c r="Q28" s="39">
        <f>COUNTIF(Vertices[PageRank], "&gt;= " &amp; P28) - COUNTIF(Vertices[PageRank], "&gt;=" &amp; P29)</f>
        <v>0</v>
      </c>
      <c r="R28" s="38">
        <f t="shared" si="8"/>
        <v>0.76470588235294124</v>
      </c>
      <c r="S28" s="44">
        <f>COUNTIF(Vertices[Clustering Coefficient], "&gt;= " &amp; R28) - COUNTIF(Vertices[Clustering Coefficient], "&gt;=" &amp; R29)</f>
        <v>0</v>
      </c>
      <c r="T28" s="38" t="e">
        <f t="shared" ca="1" si="9"/>
        <v>#REF!</v>
      </c>
      <c r="U28" s="39" t="e">
        <f t="shared" ca="1" si="10"/>
        <v>#REF!</v>
      </c>
    </row>
    <row r="29" spans="1:21" x14ac:dyDescent="0.25">
      <c r="A29" s="35" t="s">
        <v>155</v>
      </c>
      <c r="B29" s="35">
        <v>278</v>
      </c>
      <c r="D29" s="33">
        <f t="shared" si="1"/>
        <v>0</v>
      </c>
      <c r="E29" s="3">
        <f>COUNTIF(Vertices[Degree], "&gt;= " &amp; D29) - COUNTIF(Vertices[Degree], "&gt;=" &amp; D30)</f>
        <v>0</v>
      </c>
      <c r="F29" s="40">
        <f t="shared" si="2"/>
        <v>19.852941176470576</v>
      </c>
      <c r="G29" s="41">
        <f>COUNTIF(Vertices[In-Degree], "&gt;= " &amp; F29) - COUNTIF(Vertices[In-Degree], "&gt;=" &amp; F30)</f>
        <v>0</v>
      </c>
      <c r="H29" s="40">
        <f t="shared" si="3"/>
        <v>14.294117647058822</v>
      </c>
      <c r="I29" s="41">
        <f>COUNTIF(Vertices[Out-Degree], "&gt;= " &amp; H29) - COUNTIF(Vertices[Out-Degree], "&gt;=" &amp; H30)</f>
        <v>0</v>
      </c>
      <c r="J29" s="40">
        <f t="shared" si="4"/>
        <v>7326.3705882352961</v>
      </c>
      <c r="K29" s="41">
        <f>COUNTIF(Vertices[Betweenness Centrality], "&gt;= " &amp; J29) - COUNTIF(Vertices[Betweenness Centrality], "&gt;=" &amp; J30)</f>
        <v>0</v>
      </c>
      <c r="L29" s="40">
        <f t="shared" si="5"/>
        <v>0.38268847058823524</v>
      </c>
      <c r="M29" s="41">
        <f>COUNTIF(Vertices[Closeness Centrality], "&gt;= " &amp; L29) - COUNTIF(Vertices[Closeness Centrality], "&gt;=" &amp; L30)</f>
        <v>0</v>
      </c>
      <c r="N29" s="40">
        <f t="shared" si="6"/>
        <v>0.4806341470588234</v>
      </c>
      <c r="O29" s="41">
        <f>COUNTIF(Vertices[Eigenvector Centrality], "&gt;= " &amp; N29) - COUNTIF(Vertices[Eigenvector Centrality], "&gt;=" &amp; N30)</f>
        <v>0</v>
      </c>
      <c r="P29" s="40">
        <f t="shared" si="7"/>
        <v>1.7691941176470598E-2</v>
      </c>
      <c r="Q29" s="41">
        <f>COUNTIF(Vertices[PageRank], "&gt;= " &amp; P29) - COUNTIF(Vertices[PageRank], "&gt;=" &amp; P30)</f>
        <v>0</v>
      </c>
      <c r="R29" s="40">
        <f t="shared" si="8"/>
        <v>0.79411764705882359</v>
      </c>
      <c r="S29" s="45">
        <f>COUNTIF(Vertices[Clustering Coefficient], "&gt;= " &amp; R29) - COUNTIF(Vertices[Clustering Coefficient], "&gt;=" &amp; R30)</f>
        <v>0</v>
      </c>
      <c r="T29" s="40" t="e">
        <f t="shared" ca="1" si="9"/>
        <v>#REF!</v>
      </c>
      <c r="U29" s="41" t="e">
        <f t="shared" ca="1" si="10"/>
        <v>#REF!</v>
      </c>
    </row>
    <row r="30" spans="1:21" x14ac:dyDescent="0.25">
      <c r="A30" s="115"/>
      <c r="B30" s="115"/>
      <c r="D30" s="33">
        <f t="shared" si="1"/>
        <v>0</v>
      </c>
      <c r="E30" s="3">
        <f>COUNTIF(Vertices[Degree], "&gt;= " &amp; D30) - COUNTIF(Vertices[Degree], "&gt;=" &amp; D31)</f>
        <v>0</v>
      </c>
      <c r="F30" s="38">
        <f t="shared" si="2"/>
        <v>20.588235294117634</v>
      </c>
      <c r="G30" s="39">
        <f>COUNTIF(Vertices[In-Degree], "&gt;= " &amp; F30) - COUNTIF(Vertices[In-Degree], "&gt;=" &amp; F31)</f>
        <v>0</v>
      </c>
      <c r="H30" s="38">
        <f t="shared" si="3"/>
        <v>14.823529411764705</v>
      </c>
      <c r="I30" s="39">
        <f>COUNTIF(Vertices[Out-Degree], "&gt;= " &amp; H30) - COUNTIF(Vertices[Out-Degree], "&gt;=" &amp; H31)</f>
        <v>0</v>
      </c>
      <c r="J30" s="38">
        <f t="shared" si="4"/>
        <v>7597.7176470588256</v>
      </c>
      <c r="K30" s="39">
        <f>COUNTIF(Vertices[Betweenness Centrality], "&gt;= " &amp; J30) - COUNTIF(Vertices[Betweenness Centrality], "&gt;=" &amp; J31)</f>
        <v>0</v>
      </c>
      <c r="L30" s="38">
        <f t="shared" si="5"/>
        <v>0.39686211764705875</v>
      </c>
      <c r="M30" s="39">
        <f>COUNTIF(Vertices[Closeness Centrality], "&gt;= " &amp; L30) - COUNTIF(Vertices[Closeness Centrality], "&gt;=" &amp; L31)</f>
        <v>0</v>
      </c>
      <c r="N30" s="38">
        <f t="shared" si="6"/>
        <v>0.49843541176470574</v>
      </c>
      <c r="O30" s="39">
        <f>COUNTIF(Vertices[Eigenvector Centrality], "&gt;= " &amp; N30) - COUNTIF(Vertices[Eigenvector Centrality], "&gt;=" &amp; N31)</f>
        <v>0</v>
      </c>
      <c r="P30" s="38">
        <f t="shared" si="7"/>
        <v>1.8090235294117657E-2</v>
      </c>
      <c r="Q30" s="39">
        <f>COUNTIF(Vertices[PageRank], "&gt;= " &amp; P30) - COUNTIF(Vertices[PageRank], "&gt;=" &amp; P31)</f>
        <v>0</v>
      </c>
      <c r="R30" s="38">
        <f t="shared" si="8"/>
        <v>0.82352941176470595</v>
      </c>
      <c r="S30" s="44">
        <f>COUNTIF(Vertices[Clustering Coefficient], "&gt;= " &amp; R30) - COUNTIF(Vertices[Clustering Coefficient], "&gt;=" &amp; R31)</f>
        <v>2</v>
      </c>
      <c r="T30" s="38" t="e">
        <f t="shared" ca="1" si="9"/>
        <v>#REF!</v>
      </c>
      <c r="U30" s="39" t="e">
        <f t="shared" ca="1" si="10"/>
        <v>#REF!</v>
      </c>
    </row>
    <row r="31" spans="1:21" x14ac:dyDescent="0.25">
      <c r="A31" s="35" t="s">
        <v>156</v>
      </c>
      <c r="B31" s="35">
        <v>7</v>
      </c>
      <c r="D31" s="33">
        <f t="shared" si="1"/>
        <v>0</v>
      </c>
      <c r="E31" s="3">
        <f>COUNTIF(Vertices[Degree], "&gt;= " &amp; D31) - COUNTIF(Vertices[Degree], "&gt;=" &amp; D32)</f>
        <v>0</v>
      </c>
      <c r="F31" s="40">
        <f t="shared" si="2"/>
        <v>21.323529411764692</v>
      </c>
      <c r="G31" s="41">
        <f>COUNTIF(Vertices[In-Degree], "&gt;= " &amp; F31) - COUNTIF(Vertices[In-Degree], "&gt;=" &amp; F32)</f>
        <v>0</v>
      </c>
      <c r="H31" s="40">
        <f t="shared" si="3"/>
        <v>15.352941176470587</v>
      </c>
      <c r="I31" s="41">
        <f>COUNTIF(Vertices[Out-Degree], "&gt;= " &amp; H31) - COUNTIF(Vertices[Out-Degree], "&gt;=" &amp; H32)</f>
        <v>0</v>
      </c>
      <c r="J31" s="40">
        <f t="shared" si="4"/>
        <v>7869.0647058823552</v>
      </c>
      <c r="K31" s="41">
        <f>COUNTIF(Vertices[Betweenness Centrality], "&gt;= " &amp; J31) - COUNTIF(Vertices[Betweenness Centrality], "&gt;=" &amp; J32)</f>
        <v>0</v>
      </c>
      <c r="L31" s="40">
        <f t="shared" si="5"/>
        <v>0.41103576470588227</v>
      </c>
      <c r="M31" s="41">
        <f>COUNTIF(Vertices[Closeness Centrality], "&gt;= " &amp; L31) - COUNTIF(Vertices[Closeness Centrality], "&gt;=" &amp; L32)</f>
        <v>0</v>
      </c>
      <c r="N31" s="40">
        <f t="shared" si="6"/>
        <v>0.51623667647058813</v>
      </c>
      <c r="O31" s="41">
        <f>COUNTIF(Vertices[Eigenvector Centrality], "&gt;= " &amp; N31) - COUNTIF(Vertices[Eigenvector Centrality], "&gt;=" &amp; N32)</f>
        <v>0</v>
      </c>
      <c r="P31" s="40">
        <f t="shared" si="7"/>
        <v>1.8488529411764716E-2</v>
      </c>
      <c r="Q31" s="41">
        <f>COUNTIF(Vertices[PageRank], "&gt;= " &amp; P31) - COUNTIF(Vertices[PageRank], "&gt;=" &amp; P32)</f>
        <v>0</v>
      </c>
      <c r="R31" s="40">
        <f t="shared" si="8"/>
        <v>0.85294117647058831</v>
      </c>
      <c r="S31" s="45">
        <f>COUNTIF(Vertices[Clustering Coefficient], "&gt;= " &amp; R31) - COUNTIF(Vertices[Clustering Coefficient], "&gt;=" &amp; R32)</f>
        <v>0</v>
      </c>
      <c r="T31" s="40" t="e">
        <f t="shared" ca="1" si="9"/>
        <v>#REF!</v>
      </c>
      <c r="U31" s="41" t="e">
        <f t="shared" ca="1" si="10"/>
        <v>#REF!</v>
      </c>
    </row>
    <row r="32" spans="1:21" x14ac:dyDescent="0.25">
      <c r="A32" s="35" t="s">
        <v>157</v>
      </c>
      <c r="B32" s="35">
        <v>3.268551</v>
      </c>
      <c r="D32" s="33">
        <f t="shared" si="1"/>
        <v>0</v>
      </c>
      <c r="E32" s="3">
        <f>COUNTIF(Vertices[Degree], "&gt;= " &amp; D32) - COUNTIF(Vertices[Degree], "&gt;=" &amp; D33)</f>
        <v>0</v>
      </c>
      <c r="F32" s="38">
        <f t="shared" si="2"/>
        <v>22.05882352941175</v>
      </c>
      <c r="G32" s="39">
        <f>COUNTIF(Vertices[In-Degree], "&gt;= " &amp; F32) - COUNTIF(Vertices[In-Degree], "&gt;=" &amp; F33)</f>
        <v>0</v>
      </c>
      <c r="H32" s="38">
        <f t="shared" si="3"/>
        <v>15.882352941176469</v>
      </c>
      <c r="I32" s="39">
        <f>COUNTIF(Vertices[Out-Degree], "&gt;= " &amp; H32) - COUNTIF(Vertices[Out-Degree], "&gt;=" &amp; H33)</f>
        <v>0</v>
      </c>
      <c r="J32" s="38">
        <f t="shared" si="4"/>
        <v>8140.4117647058847</v>
      </c>
      <c r="K32" s="39">
        <f>COUNTIF(Vertices[Betweenness Centrality], "&gt;= " &amp; J32) - COUNTIF(Vertices[Betweenness Centrality], "&gt;=" &amp; J33)</f>
        <v>0</v>
      </c>
      <c r="L32" s="38">
        <f t="shared" si="5"/>
        <v>0.42520941176470578</v>
      </c>
      <c r="M32" s="39">
        <f>COUNTIF(Vertices[Closeness Centrality], "&gt;= " &amp; L32) - COUNTIF(Vertices[Closeness Centrality], "&gt;=" &amp; L33)</f>
        <v>0</v>
      </c>
      <c r="N32" s="38">
        <f t="shared" si="6"/>
        <v>0.53403794117647052</v>
      </c>
      <c r="O32" s="39">
        <f>COUNTIF(Vertices[Eigenvector Centrality], "&gt;= " &amp; N32) - COUNTIF(Vertices[Eigenvector Centrality], "&gt;=" &amp; N33)</f>
        <v>0</v>
      </c>
      <c r="P32" s="38">
        <f t="shared" si="7"/>
        <v>1.8886823529411775E-2</v>
      </c>
      <c r="Q32" s="39">
        <f>COUNTIF(Vertices[PageRank], "&gt;= " &amp; P32) - COUNTIF(Vertices[PageRank], "&gt;=" &amp; P33)</f>
        <v>0</v>
      </c>
      <c r="R32" s="38">
        <f t="shared" si="8"/>
        <v>0.88235294117647067</v>
      </c>
      <c r="S32" s="44">
        <f>COUNTIF(Vertices[Clustering Coefficient], "&gt;= " &amp; R32) - COUNTIF(Vertices[Clustering Coefficient], "&gt;=" &amp; R33)</f>
        <v>0</v>
      </c>
      <c r="T32" s="38" t="e">
        <f t="shared" ca="1" si="9"/>
        <v>#REF!</v>
      </c>
      <c r="U32" s="39" t="e">
        <f t="shared" ca="1" si="10"/>
        <v>#REF!</v>
      </c>
    </row>
    <row r="33" spans="1:21" x14ac:dyDescent="0.25">
      <c r="A33" s="115"/>
      <c r="B33" s="115"/>
      <c r="D33" s="33">
        <f t="shared" si="1"/>
        <v>0</v>
      </c>
      <c r="E33" s="3">
        <f>COUNTIF(Vertices[Degree], "&gt;= " &amp; D33) - COUNTIF(Vertices[Degree], "&gt;=" &amp; D34)</f>
        <v>0</v>
      </c>
      <c r="F33" s="40">
        <f t="shared" si="2"/>
        <v>22.794117647058808</v>
      </c>
      <c r="G33" s="41">
        <f>COUNTIF(Vertices[In-Degree], "&gt;= " &amp; F33) - COUNTIF(Vertices[In-Degree], "&gt;=" &amp; F34)</f>
        <v>0</v>
      </c>
      <c r="H33" s="40">
        <f t="shared" si="3"/>
        <v>16.411764705882351</v>
      </c>
      <c r="I33" s="41">
        <f>COUNTIF(Vertices[Out-Degree], "&gt;= " &amp; H33) - COUNTIF(Vertices[Out-Degree], "&gt;=" &amp; H34)</f>
        <v>0</v>
      </c>
      <c r="J33" s="40">
        <f t="shared" si="4"/>
        <v>8411.7588235294133</v>
      </c>
      <c r="K33" s="41">
        <f>COUNTIF(Vertices[Betweenness Centrality], "&gt;= " &amp; J33) - COUNTIF(Vertices[Betweenness Centrality], "&gt;=" &amp; J34)</f>
        <v>0</v>
      </c>
      <c r="L33" s="40">
        <f t="shared" si="5"/>
        <v>0.43938305882352929</v>
      </c>
      <c r="M33" s="41">
        <f>COUNTIF(Vertices[Closeness Centrality], "&gt;= " &amp; L33) - COUNTIF(Vertices[Closeness Centrality], "&gt;=" &amp; L34)</f>
        <v>0</v>
      </c>
      <c r="N33" s="40">
        <f t="shared" si="6"/>
        <v>0.55183920588235291</v>
      </c>
      <c r="O33" s="41">
        <f>COUNTIF(Vertices[Eigenvector Centrality], "&gt;= " &amp; N33) - COUNTIF(Vertices[Eigenvector Centrality], "&gt;=" &amp; N34)</f>
        <v>0</v>
      </c>
      <c r="P33" s="40">
        <f t="shared" si="7"/>
        <v>1.9285117647058835E-2</v>
      </c>
      <c r="Q33" s="41">
        <f>COUNTIF(Vertices[PageRank], "&gt;= " &amp; P33) - COUNTIF(Vertices[PageRank], "&gt;=" &amp; P34)</f>
        <v>0</v>
      </c>
      <c r="R33" s="40">
        <f t="shared" si="8"/>
        <v>0.91176470588235303</v>
      </c>
      <c r="S33" s="45">
        <f>COUNTIF(Vertices[Clustering Coefficient], "&gt;= " &amp; R33) - COUNTIF(Vertices[Clustering Coefficient], "&gt;=" &amp; R34)</f>
        <v>0</v>
      </c>
      <c r="T33" s="40" t="e">
        <f t="shared" ca="1" si="9"/>
        <v>#REF!</v>
      </c>
      <c r="U33" s="41" t="e">
        <f t="shared" ca="1" si="10"/>
        <v>#REF!</v>
      </c>
    </row>
    <row r="34" spans="1:21" x14ac:dyDescent="0.25">
      <c r="A34" s="35" t="s">
        <v>158</v>
      </c>
      <c r="B34" s="35">
        <v>1.2391817466561763E-2</v>
      </c>
      <c r="D34" s="33">
        <f t="shared" si="1"/>
        <v>0</v>
      </c>
      <c r="E34" s="3">
        <f>COUNTIF(Vertices[Degree], "&gt;= " &amp; D34) - COUNTIF(Vertices[Degree], "&gt;=" &amp; D35)</f>
        <v>0</v>
      </c>
      <c r="F34" s="38">
        <f t="shared" si="2"/>
        <v>23.529411764705866</v>
      </c>
      <c r="G34" s="39">
        <f>COUNTIF(Vertices[In-Degree], "&gt;= " &amp; F34) - COUNTIF(Vertices[In-Degree], "&gt;=" &amp; F35)</f>
        <v>0</v>
      </c>
      <c r="H34" s="38">
        <f t="shared" si="3"/>
        <v>16.941176470588236</v>
      </c>
      <c r="I34" s="39">
        <f>COUNTIF(Vertices[Out-Degree], "&gt;= " &amp; H34) - COUNTIF(Vertices[Out-Degree], "&gt;=" &amp; H35)</f>
        <v>0</v>
      </c>
      <c r="J34" s="38">
        <f t="shared" si="4"/>
        <v>8683.105882352942</v>
      </c>
      <c r="K34" s="39">
        <f>COUNTIF(Vertices[Betweenness Centrality], "&gt;= " &amp; J34) - COUNTIF(Vertices[Betweenness Centrality], "&gt;=" &amp; J35)</f>
        <v>0</v>
      </c>
      <c r="L34" s="38">
        <f t="shared" si="5"/>
        <v>0.45355670588235281</v>
      </c>
      <c r="M34" s="39">
        <f>COUNTIF(Vertices[Closeness Centrality], "&gt;= " &amp; L34) - COUNTIF(Vertices[Closeness Centrality], "&gt;=" &amp; L35)</f>
        <v>0</v>
      </c>
      <c r="N34" s="38">
        <f t="shared" si="6"/>
        <v>0.5696404705882353</v>
      </c>
      <c r="O34" s="39">
        <f>COUNTIF(Vertices[Eigenvector Centrality], "&gt;= " &amp; N34) - COUNTIF(Vertices[Eigenvector Centrality], "&gt;=" &amp; N35)</f>
        <v>0</v>
      </c>
      <c r="P34" s="38">
        <f t="shared" si="7"/>
        <v>1.9683411764705894E-2</v>
      </c>
      <c r="Q34" s="39">
        <f>COUNTIF(Vertices[PageRank], "&gt;= " &amp; P34) - COUNTIF(Vertices[PageRank], "&gt;=" &amp; P35)</f>
        <v>0</v>
      </c>
      <c r="R34" s="38">
        <f t="shared" si="8"/>
        <v>0.94117647058823539</v>
      </c>
      <c r="S34" s="44">
        <f>COUNTIF(Vertices[Clustering Coefficient], "&gt;= " &amp; R34) - COUNTIF(Vertices[Clustering Coefficient], "&gt;=" &amp; R35)</f>
        <v>0</v>
      </c>
      <c r="T34" s="38" t="e">
        <f t="shared" ca="1" si="9"/>
        <v>#REF!</v>
      </c>
      <c r="U34" s="39" t="e">
        <f t="shared" ca="1" si="10"/>
        <v>#REF!</v>
      </c>
    </row>
    <row r="35" spans="1:21" x14ac:dyDescent="0.25">
      <c r="A35" s="35" t="s">
        <v>9522</v>
      </c>
      <c r="B35" s="35">
        <v>0.45028400000000002</v>
      </c>
      <c r="D35" s="33">
        <f t="shared" si="1"/>
        <v>0</v>
      </c>
      <c r="E35" s="3">
        <f>COUNTIF(Vertices[Degree], "&gt;= " &amp; D35) - COUNTIF(Vertices[Degree], "&gt;=" &amp; D36)</f>
        <v>0</v>
      </c>
      <c r="F35" s="40">
        <f t="shared" si="2"/>
        <v>24.264705882352924</v>
      </c>
      <c r="G35" s="41">
        <f>COUNTIF(Vertices[In-Degree], "&gt;= " &amp; F35) - COUNTIF(Vertices[In-Degree], "&gt;=" &amp; F36)</f>
        <v>0</v>
      </c>
      <c r="H35" s="40">
        <f t="shared" si="3"/>
        <v>17.47058823529412</v>
      </c>
      <c r="I35" s="41">
        <f>COUNTIF(Vertices[Out-Degree], "&gt;= " &amp; H35) - COUNTIF(Vertices[Out-Degree], "&gt;=" &amp; H36)</f>
        <v>0</v>
      </c>
      <c r="J35" s="40">
        <f t="shared" si="4"/>
        <v>8954.4529411764706</v>
      </c>
      <c r="K35" s="41">
        <f>COUNTIF(Vertices[Betweenness Centrality], "&gt;= " &amp; J35) - COUNTIF(Vertices[Betweenness Centrality], "&gt;=" &amp; J36)</f>
        <v>0</v>
      </c>
      <c r="L35" s="40">
        <f t="shared" si="5"/>
        <v>0.46773035294117632</v>
      </c>
      <c r="M35" s="41">
        <f>COUNTIF(Vertices[Closeness Centrality], "&gt;= " &amp; L35) - COUNTIF(Vertices[Closeness Centrality], "&gt;=" &amp; L36)</f>
        <v>0</v>
      </c>
      <c r="N35" s="40">
        <f t="shared" si="6"/>
        <v>0.5874417352941177</v>
      </c>
      <c r="O35" s="41">
        <f>COUNTIF(Vertices[Eigenvector Centrality], "&gt;= " &amp; N35) - COUNTIF(Vertices[Eigenvector Centrality], "&gt;=" &amp; N36)</f>
        <v>0</v>
      </c>
      <c r="P35" s="40">
        <f t="shared" si="7"/>
        <v>2.0081705882352953E-2</v>
      </c>
      <c r="Q35" s="41">
        <f>COUNTIF(Vertices[PageRank], "&gt;= " &amp; P35) - COUNTIF(Vertices[PageRank], "&gt;=" &amp; P36)</f>
        <v>0</v>
      </c>
      <c r="R35" s="40">
        <f t="shared" si="8"/>
        <v>0.97058823529411775</v>
      </c>
      <c r="S35" s="45">
        <f>COUNTIF(Vertices[Clustering Coefficient], "&gt;= " &amp; R35) - COUNTIF(Vertices[Clustering Coefficient], "&gt;=" &amp; R36)</f>
        <v>0</v>
      </c>
      <c r="T35" s="40" t="e">
        <f t="shared" ca="1" si="9"/>
        <v>#REF!</v>
      </c>
      <c r="U35" s="41" t="e">
        <f t="shared" ca="1" si="10"/>
        <v>#REF!</v>
      </c>
    </row>
    <row r="36" spans="1:21" x14ac:dyDescent="0.25">
      <c r="A36" s="115"/>
      <c r="B36" s="115"/>
      <c r="D36" s="33">
        <f>MAX(Vertices[Degree])</f>
        <v>0</v>
      </c>
      <c r="E36" s="3">
        <f>COUNTIF(Vertices[Degree], "&gt;= " &amp; D36) - COUNTIF(Vertices[Degree], "&gt;=" &amp;#REF!)</f>
        <v>0</v>
      </c>
      <c r="F36" s="42">
        <f>MAX(Vertices[In-Degree])</f>
        <v>25</v>
      </c>
      <c r="G36" s="43">
        <f>COUNTIF(Vertices[In-Degree], "&gt;= " &amp; F36) - COUNTIF(Vertices[In-Degree], "&gt;=" &amp;#REF!)</f>
        <v>1</v>
      </c>
      <c r="H36" s="42">
        <f>MAX(Vertices[Out-Degree])</f>
        <v>18</v>
      </c>
      <c r="I36" s="43">
        <f>COUNTIF(Vertices[Out-Degree], "&gt;= " &amp; H36) - COUNTIF(Vertices[Out-Degree], "&gt;=" &amp;#REF!)</f>
        <v>1</v>
      </c>
      <c r="J36" s="42">
        <f>MAX(Vertices[Betweenness Centrality])</f>
        <v>9225.7999999999993</v>
      </c>
      <c r="K36" s="43">
        <f>COUNTIF(Vertices[Betweenness Centrality], "&gt;= " &amp; J36) - COUNTIF(Vertices[Betweenness Centrality], "&gt;=" &amp;#REF!)</f>
        <v>1</v>
      </c>
      <c r="L36" s="42">
        <f>MAX(Vertices[Closeness Centrality])</f>
        <v>0.481904</v>
      </c>
      <c r="M36" s="43">
        <f>COUNTIF(Vertices[Closeness Centrality], "&gt;= " &amp; L36) - COUNTIF(Vertices[Closeness Centrality], "&gt;=" &amp;#REF!)</f>
        <v>1</v>
      </c>
      <c r="N36" s="42">
        <f>MAX(Vertices[Eigenvector Centrality])</f>
        <v>0.60524299999999998</v>
      </c>
      <c r="O36" s="43">
        <f>COUNTIF(Vertices[Eigenvector Centrality], "&gt;= " &amp; N36) - COUNTIF(Vertices[Eigenvector Centrality], "&gt;=" &amp;#REF!)</f>
        <v>1</v>
      </c>
      <c r="P36" s="42">
        <f>MAX(Vertices[PageRank])</f>
        <v>2.0480000000000002E-2</v>
      </c>
      <c r="Q36" s="43">
        <f>COUNTIF(Vertices[PageRank], "&gt;= " &amp; P36) - COUNTIF(Vertices[PageRank], "&gt;=" &amp;#REF!)</f>
        <v>1</v>
      </c>
      <c r="R36" s="42">
        <f>MAX(Vertices[Clustering Coefficient])</f>
        <v>1</v>
      </c>
      <c r="S36" s="46">
        <f>COUNTIF(Vertices[Clustering Coefficient], "&gt;= " &amp; R36) - COUNTIF(Vertices[Clustering Coefficient], "&gt;=" &amp;#REF!)</f>
        <v>11</v>
      </c>
      <c r="T36" s="42" t="e">
        <f ca="1">MAX(INDIRECT(DynamicFilterSourceColumnRange))</f>
        <v>#REF!</v>
      </c>
      <c r="U36" s="43" t="e">
        <f ca="1">COUNTIF(INDIRECT(DynamicFilterSourceColumnRange), "&gt;= " &amp; T36) - COUNTIF(INDIRECT(DynamicFilterSourceColumnRange), "&gt;=" &amp;#REF!)</f>
        <v>#REF!</v>
      </c>
    </row>
    <row r="37" spans="1:21" x14ac:dyDescent="0.25">
      <c r="A37" s="35" t="s">
        <v>9523</v>
      </c>
      <c r="B37" s="35" t="s">
        <v>9538</v>
      </c>
    </row>
    <row r="38" spans="1:21" x14ac:dyDescent="0.25">
      <c r="A38" s="115"/>
      <c r="B38" s="115"/>
    </row>
    <row r="39" spans="1:21" x14ac:dyDescent="0.25">
      <c r="A39" s="35" t="s">
        <v>9524</v>
      </c>
      <c r="B39" s="35" t="s">
        <v>10093</v>
      </c>
    </row>
    <row r="40" spans="1:21" x14ac:dyDescent="0.25">
      <c r="A40" s="35" t="s">
        <v>9525</v>
      </c>
      <c r="B40" s="35" t="s">
        <v>10094</v>
      </c>
    </row>
    <row r="41" spans="1:21" x14ac:dyDescent="0.25">
      <c r="A41" s="115"/>
      <c r="B41" s="115"/>
    </row>
    <row r="42" spans="1:21" x14ac:dyDescent="0.25">
      <c r="A42" s="35" t="s">
        <v>9526</v>
      </c>
      <c r="B42" s="35" t="s">
        <v>9539</v>
      </c>
    </row>
    <row r="43" spans="1:21" x14ac:dyDescent="0.25">
      <c r="A43" s="35" t="s">
        <v>9527</v>
      </c>
      <c r="B43" s="35" t="s">
        <v>942</v>
      </c>
    </row>
    <row r="44" spans="1:21" ht="409.5" x14ac:dyDescent="0.25">
      <c r="A44" s="35" t="s">
        <v>9528</v>
      </c>
      <c r="B44" s="54" t="s">
        <v>9540</v>
      </c>
    </row>
    <row r="45" spans="1:21" x14ac:dyDescent="0.25">
      <c r="A45" s="35" t="s">
        <v>9529</v>
      </c>
      <c r="B45" s="35" t="s">
        <v>10092</v>
      </c>
    </row>
    <row r="46" spans="1:21" x14ac:dyDescent="0.25">
      <c r="A46" s="35" t="s">
        <v>9530</v>
      </c>
      <c r="B46" s="35" t="s">
        <v>9541</v>
      </c>
    </row>
    <row r="47" spans="1:21" x14ac:dyDescent="0.25">
      <c r="A47" s="35" t="s">
        <v>9531</v>
      </c>
      <c r="B47" s="35" t="s">
        <v>1599</v>
      </c>
    </row>
    <row r="48" spans="1:21" x14ac:dyDescent="0.25">
      <c r="A48" s="35" t="s">
        <v>9532</v>
      </c>
      <c r="B48" s="35" t="s">
        <v>1599</v>
      </c>
    </row>
    <row r="49" spans="1:2" x14ac:dyDescent="0.25">
      <c r="A49" s="35" t="s">
        <v>9533</v>
      </c>
      <c r="B49" s="35" t="s">
        <v>1599</v>
      </c>
    </row>
    <row r="50" spans="1:2" x14ac:dyDescent="0.25">
      <c r="A50" s="35" t="s">
        <v>9534</v>
      </c>
      <c r="B50" s="35"/>
    </row>
    <row r="51" spans="1:2" x14ac:dyDescent="0.25">
      <c r="A51" s="35" t="s">
        <v>21</v>
      </c>
      <c r="B51" s="35"/>
    </row>
    <row r="52" spans="1:2" x14ac:dyDescent="0.25">
      <c r="A52" s="35" t="s">
        <v>9535</v>
      </c>
      <c r="B52" s="35" t="s">
        <v>34</v>
      </c>
    </row>
    <row r="53" spans="1:2" x14ac:dyDescent="0.25">
      <c r="A53" s="35" t="s">
        <v>9536</v>
      </c>
      <c r="B53" s="35"/>
    </row>
    <row r="54" spans="1:2" x14ac:dyDescent="0.25">
      <c r="A54" s="35" t="s">
        <v>9537</v>
      </c>
      <c r="B54" s="35"/>
    </row>
    <row r="60" spans="1:2" x14ac:dyDescent="0.25">
      <c r="A60" t="s">
        <v>163</v>
      </c>
      <c r="B60" t="s">
        <v>17</v>
      </c>
    </row>
    <row r="61" spans="1:2" x14ac:dyDescent="0.25">
      <c r="A61" s="34"/>
      <c r="B61" s="34"/>
    </row>
    <row r="74" spans="1:2" x14ac:dyDescent="0.25">
      <c r="A74" s="34" t="s">
        <v>81</v>
      </c>
      <c r="B74" s="47" t="str">
        <f>IF(COUNT(Vertices[Degree])&gt;0, D2, NoMetricMessage)</f>
        <v>Not Available</v>
      </c>
    </row>
    <row r="75" spans="1:2" x14ac:dyDescent="0.25">
      <c r="A75" s="34" t="s">
        <v>82</v>
      </c>
      <c r="B75" s="47" t="str">
        <f>IF(COUNT(Vertices[Degree])&gt;0, D36, NoMetricMessage)</f>
        <v>Not Available</v>
      </c>
    </row>
    <row r="76" spans="1:2" x14ac:dyDescent="0.25">
      <c r="A76" s="34" t="s">
        <v>83</v>
      </c>
      <c r="B76" s="48" t="str">
        <f>IFERROR(AVERAGE(Vertices[Degree]),NoMetricMessage)</f>
        <v>Not Available</v>
      </c>
    </row>
    <row r="77" spans="1:2" x14ac:dyDescent="0.25">
      <c r="A77" s="34" t="s">
        <v>84</v>
      </c>
      <c r="B77" s="48" t="str">
        <f>IFERROR(MEDIAN(Vertices[Degree]),NoMetricMessage)</f>
        <v>Not Available</v>
      </c>
    </row>
    <row r="88" spans="1:2" x14ac:dyDescent="0.25">
      <c r="A88" s="34" t="s">
        <v>88</v>
      </c>
      <c r="B88" s="47">
        <f>IF(COUNT(Vertices[In-Degree])&gt;0, F2, NoMetricMessage)</f>
        <v>0</v>
      </c>
    </row>
    <row r="89" spans="1:2" x14ac:dyDescent="0.25">
      <c r="A89" s="34" t="s">
        <v>89</v>
      </c>
      <c r="B89" s="47">
        <f>IF(COUNT(Vertices[In-Degree])&gt;0, F36, NoMetricMessage)</f>
        <v>25</v>
      </c>
    </row>
    <row r="90" spans="1:2" x14ac:dyDescent="0.25">
      <c r="A90" s="34" t="s">
        <v>90</v>
      </c>
      <c r="B90" s="48">
        <f>IFERROR(AVERAGE(Vertices[In-Degree]),NoMetricMessage)</f>
        <v>1.6935483870967742</v>
      </c>
    </row>
    <row r="91" spans="1:2" x14ac:dyDescent="0.25">
      <c r="A91" s="34" t="s">
        <v>91</v>
      </c>
      <c r="B91" s="48">
        <f>IFERROR(MEDIAN(Vertices[In-Degree]),NoMetricMessage)</f>
        <v>1</v>
      </c>
    </row>
    <row r="102" spans="1:2" x14ac:dyDescent="0.25">
      <c r="A102" s="34" t="s">
        <v>94</v>
      </c>
      <c r="B102" s="47">
        <f>IF(COUNT(Vertices[Out-Degree])&gt;0, H2, NoMetricMessage)</f>
        <v>0</v>
      </c>
    </row>
    <row r="103" spans="1:2" x14ac:dyDescent="0.25">
      <c r="A103" s="34" t="s">
        <v>95</v>
      </c>
      <c r="B103" s="47">
        <f>IF(COUNT(Vertices[Out-Degree])&gt;0, H36, NoMetricMessage)</f>
        <v>18</v>
      </c>
    </row>
    <row r="104" spans="1:2" x14ac:dyDescent="0.25">
      <c r="A104" s="34" t="s">
        <v>96</v>
      </c>
      <c r="B104" s="48">
        <f>IFERROR(AVERAGE(Vertices[Out-Degree]),NoMetricMessage)</f>
        <v>1.6935483870967742</v>
      </c>
    </row>
    <row r="105" spans="1:2" x14ac:dyDescent="0.25">
      <c r="A105" s="34" t="s">
        <v>97</v>
      </c>
      <c r="B105" s="48">
        <f>IFERROR(MEDIAN(Vertices[Out-Degree]),NoMetricMessage)</f>
        <v>1</v>
      </c>
    </row>
    <row r="116" spans="1:2" x14ac:dyDescent="0.25">
      <c r="A116" s="34" t="s">
        <v>100</v>
      </c>
      <c r="B116" s="48">
        <f>IF(COUNT(Vertices[Betweenness Centrality])&gt;0, J2, NoMetricMessage)</f>
        <v>0</v>
      </c>
    </row>
    <row r="117" spans="1:2" x14ac:dyDescent="0.25">
      <c r="A117" s="34" t="s">
        <v>101</v>
      </c>
      <c r="B117" s="48">
        <f>IF(COUNT(Vertices[Betweenness Centrality])&gt;0, J36, NoMetricMessage)</f>
        <v>9225.7999999999993</v>
      </c>
    </row>
    <row r="118" spans="1:2" x14ac:dyDescent="0.25">
      <c r="A118" s="34" t="s">
        <v>102</v>
      </c>
      <c r="B118" s="48">
        <f>IFERROR(AVERAGE(Vertices[Betweenness Centrality]),NoMetricMessage)</f>
        <v>208.09677420967742</v>
      </c>
    </row>
    <row r="119" spans="1:2" x14ac:dyDescent="0.25">
      <c r="A119" s="34" t="s">
        <v>103</v>
      </c>
      <c r="B119" s="48">
        <f>IFERROR(MEDIAN(Vertices[Betweenness Centrality]),NoMetricMessage)</f>
        <v>0</v>
      </c>
    </row>
    <row r="130" spans="1:2" x14ac:dyDescent="0.25">
      <c r="A130" s="34" t="s">
        <v>106</v>
      </c>
      <c r="B130" s="48">
        <f>IF(COUNT(Vertices[Closeness Centrality])&gt;0, L2, NoMetricMessage)</f>
        <v>0</v>
      </c>
    </row>
    <row r="131" spans="1:2" x14ac:dyDescent="0.25">
      <c r="A131" s="34" t="s">
        <v>107</v>
      </c>
      <c r="B131" s="48">
        <f>IF(COUNT(Vertices[Closeness Centrality])&gt;0, L36, NoMetricMessage)</f>
        <v>0.481904</v>
      </c>
    </row>
    <row r="132" spans="1:2" x14ac:dyDescent="0.25">
      <c r="A132" s="34" t="s">
        <v>108</v>
      </c>
      <c r="B132" s="48">
        <f>IFERROR(AVERAGE(Vertices[Closeness Centrality]),NoMetricMessage)</f>
        <v>0.23040228225806461</v>
      </c>
    </row>
    <row r="133" spans="1:2" x14ac:dyDescent="0.25">
      <c r="A133" s="34" t="s">
        <v>109</v>
      </c>
      <c r="B133" s="48">
        <f>IFERROR(MEDIAN(Vertices[Closeness Centrality]),NoMetricMessage)</f>
        <v>0.24390300000000001</v>
      </c>
    </row>
    <row r="144" spans="1:2" x14ac:dyDescent="0.25">
      <c r="A144" s="34" t="s">
        <v>112</v>
      </c>
      <c r="B144" s="48">
        <f>IF(COUNT(Vertices[Eigenvector Centrality])&gt;0, N2, NoMetricMessage)</f>
        <v>0</v>
      </c>
    </row>
    <row r="145" spans="1:2" x14ac:dyDescent="0.25">
      <c r="A145" s="34" t="s">
        <v>113</v>
      </c>
      <c r="B145" s="48">
        <f>IF(COUNT(Vertices[Eigenvector Centrality])&gt;0, N36, NoMetricMessage)</f>
        <v>0.60524299999999998</v>
      </c>
    </row>
    <row r="146" spans="1:2" x14ac:dyDescent="0.25">
      <c r="A146" s="34" t="s">
        <v>114</v>
      </c>
      <c r="B146" s="48">
        <f>IFERROR(AVERAGE(Vertices[Eigenvector Centrality]),NoMetricMessage)</f>
        <v>5.1232838709677361E-2</v>
      </c>
    </row>
    <row r="147" spans="1:2" x14ac:dyDescent="0.25">
      <c r="A147" s="34" t="s">
        <v>115</v>
      </c>
      <c r="B147" s="48">
        <f>IFERROR(MEDIAN(Vertices[Eigenvector Centrality]),NoMetricMessage)</f>
        <v>1.8397500000000001E-2</v>
      </c>
    </row>
    <row r="158" spans="1:2" x14ac:dyDescent="0.25">
      <c r="A158" s="34" t="s">
        <v>140</v>
      </c>
      <c r="B158" s="48">
        <f>IF(COUNT(Vertices[PageRank])&gt;0, P2, NoMetricMessage)</f>
        <v>6.9379999999999997E-3</v>
      </c>
    </row>
    <row r="159" spans="1:2" x14ac:dyDescent="0.25">
      <c r="A159" s="34" t="s">
        <v>141</v>
      </c>
      <c r="B159" s="48">
        <f>IF(COUNT(Vertices[PageRank])&gt;0, P36, NoMetricMessage)</f>
        <v>2.0480000000000002E-2</v>
      </c>
    </row>
    <row r="160" spans="1:2" x14ac:dyDescent="0.25">
      <c r="A160" s="34" t="s">
        <v>142</v>
      </c>
      <c r="B160" s="48">
        <f>IFERROR(AVERAGE(Vertices[PageRank]),NoMetricMessage)</f>
        <v>8.0645161290322596E-3</v>
      </c>
    </row>
    <row r="161" spans="1:2" x14ac:dyDescent="0.25">
      <c r="A161" s="34" t="s">
        <v>143</v>
      </c>
      <c r="B161" s="48">
        <f>IFERROR(MEDIAN(Vertices[PageRank]),NoMetricMessage)</f>
        <v>7.2690000000000003E-3</v>
      </c>
    </row>
    <row r="172" spans="1:2" x14ac:dyDescent="0.25">
      <c r="A172" s="34" t="s">
        <v>118</v>
      </c>
      <c r="B172" s="48">
        <f>IF(COUNT(Vertices[Clustering Coefficient])&gt;0, R2, NoMetricMessage)</f>
        <v>0</v>
      </c>
    </row>
    <row r="173" spans="1:2" x14ac:dyDescent="0.25">
      <c r="A173" s="34" t="s">
        <v>119</v>
      </c>
      <c r="B173" s="48">
        <f>IF(COUNT(Vertices[Clustering Coefficient])&gt;0, R36, NoMetricMessage)</f>
        <v>1</v>
      </c>
    </row>
    <row r="174" spans="1:2" x14ac:dyDescent="0.25">
      <c r="A174" s="34" t="s">
        <v>120</v>
      </c>
      <c r="B174" s="48">
        <f>IFERROR(AVERAGE(Vertices[Clustering Coefficient]),NoMetricMessage)</f>
        <v>0.19388280849974399</v>
      </c>
    </row>
    <row r="175" spans="1:2" x14ac:dyDescent="0.25">
      <c r="A175" s="34" t="s">
        <v>121</v>
      </c>
      <c r="B175" s="48">
        <f>IFERROR(MEDIAN(Vertices[Clustering Coefficient]),NoMetricMessage)</f>
        <v>0</v>
      </c>
    </row>
  </sheetData>
  <dataConsolidate/>
  <pageMargins left="0.7" right="0.7" top="0.75" bottom="0.75" header="0.3" footer="0.3"/>
  <pageSetup orientation="portrait"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R25"/>
  <sheetViews>
    <sheetView workbookViewId="0">
      <selection activeCell="A2" sqref="A2"/>
    </sheetView>
  </sheetViews>
  <sheetFormatPr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4" customFormat="1" ht="36" customHeight="1" x14ac:dyDescent="0.2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25">
      <c r="A2" s="1" t="s">
        <v>51</v>
      </c>
      <c r="B2" s="1" t="s">
        <v>132</v>
      </c>
      <c r="C2" t="s">
        <v>54</v>
      </c>
      <c r="D2" t="s">
        <v>55</v>
      </c>
      <c r="E2" t="s">
        <v>55</v>
      </c>
      <c r="F2" s="1" t="s">
        <v>51</v>
      </c>
      <c r="G2" t="s">
        <v>65</v>
      </c>
      <c r="H2" t="s">
        <v>159</v>
      </c>
      <c r="J2" t="s">
        <v>19</v>
      </c>
      <c r="K2">
        <v>108</v>
      </c>
    </row>
    <row r="3" spans="1:18" x14ac:dyDescent="0.25">
      <c r="A3" s="1" t="s">
        <v>52</v>
      </c>
      <c r="B3" s="1" t="s">
        <v>133</v>
      </c>
      <c r="C3" t="s">
        <v>52</v>
      </c>
      <c r="D3" t="s">
        <v>56</v>
      </c>
      <c r="E3" t="s">
        <v>56</v>
      </c>
      <c r="F3" s="1" t="s">
        <v>52</v>
      </c>
      <c r="G3" t="s">
        <v>66</v>
      </c>
      <c r="H3" t="s">
        <v>68</v>
      </c>
      <c r="J3" t="s">
        <v>30</v>
      </c>
      <c r="K3" t="s">
        <v>191</v>
      </c>
    </row>
    <row r="4" spans="1:18" x14ac:dyDescent="0.25">
      <c r="A4" s="1" t="s">
        <v>53</v>
      </c>
      <c r="B4" s="1" t="s">
        <v>134</v>
      </c>
      <c r="C4" t="s">
        <v>53</v>
      </c>
      <c r="D4" t="s">
        <v>57</v>
      </c>
      <c r="E4" t="s">
        <v>57</v>
      </c>
      <c r="F4" s="1" t="s">
        <v>53</v>
      </c>
      <c r="G4">
        <v>0</v>
      </c>
      <c r="H4" t="s">
        <v>69</v>
      </c>
      <c r="J4" s="12" t="s">
        <v>78</v>
      </c>
      <c r="K4" s="12"/>
    </row>
    <row r="5" spans="1:18" ht="409.5" x14ac:dyDescent="0.25">
      <c r="A5">
        <v>1</v>
      </c>
      <c r="B5" s="1" t="s">
        <v>135</v>
      </c>
      <c r="C5" t="s">
        <v>51</v>
      </c>
      <c r="D5" t="s">
        <v>58</v>
      </c>
      <c r="E5" t="s">
        <v>58</v>
      </c>
      <c r="F5">
        <v>1</v>
      </c>
      <c r="G5">
        <v>1</v>
      </c>
      <c r="H5" t="s">
        <v>70</v>
      </c>
      <c r="J5" t="s">
        <v>172</v>
      </c>
      <c r="K5" s="13" t="s">
        <v>1582</v>
      </c>
    </row>
    <row r="6" spans="1:18" ht="409.5" x14ac:dyDescent="0.25">
      <c r="A6">
        <v>0</v>
      </c>
      <c r="B6" s="1" t="s">
        <v>136</v>
      </c>
      <c r="C6">
        <v>1</v>
      </c>
      <c r="D6" t="s">
        <v>59</v>
      </c>
      <c r="E6" t="s">
        <v>59</v>
      </c>
      <c r="F6">
        <v>0</v>
      </c>
      <c r="H6" t="s">
        <v>71</v>
      </c>
      <c r="J6" t="s">
        <v>173</v>
      </c>
      <c r="K6" s="13" t="s">
        <v>1583</v>
      </c>
      <c r="R6" t="s">
        <v>129</v>
      </c>
    </row>
    <row r="7" spans="1:18" ht="409.5" x14ac:dyDescent="0.25">
      <c r="A7">
        <v>2</v>
      </c>
      <c r="B7">
        <v>1</v>
      </c>
      <c r="C7">
        <v>0</v>
      </c>
      <c r="D7" t="s">
        <v>60</v>
      </c>
      <c r="E7" t="s">
        <v>60</v>
      </c>
      <c r="F7">
        <v>2</v>
      </c>
      <c r="H7" t="s">
        <v>72</v>
      </c>
      <c r="J7" t="s">
        <v>174</v>
      </c>
      <c r="K7" s="13" t="s">
        <v>1584</v>
      </c>
    </row>
    <row r="8" spans="1:18" ht="409.5" x14ac:dyDescent="0.25">
      <c r="A8"/>
      <c r="B8">
        <v>2</v>
      </c>
      <c r="C8">
        <v>2</v>
      </c>
      <c r="D8" t="s">
        <v>61</v>
      </c>
      <c r="E8" t="s">
        <v>61</v>
      </c>
      <c r="H8" t="s">
        <v>73</v>
      </c>
      <c r="J8" t="s">
        <v>175</v>
      </c>
      <c r="K8" s="13" t="s">
        <v>1585</v>
      </c>
    </row>
    <row r="9" spans="1:18" ht="409.5" x14ac:dyDescent="0.25">
      <c r="A9"/>
      <c r="B9">
        <v>3</v>
      </c>
      <c r="C9">
        <v>4</v>
      </c>
      <c r="D9" t="s">
        <v>62</v>
      </c>
      <c r="E9" t="s">
        <v>62</v>
      </c>
      <c r="H9" t="s">
        <v>74</v>
      </c>
      <c r="J9" t="s">
        <v>176</v>
      </c>
      <c r="K9" s="13" t="s">
        <v>1586</v>
      </c>
    </row>
    <row r="10" spans="1:18" x14ac:dyDescent="0.25">
      <c r="A10"/>
      <c r="B10">
        <v>4</v>
      </c>
      <c r="D10" t="s">
        <v>63</v>
      </c>
      <c r="E10" t="s">
        <v>63</v>
      </c>
      <c r="H10" t="s">
        <v>75</v>
      </c>
      <c r="J10" t="s">
        <v>177</v>
      </c>
      <c r="K10" t="s">
        <v>1587</v>
      </c>
    </row>
    <row r="11" spans="1:18" x14ac:dyDescent="0.25">
      <c r="A11"/>
      <c r="B11">
        <v>5</v>
      </c>
      <c r="D11" t="s">
        <v>46</v>
      </c>
      <c r="E11">
        <v>1</v>
      </c>
      <c r="H11" t="s">
        <v>76</v>
      </c>
      <c r="J11" t="s">
        <v>178</v>
      </c>
      <c r="K11" t="s">
        <v>1588</v>
      </c>
    </row>
    <row r="12" spans="1:18" x14ac:dyDescent="0.25">
      <c r="A12"/>
      <c r="B12"/>
      <c r="D12" t="s">
        <v>64</v>
      </c>
      <c r="E12">
        <v>2</v>
      </c>
      <c r="H12">
        <v>0</v>
      </c>
      <c r="J12" t="s">
        <v>179</v>
      </c>
      <c r="K12" t="s">
        <v>1589</v>
      </c>
    </row>
    <row r="13" spans="1:18" x14ac:dyDescent="0.25">
      <c r="A13"/>
      <c r="B13"/>
      <c r="D13">
        <v>1</v>
      </c>
      <c r="E13">
        <v>3</v>
      </c>
      <c r="H13">
        <v>1</v>
      </c>
      <c r="J13" t="s">
        <v>180</v>
      </c>
      <c r="K13" t="s">
        <v>1590</v>
      </c>
    </row>
    <row r="14" spans="1:18" x14ac:dyDescent="0.25">
      <c r="D14">
        <v>2</v>
      </c>
      <c r="E14">
        <v>4</v>
      </c>
      <c r="H14">
        <v>2</v>
      </c>
      <c r="J14" t="s">
        <v>181</v>
      </c>
      <c r="K14" t="s">
        <v>1591</v>
      </c>
    </row>
    <row r="15" spans="1:18" x14ac:dyDescent="0.25">
      <c r="D15">
        <v>3</v>
      </c>
      <c r="E15">
        <v>5</v>
      </c>
      <c r="H15">
        <v>3</v>
      </c>
      <c r="J15" t="s">
        <v>182</v>
      </c>
      <c r="K15" t="s">
        <v>1592</v>
      </c>
    </row>
    <row r="16" spans="1:18" x14ac:dyDescent="0.25">
      <c r="D16">
        <v>4</v>
      </c>
      <c r="E16">
        <v>6</v>
      </c>
      <c r="H16">
        <v>4</v>
      </c>
      <c r="J16" t="s">
        <v>183</v>
      </c>
      <c r="K16" t="s">
        <v>1593</v>
      </c>
    </row>
    <row r="17" spans="4:11" x14ac:dyDescent="0.25">
      <c r="D17">
        <v>5</v>
      </c>
      <c r="E17">
        <v>7</v>
      </c>
      <c r="H17">
        <v>5</v>
      </c>
      <c r="J17" t="s">
        <v>184</v>
      </c>
      <c r="K17" t="s">
        <v>1594</v>
      </c>
    </row>
    <row r="18" spans="4:11" x14ac:dyDescent="0.25">
      <c r="D18">
        <v>6</v>
      </c>
      <c r="E18">
        <v>8</v>
      </c>
      <c r="H18">
        <v>6</v>
      </c>
      <c r="J18" t="s">
        <v>185</v>
      </c>
      <c r="K18" t="s">
        <v>1595</v>
      </c>
    </row>
    <row r="19" spans="4:11" x14ac:dyDescent="0.25">
      <c r="D19">
        <v>7</v>
      </c>
      <c r="E19">
        <v>9</v>
      </c>
      <c r="H19">
        <v>7</v>
      </c>
      <c r="J19" t="s">
        <v>186</v>
      </c>
      <c r="K19" t="s">
        <v>1596</v>
      </c>
    </row>
    <row r="20" spans="4:11" ht="409.5" x14ac:dyDescent="0.25">
      <c r="D20">
        <v>8</v>
      </c>
      <c r="H20">
        <v>8</v>
      </c>
      <c r="J20" t="s">
        <v>187</v>
      </c>
      <c r="K20" s="13" t="s">
        <v>1597</v>
      </c>
    </row>
    <row r="21" spans="4:11" ht="409.5" x14ac:dyDescent="0.25">
      <c r="D21">
        <v>9</v>
      </c>
      <c r="H21">
        <v>9</v>
      </c>
      <c r="J21" t="s">
        <v>188</v>
      </c>
      <c r="K21" s="13" t="s">
        <v>1598</v>
      </c>
    </row>
    <row r="22" spans="4:11" ht="409.5" x14ac:dyDescent="0.25">
      <c r="D22">
        <v>10</v>
      </c>
      <c r="J22" t="s">
        <v>189</v>
      </c>
      <c r="K22" s="13" t="s">
        <v>10091</v>
      </c>
    </row>
    <row r="23" spans="4:11" x14ac:dyDescent="0.25">
      <c r="D23">
        <v>11</v>
      </c>
      <c r="J23" t="s">
        <v>190</v>
      </c>
      <c r="K23">
        <v>18</v>
      </c>
    </row>
    <row r="24" spans="4:11" x14ac:dyDescent="0.25">
      <c r="J24" t="s">
        <v>192</v>
      </c>
      <c r="K24" t="s">
        <v>10089</v>
      </c>
    </row>
    <row r="25" spans="4:11" ht="409.5" x14ac:dyDescent="0.25">
      <c r="J25" t="s">
        <v>193</v>
      </c>
      <c r="K25" s="13" t="s">
        <v>10090</v>
      </c>
    </row>
  </sheetData>
  <dataConsolidate/>
  <pageMargins left="0.7" right="0.7" top="0.75" bottom="0.75" header="0.3" footer="0.3"/>
  <pageSetup orientation="portrait" horizontalDpi="0" verticalDpi="0"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5ADEF-AD98-487D-AB13-D2BC7F08BE36}">
  <dimension ref="A1:G751"/>
  <sheetViews>
    <sheetView workbookViewId="0"/>
  </sheetViews>
  <sheetFormatPr defaultRowHeight="15" x14ac:dyDescent="0.25"/>
  <cols>
    <col min="1" max="1" width="8.140625" bestFit="1" customWidth="1"/>
    <col min="2" max="2" width="8.5703125" bestFit="1" customWidth="1"/>
    <col min="3" max="3" width="10.7109375" bestFit="1" customWidth="1"/>
    <col min="4" max="4" width="8.7109375" bestFit="1" customWidth="1"/>
    <col min="5" max="7" width="32.140625" bestFit="1" customWidth="1"/>
  </cols>
  <sheetData>
    <row r="1" spans="1:7" ht="15" customHeight="1" x14ac:dyDescent="0.25">
      <c r="A1" s="13" t="s">
        <v>1631</v>
      </c>
      <c r="B1" s="13" t="s">
        <v>1947</v>
      </c>
      <c r="C1" s="13" t="s">
        <v>1951</v>
      </c>
      <c r="D1" s="13" t="s">
        <v>144</v>
      </c>
      <c r="E1" s="13" t="s">
        <v>1953</v>
      </c>
      <c r="F1" s="13" t="s">
        <v>1954</v>
      </c>
      <c r="G1" s="13" t="s">
        <v>1955</v>
      </c>
    </row>
    <row r="2" spans="1:7" x14ac:dyDescent="0.25">
      <c r="A2" s="80" t="s">
        <v>1632</v>
      </c>
      <c r="B2" s="80" t="s">
        <v>1948</v>
      </c>
      <c r="C2" s="110"/>
      <c r="D2" s="80"/>
      <c r="E2" s="80"/>
      <c r="F2" s="80"/>
      <c r="G2" s="80"/>
    </row>
    <row r="3" spans="1:7" x14ac:dyDescent="0.25">
      <c r="A3" s="81" t="s">
        <v>1633</v>
      </c>
      <c r="B3" s="80" t="s">
        <v>1949</v>
      </c>
      <c r="C3" s="110"/>
      <c r="D3" s="80"/>
      <c r="E3" s="80"/>
      <c r="F3" s="80"/>
      <c r="G3" s="80"/>
    </row>
    <row r="4" spans="1:7" x14ac:dyDescent="0.25">
      <c r="A4" s="81" t="s">
        <v>1634</v>
      </c>
      <c r="B4" s="80" t="s">
        <v>1950</v>
      </c>
      <c r="C4" s="110"/>
      <c r="D4" s="80"/>
      <c r="E4" s="80"/>
      <c r="F4" s="80"/>
      <c r="G4" s="80"/>
    </row>
    <row r="5" spans="1:7" x14ac:dyDescent="0.25">
      <c r="A5" s="81" t="s">
        <v>1635</v>
      </c>
      <c r="B5" s="80">
        <v>132</v>
      </c>
      <c r="C5" s="110">
        <v>4.5236463331048665E-2</v>
      </c>
      <c r="D5" s="80"/>
      <c r="E5" s="80"/>
      <c r="F5" s="80"/>
      <c r="G5" s="80"/>
    </row>
    <row r="6" spans="1:7" x14ac:dyDescent="0.25">
      <c r="A6" s="81" t="s">
        <v>1636</v>
      </c>
      <c r="B6" s="80">
        <v>22</v>
      </c>
      <c r="C6" s="110">
        <v>7.5394105551747767E-3</v>
      </c>
      <c r="D6" s="80"/>
      <c r="E6" s="80"/>
      <c r="F6" s="80"/>
      <c r="G6" s="80"/>
    </row>
    <row r="7" spans="1:7" x14ac:dyDescent="0.25">
      <c r="A7" s="81" t="s">
        <v>1637</v>
      </c>
      <c r="B7" s="80">
        <v>0</v>
      </c>
      <c r="C7" s="110">
        <v>0</v>
      </c>
      <c r="D7" s="80"/>
      <c r="E7" s="80"/>
      <c r="F7" s="80"/>
      <c r="G7" s="80"/>
    </row>
    <row r="8" spans="1:7" x14ac:dyDescent="0.25">
      <c r="A8" s="81" t="s">
        <v>1638</v>
      </c>
      <c r="B8" s="80">
        <v>1694</v>
      </c>
      <c r="C8" s="110">
        <v>0.58053461274845786</v>
      </c>
      <c r="D8" s="80"/>
      <c r="E8" s="80"/>
      <c r="F8" s="80"/>
      <c r="G8" s="80"/>
    </row>
    <row r="9" spans="1:7" x14ac:dyDescent="0.25">
      <c r="A9" s="81" t="s">
        <v>1639</v>
      </c>
      <c r="B9" s="80">
        <v>2918</v>
      </c>
      <c r="C9" s="110">
        <v>1</v>
      </c>
      <c r="D9" s="80"/>
      <c r="E9" s="80"/>
      <c r="F9" s="80"/>
      <c r="G9" s="80"/>
    </row>
    <row r="10" spans="1:7" x14ac:dyDescent="0.25">
      <c r="A10" s="84" t="s">
        <v>268</v>
      </c>
      <c r="B10" s="87">
        <v>65</v>
      </c>
      <c r="C10" s="111">
        <v>1.2210774668755553E-2</v>
      </c>
      <c r="D10" s="87" t="s">
        <v>1952</v>
      </c>
      <c r="E10" s="87" t="b">
        <v>0</v>
      </c>
      <c r="F10" s="87" t="b">
        <v>0</v>
      </c>
      <c r="G10" s="87" t="b">
        <v>0</v>
      </c>
    </row>
    <row r="11" spans="1:7" x14ac:dyDescent="0.25">
      <c r="A11" s="84" t="s">
        <v>249</v>
      </c>
      <c r="B11" s="87">
        <v>38</v>
      </c>
      <c r="C11" s="111">
        <v>1.4303799658268605E-2</v>
      </c>
      <c r="D11" s="87" t="s">
        <v>1952</v>
      </c>
      <c r="E11" s="87" t="b">
        <v>0</v>
      </c>
      <c r="F11" s="87" t="b">
        <v>0</v>
      </c>
      <c r="G11" s="87" t="b">
        <v>0</v>
      </c>
    </row>
    <row r="12" spans="1:7" x14ac:dyDescent="0.25">
      <c r="A12" s="84" t="s">
        <v>1640</v>
      </c>
      <c r="B12" s="87">
        <v>26</v>
      </c>
      <c r="C12" s="111">
        <v>1.0275887545064241E-2</v>
      </c>
      <c r="D12" s="87" t="s">
        <v>1952</v>
      </c>
      <c r="E12" s="87" t="b">
        <v>0</v>
      </c>
      <c r="F12" s="87" t="b">
        <v>0</v>
      </c>
      <c r="G12" s="87" t="b">
        <v>0</v>
      </c>
    </row>
    <row r="13" spans="1:7" x14ac:dyDescent="0.25">
      <c r="A13" s="84" t="s">
        <v>1641</v>
      </c>
      <c r="B13" s="87">
        <v>20</v>
      </c>
      <c r="C13" s="111">
        <v>1.0113619602203113E-2</v>
      </c>
      <c r="D13" s="87" t="s">
        <v>1952</v>
      </c>
      <c r="E13" s="87" t="b">
        <v>1</v>
      </c>
      <c r="F13" s="87" t="b">
        <v>0</v>
      </c>
      <c r="G13" s="87" t="b">
        <v>0</v>
      </c>
    </row>
    <row r="14" spans="1:7" x14ac:dyDescent="0.25">
      <c r="A14" s="84" t="s">
        <v>1642</v>
      </c>
      <c r="B14" s="87">
        <v>20</v>
      </c>
      <c r="C14" s="111">
        <v>8.7614687731089585E-3</v>
      </c>
      <c r="D14" s="87" t="s">
        <v>1952</v>
      </c>
      <c r="E14" s="87" t="b">
        <v>0</v>
      </c>
      <c r="F14" s="87" t="b">
        <v>0</v>
      </c>
      <c r="G14" s="87" t="b">
        <v>0</v>
      </c>
    </row>
    <row r="15" spans="1:7" x14ac:dyDescent="0.25">
      <c r="A15" s="84" t="s">
        <v>1643</v>
      </c>
      <c r="B15" s="87">
        <v>19</v>
      </c>
      <c r="C15" s="111">
        <v>8.5524275311590816E-3</v>
      </c>
      <c r="D15" s="87" t="s">
        <v>1952</v>
      </c>
      <c r="E15" s="87" t="b">
        <v>0</v>
      </c>
      <c r="F15" s="87" t="b">
        <v>0</v>
      </c>
      <c r="G15" s="87" t="b">
        <v>0</v>
      </c>
    </row>
    <row r="16" spans="1:7" x14ac:dyDescent="0.25">
      <c r="A16" s="84" t="s">
        <v>1644</v>
      </c>
      <c r="B16" s="87">
        <v>19</v>
      </c>
      <c r="C16" s="111">
        <v>9.3197645158133984E-3</v>
      </c>
      <c r="D16" s="87" t="s">
        <v>1952</v>
      </c>
      <c r="E16" s="87" t="b">
        <v>0</v>
      </c>
      <c r="F16" s="87" t="b">
        <v>0</v>
      </c>
      <c r="G16" s="87" t="b">
        <v>0</v>
      </c>
    </row>
    <row r="17" spans="1:7" x14ac:dyDescent="0.25">
      <c r="A17" s="84" t="s">
        <v>1645</v>
      </c>
      <c r="B17" s="87">
        <v>18</v>
      </c>
      <c r="C17" s="111">
        <v>8.3310117389215222E-3</v>
      </c>
      <c r="D17" s="87" t="s">
        <v>1952</v>
      </c>
      <c r="E17" s="87" t="b">
        <v>0</v>
      </c>
      <c r="F17" s="87" t="b">
        <v>0</v>
      </c>
      <c r="G17" s="87" t="b">
        <v>0</v>
      </c>
    </row>
    <row r="18" spans="1:7" x14ac:dyDescent="0.25">
      <c r="A18" s="84" t="s">
        <v>275</v>
      </c>
      <c r="B18" s="87">
        <v>18</v>
      </c>
      <c r="C18" s="111">
        <v>8.3310117389215222E-3</v>
      </c>
      <c r="D18" s="87" t="s">
        <v>1952</v>
      </c>
      <c r="E18" s="87" t="b">
        <v>0</v>
      </c>
      <c r="F18" s="87" t="b">
        <v>0</v>
      </c>
      <c r="G18" s="87" t="b">
        <v>0</v>
      </c>
    </row>
    <row r="19" spans="1:7" x14ac:dyDescent="0.25">
      <c r="A19" s="84" t="s">
        <v>1646</v>
      </c>
      <c r="B19" s="87">
        <v>18</v>
      </c>
      <c r="C19" s="111">
        <v>1.0046186340113223E-2</v>
      </c>
      <c r="D19" s="87" t="s">
        <v>1952</v>
      </c>
      <c r="E19" s="87" t="b">
        <v>0</v>
      </c>
      <c r="F19" s="87" t="b">
        <v>0</v>
      </c>
      <c r="G19" s="87" t="b">
        <v>0</v>
      </c>
    </row>
    <row r="20" spans="1:7" x14ac:dyDescent="0.25">
      <c r="A20" s="84" t="s">
        <v>1647</v>
      </c>
      <c r="B20" s="87">
        <v>16</v>
      </c>
      <c r="C20" s="111">
        <v>8.0908956817624909E-3</v>
      </c>
      <c r="D20" s="87" t="s">
        <v>1952</v>
      </c>
      <c r="E20" s="87" t="b">
        <v>0</v>
      </c>
      <c r="F20" s="87" t="b">
        <v>0</v>
      </c>
      <c r="G20" s="87" t="b">
        <v>0</v>
      </c>
    </row>
    <row r="21" spans="1:7" x14ac:dyDescent="0.25">
      <c r="A21" s="84" t="s">
        <v>1648</v>
      </c>
      <c r="B21" s="87">
        <v>15</v>
      </c>
      <c r="C21" s="111">
        <v>7.5852147016523342E-3</v>
      </c>
      <c r="D21" s="87" t="s">
        <v>1952</v>
      </c>
      <c r="E21" s="87" t="b">
        <v>0</v>
      </c>
      <c r="F21" s="87" t="b">
        <v>0</v>
      </c>
      <c r="G21" s="87" t="b">
        <v>0</v>
      </c>
    </row>
    <row r="22" spans="1:7" x14ac:dyDescent="0.25">
      <c r="A22" s="84" t="s">
        <v>1649</v>
      </c>
      <c r="B22" s="87">
        <v>15</v>
      </c>
      <c r="C22" s="111">
        <v>8.089661996691656E-3</v>
      </c>
      <c r="D22" s="87" t="s">
        <v>1952</v>
      </c>
      <c r="E22" s="87" t="b">
        <v>0</v>
      </c>
      <c r="F22" s="87" t="b">
        <v>0</v>
      </c>
      <c r="G22" s="87" t="b">
        <v>0</v>
      </c>
    </row>
    <row r="23" spans="1:7" x14ac:dyDescent="0.25">
      <c r="A23" s="84" t="s">
        <v>1650</v>
      </c>
      <c r="B23" s="87">
        <v>14</v>
      </c>
      <c r="C23" s="111">
        <v>7.3065278380379621E-3</v>
      </c>
      <c r="D23" s="87" t="s">
        <v>1952</v>
      </c>
      <c r="E23" s="87" t="b">
        <v>0</v>
      </c>
      <c r="F23" s="87" t="b">
        <v>0</v>
      </c>
      <c r="G23" s="87" t="b">
        <v>0</v>
      </c>
    </row>
    <row r="24" spans="1:7" x14ac:dyDescent="0.25">
      <c r="A24" s="84" t="s">
        <v>1651</v>
      </c>
      <c r="B24" s="87">
        <v>12</v>
      </c>
      <c r="C24" s="111">
        <v>7.2116214954496697E-3</v>
      </c>
      <c r="D24" s="87" t="s">
        <v>1952</v>
      </c>
      <c r="E24" s="87" t="b">
        <v>0</v>
      </c>
      <c r="F24" s="87" t="b">
        <v>0</v>
      </c>
      <c r="G24" s="87" t="b">
        <v>0</v>
      </c>
    </row>
    <row r="25" spans="1:7" x14ac:dyDescent="0.25">
      <c r="A25" s="84" t="s">
        <v>1652</v>
      </c>
      <c r="B25" s="87">
        <v>11</v>
      </c>
      <c r="C25" s="111">
        <v>6.3642680067918086E-3</v>
      </c>
      <c r="D25" s="87" t="s">
        <v>1952</v>
      </c>
      <c r="E25" s="87" t="b">
        <v>0</v>
      </c>
      <c r="F25" s="87" t="b">
        <v>0</v>
      </c>
      <c r="G25" s="87" t="b">
        <v>0</v>
      </c>
    </row>
    <row r="26" spans="1:7" x14ac:dyDescent="0.25">
      <c r="A26" s="84" t="s">
        <v>1653</v>
      </c>
      <c r="B26" s="87">
        <v>10</v>
      </c>
      <c r="C26" s="111">
        <v>6.009684579541391E-3</v>
      </c>
      <c r="D26" s="87" t="s">
        <v>1952</v>
      </c>
      <c r="E26" s="87" t="b">
        <v>0</v>
      </c>
      <c r="F26" s="87" t="b">
        <v>0</v>
      </c>
      <c r="G26" s="87" t="b">
        <v>0</v>
      </c>
    </row>
    <row r="27" spans="1:7" x14ac:dyDescent="0.25">
      <c r="A27" s="84" t="s">
        <v>1654</v>
      </c>
      <c r="B27" s="87">
        <v>10</v>
      </c>
      <c r="C27" s="111">
        <v>6.009684579541391E-3</v>
      </c>
      <c r="D27" s="87" t="s">
        <v>1952</v>
      </c>
      <c r="E27" s="87" t="b">
        <v>1</v>
      </c>
      <c r="F27" s="87" t="b">
        <v>0</v>
      </c>
      <c r="G27" s="87" t="b">
        <v>0</v>
      </c>
    </row>
    <row r="28" spans="1:7" x14ac:dyDescent="0.25">
      <c r="A28" s="84" t="s">
        <v>1655</v>
      </c>
      <c r="B28" s="87">
        <v>10</v>
      </c>
      <c r="C28" s="111">
        <v>7.6386347725283018E-3</v>
      </c>
      <c r="D28" s="87" t="s">
        <v>1952</v>
      </c>
      <c r="E28" s="87" t="b">
        <v>0</v>
      </c>
      <c r="F28" s="87" t="b">
        <v>0</v>
      </c>
      <c r="G28" s="87" t="b">
        <v>0</v>
      </c>
    </row>
    <row r="29" spans="1:7" x14ac:dyDescent="0.25">
      <c r="A29" s="84" t="s">
        <v>1656</v>
      </c>
      <c r="B29" s="87">
        <v>10</v>
      </c>
      <c r="C29" s="111">
        <v>6.009684579541391E-3</v>
      </c>
      <c r="D29" s="87" t="s">
        <v>1952</v>
      </c>
      <c r="E29" s="87" t="b">
        <v>0</v>
      </c>
      <c r="F29" s="87" t="b">
        <v>0</v>
      </c>
      <c r="G29" s="87" t="b">
        <v>0</v>
      </c>
    </row>
    <row r="30" spans="1:7" x14ac:dyDescent="0.25">
      <c r="A30" s="84" t="s">
        <v>252</v>
      </c>
      <c r="B30" s="87">
        <v>10</v>
      </c>
      <c r="C30" s="111">
        <v>6.009684579541391E-3</v>
      </c>
      <c r="D30" s="87" t="s">
        <v>1952</v>
      </c>
      <c r="E30" s="87" t="b">
        <v>0</v>
      </c>
      <c r="F30" s="87" t="b">
        <v>0</v>
      </c>
      <c r="G30" s="87" t="b">
        <v>0</v>
      </c>
    </row>
    <row r="31" spans="1:7" x14ac:dyDescent="0.25">
      <c r="A31" s="84" t="s">
        <v>1657</v>
      </c>
      <c r="B31" s="87">
        <v>9</v>
      </c>
      <c r="C31" s="111">
        <v>5.6315610431489803E-3</v>
      </c>
      <c r="D31" s="87" t="s">
        <v>1952</v>
      </c>
      <c r="E31" s="87" t="b">
        <v>0</v>
      </c>
      <c r="F31" s="87" t="b">
        <v>0</v>
      </c>
      <c r="G31" s="87" t="b">
        <v>0</v>
      </c>
    </row>
    <row r="32" spans="1:7" x14ac:dyDescent="0.25">
      <c r="A32" s="84" t="s">
        <v>1658</v>
      </c>
      <c r="B32" s="87">
        <v>9</v>
      </c>
      <c r="C32" s="111">
        <v>5.6315610431489803E-3</v>
      </c>
      <c r="D32" s="87" t="s">
        <v>1952</v>
      </c>
      <c r="E32" s="87" t="b">
        <v>0</v>
      </c>
      <c r="F32" s="87" t="b">
        <v>0</v>
      </c>
      <c r="G32" s="87" t="b">
        <v>0</v>
      </c>
    </row>
    <row r="33" spans="1:7" x14ac:dyDescent="0.25">
      <c r="A33" s="84" t="s">
        <v>1659</v>
      </c>
      <c r="B33" s="87">
        <v>9</v>
      </c>
      <c r="C33" s="111">
        <v>5.6315610431489803E-3</v>
      </c>
      <c r="D33" s="87" t="s">
        <v>1952</v>
      </c>
      <c r="E33" s="87" t="b">
        <v>0</v>
      </c>
      <c r="F33" s="87" t="b">
        <v>0</v>
      </c>
      <c r="G33" s="87" t="b">
        <v>0</v>
      </c>
    </row>
    <row r="34" spans="1:7" x14ac:dyDescent="0.25">
      <c r="A34" s="84" t="s">
        <v>1660</v>
      </c>
      <c r="B34" s="87">
        <v>9</v>
      </c>
      <c r="C34" s="111">
        <v>5.6315610431489803E-3</v>
      </c>
      <c r="D34" s="87" t="s">
        <v>1952</v>
      </c>
      <c r="E34" s="87" t="b">
        <v>0</v>
      </c>
      <c r="F34" s="87" t="b">
        <v>0</v>
      </c>
      <c r="G34" s="87" t="b">
        <v>0</v>
      </c>
    </row>
    <row r="35" spans="1:7" x14ac:dyDescent="0.25">
      <c r="A35" s="84" t="s">
        <v>1661</v>
      </c>
      <c r="B35" s="87">
        <v>9</v>
      </c>
      <c r="C35" s="111">
        <v>5.6315610431489803E-3</v>
      </c>
      <c r="D35" s="87" t="s">
        <v>1952</v>
      </c>
      <c r="E35" s="87" t="b">
        <v>0</v>
      </c>
      <c r="F35" s="87" t="b">
        <v>0</v>
      </c>
      <c r="G35" s="87" t="b">
        <v>0</v>
      </c>
    </row>
    <row r="36" spans="1:7" x14ac:dyDescent="0.25">
      <c r="A36" s="84" t="s">
        <v>1662</v>
      </c>
      <c r="B36" s="87">
        <v>9</v>
      </c>
      <c r="C36" s="111">
        <v>5.6315610431489803E-3</v>
      </c>
      <c r="D36" s="87" t="s">
        <v>1952</v>
      </c>
      <c r="E36" s="87" t="b">
        <v>0</v>
      </c>
      <c r="F36" s="87" t="b">
        <v>0</v>
      </c>
      <c r="G36" s="87" t="b">
        <v>0</v>
      </c>
    </row>
    <row r="37" spans="1:7" x14ac:dyDescent="0.25">
      <c r="A37" s="84" t="s">
        <v>1663</v>
      </c>
      <c r="B37" s="87">
        <v>9</v>
      </c>
      <c r="C37" s="111">
        <v>5.6315610431489803E-3</v>
      </c>
      <c r="D37" s="87" t="s">
        <v>1952</v>
      </c>
      <c r="E37" s="87" t="b">
        <v>0</v>
      </c>
      <c r="F37" s="87" t="b">
        <v>0</v>
      </c>
      <c r="G37" s="87" t="b">
        <v>0</v>
      </c>
    </row>
    <row r="38" spans="1:7" x14ac:dyDescent="0.25">
      <c r="A38" s="84" t="s">
        <v>1664</v>
      </c>
      <c r="B38" s="87">
        <v>8</v>
      </c>
      <c r="C38" s="111">
        <v>5.2272715294688545E-3</v>
      </c>
      <c r="D38" s="87" t="s">
        <v>1952</v>
      </c>
      <c r="E38" s="87" t="b">
        <v>0</v>
      </c>
      <c r="F38" s="87" t="b">
        <v>0</v>
      </c>
      <c r="G38" s="87" t="b">
        <v>0</v>
      </c>
    </row>
    <row r="39" spans="1:7" x14ac:dyDescent="0.25">
      <c r="A39" s="84" t="s">
        <v>1665</v>
      </c>
      <c r="B39" s="87">
        <v>8</v>
      </c>
      <c r="C39" s="111">
        <v>5.2272715294688545E-3</v>
      </c>
      <c r="D39" s="87" t="s">
        <v>1952</v>
      </c>
      <c r="E39" s="87" t="b">
        <v>0</v>
      </c>
      <c r="F39" s="87" t="b">
        <v>0</v>
      </c>
      <c r="G39" s="87" t="b">
        <v>0</v>
      </c>
    </row>
    <row r="40" spans="1:7" x14ac:dyDescent="0.25">
      <c r="A40" s="84" t="s">
        <v>1666</v>
      </c>
      <c r="B40" s="87">
        <v>8</v>
      </c>
      <c r="C40" s="111">
        <v>5.2272715294688545E-3</v>
      </c>
      <c r="D40" s="87" t="s">
        <v>1952</v>
      </c>
      <c r="E40" s="87" t="b">
        <v>1</v>
      </c>
      <c r="F40" s="87" t="b">
        <v>0</v>
      </c>
      <c r="G40" s="87" t="b">
        <v>0</v>
      </c>
    </row>
    <row r="41" spans="1:7" x14ac:dyDescent="0.25">
      <c r="A41" s="84" t="s">
        <v>1667</v>
      </c>
      <c r="B41" s="87">
        <v>8</v>
      </c>
      <c r="C41" s="111">
        <v>5.2272715294688545E-3</v>
      </c>
      <c r="D41" s="87" t="s">
        <v>1952</v>
      </c>
      <c r="E41" s="87" t="b">
        <v>0</v>
      </c>
      <c r="F41" s="87" t="b">
        <v>0</v>
      </c>
      <c r="G41" s="87" t="b">
        <v>0</v>
      </c>
    </row>
    <row r="42" spans="1:7" x14ac:dyDescent="0.25">
      <c r="A42" s="84" t="s">
        <v>261</v>
      </c>
      <c r="B42" s="87">
        <v>8</v>
      </c>
      <c r="C42" s="111">
        <v>5.4783189189826498E-3</v>
      </c>
      <c r="D42" s="87" t="s">
        <v>1952</v>
      </c>
      <c r="E42" s="87" t="b">
        <v>0</v>
      </c>
      <c r="F42" s="87" t="b">
        <v>0</v>
      </c>
      <c r="G42" s="87" t="b">
        <v>0</v>
      </c>
    </row>
    <row r="43" spans="1:7" x14ac:dyDescent="0.25">
      <c r="A43" s="84" t="s">
        <v>1668</v>
      </c>
      <c r="B43" s="87">
        <v>7</v>
      </c>
      <c r="C43" s="111">
        <v>4.7935290541098186E-3</v>
      </c>
      <c r="D43" s="87" t="s">
        <v>1952</v>
      </c>
      <c r="E43" s="87" t="b">
        <v>0</v>
      </c>
      <c r="F43" s="87" t="b">
        <v>0</v>
      </c>
      <c r="G43" s="87" t="b">
        <v>0</v>
      </c>
    </row>
    <row r="44" spans="1:7" x14ac:dyDescent="0.25">
      <c r="A44" s="84" t="s">
        <v>1669</v>
      </c>
      <c r="B44" s="87">
        <v>7</v>
      </c>
      <c r="C44" s="111">
        <v>4.7935290541098186E-3</v>
      </c>
      <c r="D44" s="87" t="s">
        <v>1952</v>
      </c>
      <c r="E44" s="87" t="b">
        <v>0</v>
      </c>
      <c r="F44" s="87" t="b">
        <v>0</v>
      </c>
      <c r="G44" s="87" t="b">
        <v>0</v>
      </c>
    </row>
    <row r="45" spans="1:7" x14ac:dyDescent="0.25">
      <c r="A45" s="84" t="s">
        <v>1670</v>
      </c>
      <c r="B45" s="87">
        <v>7</v>
      </c>
      <c r="C45" s="111">
        <v>4.7935290541098186E-3</v>
      </c>
      <c r="D45" s="87" t="s">
        <v>1952</v>
      </c>
      <c r="E45" s="87" t="b">
        <v>0</v>
      </c>
      <c r="F45" s="87" t="b">
        <v>0</v>
      </c>
      <c r="G45" s="87" t="b">
        <v>0</v>
      </c>
    </row>
    <row r="46" spans="1:7" x14ac:dyDescent="0.25">
      <c r="A46" s="84" t="s">
        <v>1671</v>
      </c>
      <c r="B46" s="87">
        <v>7</v>
      </c>
      <c r="C46" s="111">
        <v>4.7935290541098186E-3</v>
      </c>
      <c r="D46" s="87" t="s">
        <v>1952</v>
      </c>
      <c r="E46" s="87" t="b">
        <v>0</v>
      </c>
      <c r="F46" s="87" t="b">
        <v>0</v>
      </c>
      <c r="G46" s="87" t="b">
        <v>0</v>
      </c>
    </row>
    <row r="47" spans="1:7" x14ac:dyDescent="0.25">
      <c r="A47" s="84" t="s">
        <v>1672</v>
      </c>
      <c r="B47" s="87">
        <v>7</v>
      </c>
      <c r="C47" s="111">
        <v>4.7935290541098186E-3</v>
      </c>
      <c r="D47" s="87" t="s">
        <v>1952</v>
      </c>
      <c r="E47" s="87" t="b">
        <v>0</v>
      </c>
      <c r="F47" s="87" t="b">
        <v>0</v>
      </c>
      <c r="G47" s="87" t="b">
        <v>0</v>
      </c>
    </row>
    <row r="48" spans="1:7" x14ac:dyDescent="0.25">
      <c r="A48" s="84" t="s">
        <v>1673</v>
      </c>
      <c r="B48" s="87">
        <v>7</v>
      </c>
      <c r="C48" s="111">
        <v>4.7935290541098186E-3</v>
      </c>
      <c r="D48" s="87" t="s">
        <v>1952</v>
      </c>
      <c r="E48" s="87" t="b">
        <v>0</v>
      </c>
      <c r="F48" s="87" t="b">
        <v>0</v>
      </c>
      <c r="G48" s="87" t="b">
        <v>0</v>
      </c>
    </row>
    <row r="49" spans="1:7" x14ac:dyDescent="0.25">
      <c r="A49" s="84" t="s">
        <v>1674</v>
      </c>
      <c r="B49" s="87">
        <v>7</v>
      </c>
      <c r="C49" s="111">
        <v>4.7935290541098186E-3</v>
      </c>
      <c r="D49" s="87" t="s">
        <v>1952</v>
      </c>
      <c r="E49" s="87" t="b">
        <v>0</v>
      </c>
      <c r="F49" s="87" t="b">
        <v>0</v>
      </c>
      <c r="G49" s="87" t="b">
        <v>0</v>
      </c>
    </row>
    <row r="50" spans="1:7" x14ac:dyDescent="0.25">
      <c r="A50" s="84" t="s">
        <v>1675</v>
      </c>
      <c r="B50" s="87">
        <v>7</v>
      </c>
      <c r="C50" s="111">
        <v>4.7935290541098186E-3</v>
      </c>
      <c r="D50" s="87" t="s">
        <v>1952</v>
      </c>
      <c r="E50" s="87" t="b">
        <v>0</v>
      </c>
      <c r="F50" s="87" t="b">
        <v>0</v>
      </c>
      <c r="G50" s="87" t="b">
        <v>0</v>
      </c>
    </row>
    <row r="51" spans="1:7" x14ac:dyDescent="0.25">
      <c r="A51" s="84" t="s">
        <v>1676</v>
      </c>
      <c r="B51" s="87">
        <v>7</v>
      </c>
      <c r="C51" s="111">
        <v>4.7935290541098186E-3</v>
      </c>
      <c r="D51" s="87" t="s">
        <v>1952</v>
      </c>
      <c r="E51" s="87" t="b">
        <v>0</v>
      </c>
      <c r="F51" s="87" t="b">
        <v>0</v>
      </c>
      <c r="G51" s="87" t="b">
        <v>0</v>
      </c>
    </row>
    <row r="52" spans="1:7" x14ac:dyDescent="0.25">
      <c r="A52" s="84" t="s">
        <v>1677</v>
      </c>
      <c r="B52" s="87">
        <v>7</v>
      </c>
      <c r="C52" s="111">
        <v>4.7935290541098186E-3</v>
      </c>
      <c r="D52" s="87" t="s">
        <v>1952</v>
      </c>
      <c r="E52" s="87" t="b">
        <v>0</v>
      </c>
      <c r="F52" s="87" t="b">
        <v>0</v>
      </c>
      <c r="G52" s="87" t="b">
        <v>0</v>
      </c>
    </row>
    <row r="53" spans="1:7" x14ac:dyDescent="0.25">
      <c r="A53" s="84" t="s">
        <v>1678</v>
      </c>
      <c r="B53" s="87">
        <v>7</v>
      </c>
      <c r="C53" s="111">
        <v>4.7935290541098186E-3</v>
      </c>
      <c r="D53" s="87" t="s">
        <v>1952</v>
      </c>
      <c r="E53" s="87" t="b">
        <v>0</v>
      </c>
      <c r="F53" s="87" t="b">
        <v>0</v>
      </c>
      <c r="G53" s="87" t="b">
        <v>0</v>
      </c>
    </row>
    <row r="54" spans="1:7" x14ac:dyDescent="0.25">
      <c r="A54" s="84" t="s">
        <v>1679</v>
      </c>
      <c r="B54" s="87">
        <v>6</v>
      </c>
      <c r="C54" s="111">
        <v>4.3260988958298881E-3</v>
      </c>
      <c r="D54" s="87" t="s">
        <v>1952</v>
      </c>
      <c r="E54" s="87" t="b">
        <v>0</v>
      </c>
      <c r="F54" s="87" t="b">
        <v>0</v>
      </c>
      <c r="G54" s="87" t="b">
        <v>0</v>
      </c>
    </row>
    <row r="55" spans="1:7" x14ac:dyDescent="0.25">
      <c r="A55" s="84" t="s">
        <v>280</v>
      </c>
      <c r="B55" s="87">
        <v>6</v>
      </c>
      <c r="C55" s="111">
        <v>4.3260988958298881E-3</v>
      </c>
      <c r="D55" s="87" t="s">
        <v>1952</v>
      </c>
      <c r="E55" s="87" t="b">
        <v>0</v>
      </c>
      <c r="F55" s="87" t="b">
        <v>0</v>
      </c>
      <c r="G55" s="87" t="b">
        <v>0</v>
      </c>
    </row>
    <row r="56" spans="1:7" x14ac:dyDescent="0.25">
      <c r="A56" s="84" t="s">
        <v>1680</v>
      </c>
      <c r="B56" s="87">
        <v>6</v>
      </c>
      <c r="C56" s="111">
        <v>4.3260988958298881E-3</v>
      </c>
      <c r="D56" s="87" t="s">
        <v>1952</v>
      </c>
      <c r="E56" s="87" t="b">
        <v>0</v>
      </c>
      <c r="F56" s="87" t="b">
        <v>0</v>
      </c>
      <c r="G56" s="87" t="b">
        <v>0</v>
      </c>
    </row>
    <row r="57" spans="1:7" x14ac:dyDescent="0.25">
      <c r="A57" s="84" t="s">
        <v>1681</v>
      </c>
      <c r="B57" s="87">
        <v>6</v>
      </c>
      <c r="C57" s="111">
        <v>4.3260988958298881E-3</v>
      </c>
      <c r="D57" s="87" t="s">
        <v>1952</v>
      </c>
      <c r="E57" s="87" t="b">
        <v>0</v>
      </c>
      <c r="F57" s="87" t="b">
        <v>0</v>
      </c>
      <c r="G57" s="87" t="b">
        <v>0</v>
      </c>
    </row>
    <row r="58" spans="1:7" x14ac:dyDescent="0.25">
      <c r="A58" s="84" t="s">
        <v>1682</v>
      </c>
      <c r="B58" s="87">
        <v>6</v>
      </c>
      <c r="C58" s="111">
        <v>4.3260988958298881E-3</v>
      </c>
      <c r="D58" s="87" t="s">
        <v>1952</v>
      </c>
      <c r="E58" s="87" t="b">
        <v>1</v>
      </c>
      <c r="F58" s="87" t="b">
        <v>0</v>
      </c>
      <c r="G58" s="87" t="b">
        <v>0</v>
      </c>
    </row>
    <row r="59" spans="1:7" x14ac:dyDescent="0.25">
      <c r="A59" s="84" t="s">
        <v>312</v>
      </c>
      <c r="B59" s="87">
        <v>6</v>
      </c>
      <c r="C59" s="111">
        <v>4.3260988958298881E-3</v>
      </c>
      <c r="D59" s="87" t="s">
        <v>1952</v>
      </c>
      <c r="E59" s="87" t="b">
        <v>0</v>
      </c>
      <c r="F59" s="87" t="b">
        <v>0</v>
      </c>
      <c r="G59" s="87" t="b">
        <v>0</v>
      </c>
    </row>
    <row r="60" spans="1:7" x14ac:dyDescent="0.25">
      <c r="A60" s="84" t="s">
        <v>1683</v>
      </c>
      <c r="B60" s="87">
        <v>6</v>
      </c>
      <c r="C60" s="111">
        <v>4.3260988958298881E-3</v>
      </c>
      <c r="D60" s="87" t="s">
        <v>1952</v>
      </c>
      <c r="E60" s="87" t="b">
        <v>0</v>
      </c>
      <c r="F60" s="87" t="b">
        <v>0</v>
      </c>
      <c r="G60" s="87" t="b">
        <v>0</v>
      </c>
    </row>
    <row r="61" spans="1:7" x14ac:dyDescent="0.25">
      <c r="A61" s="84" t="s">
        <v>1684</v>
      </c>
      <c r="B61" s="87">
        <v>6</v>
      </c>
      <c r="C61" s="111">
        <v>4.3260988958298881E-3</v>
      </c>
      <c r="D61" s="87" t="s">
        <v>1952</v>
      </c>
      <c r="E61" s="87" t="b">
        <v>1</v>
      </c>
      <c r="F61" s="87" t="b">
        <v>0</v>
      </c>
      <c r="G61" s="87" t="b">
        <v>0</v>
      </c>
    </row>
    <row r="62" spans="1:7" x14ac:dyDescent="0.25">
      <c r="A62" s="84" t="s">
        <v>1685</v>
      </c>
      <c r="B62" s="87">
        <v>6</v>
      </c>
      <c r="C62" s="111">
        <v>4.3260988958298881E-3</v>
      </c>
      <c r="D62" s="87" t="s">
        <v>1952</v>
      </c>
      <c r="E62" s="87" t="b">
        <v>0</v>
      </c>
      <c r="F62" s="87" t="b">
        <v>0</v>
      </c>
      <c r="G62" s="87" t="b">
        <v>0</v>
      </c>
    </row>
    <row r="63" spans="1:7" x14ac:dyDescent="0.25">
      <c r="A63" s="84" t="s">
        <v>1686</v>
      </c>
      <c r="B63" s="87">
        <v>6</v>
      </c>
      <c r="C63" s="111">
        <v>4.897823762893788E-3</v>
      </c>
      <c r="D63" s="87" t="s">
        <v>1952</v>
      </c>
      <c r="E63" s="87" t="b">
        <v>0</v>
      </c>
      <c r="F63" s="87" t="b">
        <v>0</v>
      </c>
      <c r="G63" s="87" t="b">
        <v>0</v>
      </c>
    </row>
    <row r="64" spans="1:7" x14ac:dyDescent="0.25">
      <c r="A64" s="84" t="s">
        <v>1687</v>
      </c>
      <c r="B64" s="87">
        <v>6</v>
      </c>
      <c r="C64" s="111">
        <v>4.3260988958298881E-3</v>
      </c>
      <c r="D64" s="87" t="s">
        <v>1952</v>
      </c>
      <c r="E64" s="87" t="b">
        <v>0</v>
      </c>
      <c r="F64" s="87" t="b">
        <v>0</v>
      </c>
      <c r="G64" s="87" t="b">
        <v>0</v>
      </c>
    </row>
    <row r="65" spans="1:7" x14ac:dyDescent="0.25">
      <c r="A65" s="84" t="s">
        <v>1688</v>
      </c>
      <c r="B65" s="87">
        <v>6</v>
      </c>
      <c r="C65" s="111">
        <v>4.3260988958298881E-3</v>
      </c>
      <c r="D65" s="87" t="s">
        <v>1952</v>
      </c>
      <c r="E65" s="87" t="b">
        <v>0</v>
      </c>
      <c r="F65" s="87" t="b">
        <v>0</v>
      </c>
      <c r="G65" s="87" t="b">
        <v>0</v>
      </c>
    </row>
    <row r="66" spans="1:7" x14ac:dyDescent="0.25">
      <c r="A66" s="84" t="s">
        <v>494</v>
      </c>
      <c r="B66" s="87">
        <v>6</v>
      </c>
      <c r="C66" s="111">
        <v>4.5831808635169819E-3</v>
      </c>
      <c r="D66" s="87" t="s">
        <v>1952</v>
      </c>
      <c r="E66" s="87" t="b">
        <v>0</v>
      </c>
      <c r="F66" s="87" t="b">
        <v>0</v>
      </c>
      <c r="G66" s="87" t="b">
        <v>0</v>
      </c>
    </row>
    <row r="67" spans="1:7" x14ac:dyDescent="0.25">
      <c r="A67" s="84" t="s">
        <v>1689</v>
      </c>
      <c r="B67" s="87">
        <v>6</v>
      </c>
      <c r="C67" s="111">
        <v>4.3260988958298881E-3</v>
      </c>
      <c r="D67" s="87" t="s">
        <v>1952</v>
      </c>
      <c r="E67" s="87" t="b">
        <v>0</v>
      </c>
      <c r="F67" s="87" t="b">
        <v>0</v>
      </c>
      <c r="G67" s="87" t="b">
        <v>0</v>
      </c>
    </row>
    <row r="68" spans="1:7" x14ac:dyDescent="0.25">
      <c r="A68" s="84" t="s">
        <v>1690</v>
      </c>
      <c r="B68" s="87">
        <v>6</v>
      </c>
      <c r="C68" s="111">
        <v>4.3260988958298881E-3</v>
      </c>
      <c r="D68" s="87" t="s">
        <v>1952</v>
      </c>
      <c r="E68" s="87" t="b">
        <v>1</v>
      </c>
      <c r="F68" s="87" t="b">
        <v>0</v>
      </c>
      <c r="G68" s="87" t="b">
        <v>0</v>
      </c>
    </row>
    <row r="69" spans="1:7" x14ac:dyDescent="0.25">
      <c r="A69" s="84" t="s">
        <v>1691</v>
      </c>
      <c r="B69" s="87">
        <v>6</v>
      </c>
      <c r="C69" s="111">
        <v>4.3260988958298881E-3</v>
      </c>
      <c r="D69" s="87" t="s">
        <v>1952</v>
      </c>
      <c r="E69" s="87" t="b">
        <v>0</v>
      </c>
      <c r="F69" s="87" t="b">
        <v>0</v>
      </c>
      <c r="G69" s="87" t="b">
        <v>0</v>
      </c>
    </row>
    <row r="70" spans="1:7" x14ac:dyDescent="0.25">
      <c r="A70" s="84" t="s">
        <v>1692</v>
      </c>
      <c r="B70" s="87">
        <v>6</v>
      </c>
      <c r="C70" s="111">
        <v>4.3260988958298881E-3</v>
      </c>
      <c r="D70" s="87" t="s">
        <v>1952</v>
      </c>
      <c r="E70" s="87" t="b">
        <v>0</v>
      </c>
      <c r="F70" s="87" t="b">
        <v>0</v>
      </c>
      <c r="G70" s="87" t="b">
        <v>0</v>
      </c>
    </row>
    <row r="71" spans="1:7" x14ac:dyDescent="0.25">
      <c r="A71" s="84" t="s">
        <v>1693</v>
      </c>
      <c r="B71" s="87">
        <v>6</v>
      </c>
      <c r="C71" s="111">
        <v>4.3260988958298881E-3</v>
      </c>
      <c r="D71" s="87" t="s">
        <v>1952</v>
      </c>
      <c r="E71" s="87" t="b">
        <v>0</v>
      </c>
      <c r="F71" s="87" t="b">
        <v>0</v>
      </c>
      <c r="G71" s="87" t="b">
        <v>0</v>
      </c>
    </row>
    <row r="72" spans="1:7" x14ac:dyDescent="0.25">
      <c r="A72" s="84" t="s">
        <v>1694</v>
      </c>
      <c r="B72" s="87">
        <v>6</v>
      </c>
      <c r="C72" s="111">
        <v>4.3260988958298881E-3</v>
      </c>
      <c r="D72" s="87" t="s">
        <v>1952</v>
      </c>
      <c r="E72" s="87" t="b">
        <v>0</v>
      </c>
      <c r="F72" s="87" t="b">
        <v>0</v>
      </c>
      <c r="G72" s="87" t="b">
        <v>0</v>
      </c>
    </row>
    <row r="73" spans="1:7" x14ac:dyDescent="0.25">
      <c r="A73" s="84" t="s">
        <v>1695</v>
      </c>
      <c r="B73" s="87">
        <v>6</v>
      </c>
      <c r="C73" s="111">
        <v>4.897823762893788E-3</v>
      </c>
      <c r="D73" s="87" t="s">
        <v>1952</v>
      </c>
      <c r="E73" s="87" t="b">
        <v>1</v>
      </c>
      <c r="F73" s="87" t="b">
        <v>0</v>
      </c>
      <c r="G73" s="87" t="b">
        <v>0</v>
      </c>
    </row>
    <row r="74" spans="1:7" x14ac:dyDescent="0.25">
      <c r="A74" s="84" t="s">
        <v>1696</v>
      </c>
      <c r="B74" s="87">
        <v>6</v>
      </c>
      <c r="C74" s="111">
        <v>4.3260988958298881E-3</v>
      </c>
      <c r="D74" s="87" t="s">
        <v>1952</v>
      </c>
      <c r="E74" s="87" t="b">
        <v>0</v>
      </c>
      <c r="F74" s="87" t="b">
        <v>0</v>
      </c>
      <c r="G74" s="87" t="b">
        <v>0</v>
      </c>
    </row>
    <row r="75" spans="1:7" x14ac:dyDescent="0.25">
      <c r="A75" s="84" t="s">
        <v>1697</v>
      </c>
      <c r="B75" s="87">
        <v>6</v>
      </c>
      <c r="C75" s="111">
        <v>4.3260988958298881E-3</v>
      </c>
      <c r="D75" s="87" t="s">
        <v>1952</v>
      </c>
      <c r="E75" s="87" t="b">
        <v>0</v>
      </c>
      <c r="F75" s="87" t="b">
        <v>0</v>
      </c>
      <c r="G75" s="87" t="b">
        <v>0</v>
      </c>
    </row>
    <row r="76" spans="1:7" x14ac:dyDescent="0.25">
      <c r="A76" s="84" t="s">
        <v>1698</v>
      </c>
      <c r="B76" s="87">
        <v>5</v>
      </c>
      <c r="C76" s="111">
        <v>3.8193173862641509E-3</v>
      </c>
      <c r="D76" s="87" t="s">
        <v>1952</v>
      </c>
      <c r="E76" s="87" t="b">
        <v>0</v>
      </c>
      <c r="F76" s="87" t="b">
        <v>0</v>
      </c>
      <c r="G76" s="87" t="b">
        <v>0</v>
      </c>
    </row>
    <row r="77" spans="1:7" x14ac:dyDescent="0.25">
      <c r="A77" s="84" t="s">
        <v>243</v>
      </c>
      <c r="B77" s="87">
        <v>5</v>
      </c>
      <c r="C77" s="111">
        <v>4.0815198024114893E-3</v>
      </c>
      <c r="D77" s="87" t="s">
        <v>1952</v>
      </c>
      <c r="E77" s="87" t="b">
        <v>0</v>
      </c>
      <c r="F77" s="87" t="b">
        <v>0</v>
      </c>
      <c r="G77" s="87" t="b">
        <v>0</v>
      </c>
    </row>
    <row r="78" spans="1:7" x14ac:dyDescent="0.25">
      <c r="A78" s="84" t="s">
        <v>1699</v>
      </c>
      <c r="B78" s="87">
        <v>5</v>
      </c>
      <c r="C78" s="111">
        <v>4.0815198024114893E-3</v>
      </c>
      <c r="D78" s="87" t="s">
        <v>1952</v>
      </c>
      <c r="E78" s="87" t="b">
        <v>0</v>
      </c>
      <c r="F78" s="87" t="b">
        <v>0</v>
      </c>
      <c r="G78" s="87" t="b">
        <v>0</v>
      </c>
    </row>
    <row r="79" spans="1:7" x14ac:dyDescent="0.25">
      <c r="A79" s="84" t="s">
        <v>1700</v>
      </c>
      <c r="B79" s="87">
        <v>5</v>
      </c>
      <c r="C79" s="111">
        <v>3.8193173862641509E-3</v>
      </c>
      <c r="D79" s="87" t="s">
        <v>1952</v>
      </c>
      <c r="E79" s="87" t="b">
        <v>0</v>
      </c>
      <c r="F79" s="87" t="b">
        <v>0</v>
      </c>
      <c r="G79" s="87" t="b">
        <v>0</v>
      </c>
    </row>
    <row r="80" spans="1:7" x14ac:dyDescent="0.25">
      <c r="A80" s="84" t="s">
        <v>1701</v>
      </c>
      <c r="B80" s="87">
        <v>5</v>
      </c>
      <c r="C80" s="111">
        <v>3.8193173862641509E-3</v>
      </c>
      <c r="D80" s="87" t="s">
        <v>1952</v>
      </c>
      <c r="E80" s="87" t="b">
        <v>0</v>
      </c>
      <c r="F80" s="87" t="b">
        <v>0</v>
      </c>
      <c r="G80" s="87" t="b">
        <v>0</v>
      </c>
    </row>
    <row r="81" spans="1:7" x14ac:dyDescent="0.25">
      <c r="A81" s="84" t="s">
        <v>1702</v>
      </c>
      <c r="B81" s="87">
        <v>5</v>
      </c>
      <c r="C81" s="111">
        <v>3.8193173862641509E-3</v>
      </c>
      <c r="D81" s="87" t="s">
        <v>1952</v>
      </c>
      <c r="E81" s="87" t="b">
        <v>0</v>
      </c>
      <c r="F81" s="87" t="b">
        <v>0</v>
      </c>
      <c r="G81" s="87" t="b">
        <v>0</v>
      </c>
    </row>
    <row r="82" spans="1:7" x14ac:dyDescent="0.25">
      <c r="A82" s="84" t="s">
        <v>1703</v>
      </c>
      <c r="B82" s="87">
        <v>5</v>
      </c>
      <c r="C82" s="111">
        <v>3.8193173862641509E-3</v>
      </c>
      <c r="D82" s="87" t="s">
        <v>1952</v>
      </c>
      <c r="E82" s="87" t="b">
        <v>0</v>
      </c>
      <c r="F82" s="87" t="b">
        <v>0</v>
      </c>
      <c r="G82" s="87" t="b">
        <v>0</v>
      </c>
    </row>
    <row r="83" spans="1:7" x14ac:dyDescent="0.25">
      <c r="A83" s="84" t="s">
        <v>1704</v>
      </c>
      <c r="B83" s="87">
        <v>5</v>
      </c>
      <c r="C83" s="111">
        <v>3.8193173862641509E-3</v>
      </c>
      <c r="D83" s="87" t="s">
        <v>1952</v>
      </c>
      <c r="E83" s="87" t="b">
        <v>0</v>
      </c>
      <c r="F83" s="87" t="b">
        <v>0</v>
      </c>
      <c r="G83" s="87" t="b">
        <v>0</v>
      </c>
    </row>
    <row r="84" spans="1:7" x14ac:dyDescent="0.25">
      <c r="A84" s="84" t="s">
        <v>1705</v>
      </c>
      <c r="B84" s="87">
        <v>5</v>
      </c>
      <c r="C84" s="111">
        <v>3.8193173862641509E-3</v>
      </c>
      <c r="D84" s="87" t="s">
        <v>1952</v>
      </c>
      <c r="E84" s="87" t="b">
        <v>0</v>
      </c>
      <c r="F84" s="87" t="b">
        <v>0</v>
      </c>
      <c r="G84" s="87" t="b">
        <v>0</v>
      </c>
    </row>
    <row r="85" spans="1:7" x14ac:dyDescent="0.25">
      <c r="A85" s="84" t="s">
        <v>1706</v>
      </c>
      <c r="B85" s="87">
        <v>5</v>
      </c>
      <c r="C85" s="111">
        <v>3.8193173862641509E-3</v>
      </c>
      <c r="D85" s="87" t="s">
        <v>1952</v>
      </c>
      <c r="E85" s="87" t="b">
        <v>0</v>
      </c>
      <c r="F85" s="87" t="b">
        <v>0</v>
      </c>
      <c r="G85" s="87" t="b">
        <v>0</v>
      </c>
    </row>
    <row r="86" spans="1:7" x14ac:dyDescent="0.25">
      <c r="A86" s="84" t="s">
        <v>1707</v>
      </c>
      <c r="B86" s="87">
        <v>5</v>
      </c>
      <c r="C86" s="111">
        <v>3.8193173862641509E-3</v>
      </c>
      <c r="D86" s="87" t="s">
        <v>1952</v>
      </c>
      <c r="E86" s="87" t="b">
        <v>0</v>
      </c>
      <c r="F86" s="87" t="b">
        <v>0</v>
      </c>
      <c r="G86" s="87" t="b">
        <v>0</v>
      </c>
    </row>
    <row r="87" spans="1:7" x14ac:dyDescent="0.25">
      <c r="A87" s="84" t="s">
        <v>1708</v>
      </c>
      <c r="B87" s="87">
        <v>5</v>
      </c>
      <c r="C87" s="111">
        <v>3.8193173862641509E-3</v>
      </c>
      <c r="D87" s="87" t="s">
        <v>1952</v>
      </c>
      <c r="E87" s="87" t="b">
        <v>0</v>
      </c>
      <c r="F87" s="87" t="b">
        <v>0</v>
      </c>
      <c r="G87" s="87" t="b">
        <v>0</v>
      </c>
    </row>
    <row r="88" spans="1:7" x14ac:dyDescent="0.25">
      <c r="A88" s="84" t="s">
        <v>1709</v>
      </c>
      <c r="B88" s="87">
        <v>5</v>
      </c>
      <c r="C88" s="111">
        <v>3.8193173862641509E-3</v>
      </c>
      <c r="D88" s="87" t="s">
        <v>1952</v>
      </c>
      <c r="E88" s="87" t="b">
        <v>0</v>
      </c>
      <c r="F88" s="87" t="b">
        <v>0</v>
      </c>
      <c r="G88" s="87" t="b">
        <v>0</v>
      </c>
    </row>
    <row r="89" spans="1:7" x14ac:dyDescent="0.25">
      <c r="A89" s="84" t="s">
        <v>1710</v>
      </c>
      <c r="B89" s="87">
        <v>5</v>
      </c>
      <c r="C89" s="111">
        <v>3.8193173862641509E-3</v>
      </c>
      <c r="D89" s="87" t="s">
        <v>1952</v>
      </c>
      <c r="E89" s="87" t="b">
        <v>0</v>
      </c>
      <c r="F89" s="87" t="b">
        <v>0</v>
      </c>
      <c r="G89" s="87" t="b">
        <v>0</v>
      </c>
    </row>
    <row r="90" spans="1:7" x14ac:dyDescent="0.25">
      <c r="A90" s="84" t="s">
        <v>1711</v>
      </c>
      <c r="B90" s="87">
        <v>5</v>
      </c>
      <c r="C90" s="111">
        <v>3.8193173862641509E-3</v>
      </c>
      <c r="D90" s="87" t="s">
        <v>1952</v>
      </c>
      <c r="E90" s="87" t="b">
        <v>0</v>
      </c>
      <c r="F90" s="87" t="b">
        <v>0</v>
      </c>
      <c r="G90" s="87" t="b">
        <v>0</v>
      </c>
    </row>
    <row r="91" spans="1:7" x14ac:dyDescent="0.25">
      <c r="A91" s="84" t="s">
        <v>1712</v>
      </c>
      <c r="B91" s="87">
        <v>5</v>
      </c>
      <c r="C91" s="111">
        <v>3.8193173862641509E-3</v>
      </c>
      <c r="D91" s="87" t="s">
        <v>1952</v>
      </c>
      <c r="E91" s="87" t="b">
        <v>0</v>
      </c>
      <c r="F91" s="87" t="b">
        <v>1</v>
      </c>
      <c r="G91" s="87" t="b">
        <v>0</v>
      </c>
    </row>
    <row r="92" spans="1:7" x14ac:dyDescent="0.25">
      <c r="A92" s="84" t="s">
        <v>289</v>
      </c>
      <c r="B92" s="87">
        <v>5</v>
      </c>
      <c r="C92" s="111">
        <v>3.8193173862641509E-3</v>
      </c>
      <c r="D92" s="87" t="s">
        <v>1952</v>
      </c>
      <c r="E92" s="87" t="b">
        <v>0</v>
      </c>
      <c r="F92" s="87" t="b">
        <v>0</v>
      </c>
      <c r="G92" s="87" t="b">
        <v>0</v>
      </c>
    </row>
    <row r="93" spans="1:7" x14ac:dyDescent="0.25">
      <c r="A93" s="84" t="s">
        <v>1713</v>
      </c>
      <c r="B93" s="87">
        <v>5</v>
      </c>
      <c r="C93" s="111">
        <v>3.8193173862641509E-3</v>
      </c>
      <c r="D93" s="87" t="s">
        <v>1952</v>
      </c>
      <c r="E93" s="87" t="b">
        <v>0</v>
      </c>
      <c r="F93" s="87" t="b">
        <v>0</v>
      </c>
      <c r="G93" s="87" t="b">
        <v>0</v>
      </c>
    </row>
    <row r="94" spans="1:7" x14ac:dyDescent="0.25">
      <c r="A94" s="84" t="s">
        <v>1714</v>
      </c>
      <c r="B94" s="87">
        <v>5</v>
      </c>
      <c r="C94" s="111">
        <v>3.8193173862641509E-3</v>
      </c>
      <c r="D94" s="87" t="s">
        <v>1952</v>
      </c>
      <c r="E94" s="87" t="b">
        <v>0</v>
      </c>
      <c r="F94" s="87" t="b">
        <v>0</v>
      </c>
      <c r="G94" s="87" t="b">
        <v>0</v>
      </c>
    </row>
    <row r="95" spans="1:7" x14ac:dyDescent="0.25">
      <c r="A95" s="84" t="s">
        <v>1715</v>
      </c>
      <c r="B95" s="87">
        <v>5</v>
      </c>
      <c r="C95" s="111">
        <v>3.8193173862641509E-3</v>
      </c>
      <c r="D95" s="87" t="s">
        <v>1952</v>
      </c>
      <c r="E95" s="87" t="b">
        <v>0</v>
      </c>
      <c r="F95" s="87" t="b">
        <v>0</v>
      </c>
      <c r="G95" s="87" t="b">
        <v>0</v>
      </c>
    </row>
    <row r="96" spans="1:7" x14ac:dyDescent="0.25">
      <c r="A96" s="84" t="s">
        <v>1716</v>
      </c>
      <c r="B96" s="87">
        <v>5</v>
      </c>
      <c r="C96" s="111">
        <v>3.8193173862641509E-3</v>
      </c>
      <c r="D96" s="87" t="s">
        <v>1952</v>
      </c>
      <c r="E96" s="87" t="b">
        <v>0</v>
      </c>
      <c r="F96" s="87" t="b">
        <v>0</v>
      </c>
      <c r="G96" s="87" t="b">
        <v>0</v>
      </c>
    </row>
    <row r="97" spans="1:7" x14ac:dyDescent="0.25">
      <c r="A97" s="84" t="s">
        <v>1717</v>
      </c>
      <c r="B97" s="87">
        <v>5</v>
      </c>
      <c r="C97" s="111">
        <v>3.8193173862641509E-3</v>
      </c>
      <c r="D97" s="87" t="s">
        <v>1952</v>
      </c>
      <c r="E97" s="87" t="b">
        <v>0</v>
      </c>
      <c r="F97" s="87" t="b">
        <v>0</v>
      </c>
      <c r="G97" s="87" t="b">
        <v>0</v>
      </c>
    </row>
    <row r="98" spans="1:7" x14ac:dyDescent="0.25">
      <c r="A98" s="84" t="s">
        <v>1718</v>
      </c>
      <c r="B98" s="87">
        <v>5</v>
      </c>
      <c r="C98" s="111">
        <v>3.8193173862641509E-3</v>
      </c>
      <c r="D98" s="87" t="s">
        <v>1952</v>
      </c>
      <c r="E98" s="87" t="b">
        <v>0</v>
      </c>
      <c r="F98" s="87" t="b">
        <v>0</v>
      </c>
      <c r="G98" s="87" t="b">
        <v>0</v>
      </c>
    </row>
    <row r="99" spans="1:7" x14ac:dyDescent="0.25">
      <c r="A99" s="84" t="s">
        <v>1719</v>
      </c>
      <c r="B99" s="87">
        <v>5</v>
      </c>
      <c r="C99" s="111">
        <v>3.8193173862641509E-3</v>
      </c>
      <c r="D99" s="87" t="s">
        <v>1952</v>
      </c>
      <c r="E99" s="87" t="b">
        <v>0</v>
      </c>
      <c r="F99" s="87" t="b">
        <v>0</v>
      </c>
      <c r="G99" s="87" t="b">
        <v>0</v>
      </c>
    </row>
    <row r="100" spans="1:7" x14ac:dyDescent="0.25">
      <c r="A100" s="84" t="s">
        <v>1720</v>
      </c>
      <c r="B100" s="87">
        <v>5</v>
      </c>
      <c r="C100" s="111">
        <v>3.8193173862641509E-3</v>
      </c>
      <c r="D100" s="87" t="s">
        <v>1952</v>
      </c>
      <c r="E100" s="87" t="b">
        <v>0</v>
      </c>
      <c r="F100" s="87" t="b">
        <v>0</v>
      </c>
      <c r="G100" s="87" t="b">
        <v>0</v>
      </c>
    </row>
    <row r="101" spans="1:7" x14ac:dyDescent="0.25">
      <c r="A101" s="84" t="s">
        <v>1721</v>
      </c>
      <c r="B101" s="87">
        <v>5</v>
      </c>
      <c r="C101" s="111">
        <v>3.8193173862641509E-3</v>
      </c>
      <c r="D101" s="87" t="s">
        <v>1952</v>
      </c>
      <c r="E101" s="87" t="b">
        <v>1</v>
      </c>
      <c r="F101" s="87" t="b">
        <v>0</v>
      </c>
      <c r="G101" s="87" t="b">
        <v>0</v>
      </c>
    </row>
    <row r="102" spans="1:7" x14ac:dyDescent="0.25">
      <c r="A102" s="84" t="s">
        <v>1722</v>
      </c>
      <c r="B102" s="87">
        <v>5</v>
      </c>
      <c r="C102" s="111">
        <v>3.8193173862641509E-3</v>
      </c>
      <c r="D102" s="87" t="s">
        <v>1952</v>
      </c>
      <c r="E102" s="87" t="b">
        <v>0</v>
      </c>
      <c r="F102" s="87" t="b">
        <v>0</v>
      </c>
      <c r="G102" s="87" t="b">
        <v>0</v>
      </c>
    </row>
    <row r="103" spans="1:7" x14ac:dyDescent="0.25">
      <c r="A103" s="84" t="s">
        <v>1723</v>
      </c>
      <c r="B103" s="87">
        <v>5</v>
      </c>
      <c r="C103" s="111">
        <v>3.8193173862641509E-3</v>
      </c>
      <c r="D103" s="87" t="s">
        <v>1952</v>
      </c>
      <c r="E103" s="87" t="b">
        <v>0</v>
      </c>
      <c r="F103" s="87" t="b">
        <v>0</v>
      </c>
      <c r="G103" s="87" t="b">
        <v>0</v>
      </c>
    </row>
    <row r="104" spans="1:7" x14ac:dyDescent="0.25">
      <c r="A104" s="84" t="s">
        <v>1724</v>
      </c>
      <c r="B104" s="87">
        <v>5</v>
      </c>
      <c r="C104" s="111">
        <v>3.8193173862641509E-3</v>
      </c>
      <c r="D104" s="87" t="s">
        <v>1952</v>
      </c>
      <c r="E104" s="87" t="b">
        <v>0</v>
      </c>
      <c r="F104" s="87" t="b">
        <v>0</v>
      </c>
      <c r="G104" s="87" t="b">
        <v>0</v>
      </c>
    </row>
    <row r="105" spans="1:7" x14ac:dyDescent="0.25">
      <c r="A105" s="84" t="s">
        <v>1725</v>
      </c>
      <c r="B105" s="87">
        <v>5</v>
      </c>
      <c r="C105" s="111">
        <v>3.8193173862641509E-3</v>
      </c>
      <c r="D105" s="87" t="s">
        <v>1952</v>
      </c>
      <c r="E105" s="87" t="b">
        <v>0</v>
      </c>
      <c r="F105" s="87" t="b">
        <v>0</v>
      </c>
      <c r="G105" s="87" t="b">
        <v>0</v>
      </c>
    </row>
    <row r="106" spans="1:7" x14ac:dyDescent="0.25">
      <c r="A106" s="84" t="s">
        <v>1726</v>
      </c>
      <c r="B106" s="87">
        <v>5</v>
      </c>
      <c r="C106" s="111">
        <v>3.8193173862641509E-3</v>
      </c>
      <c r="D106" s="87" t="s">
        <v>1952</v>
      </c>
      <c r="E106" s="87" t="b">
        <v>0</v>
      </c>
      <c r="F106" s="87" t="b">
        <v>0</v>
      </c>
      <c r="G106" s="87" t="b">
        <v>0</v>
      </c>
    </row>
    <row r="107" spans="1:7" x14ac:dyDescent="0.25">
      <c r="A107" s="84" t="s">
        <v>1727</v>
      </c>
      <c r="B107" s="87">
        <v>4</v>
      </c>
      <c r="C107" s="111">
        <v>3.2652158419291914E-3</v>
      </c>
      <c r="D107" s="87" t="s">
        <v>1952</v>
      </c>
      <c r="E107" s="87" t="b">
        <v>0</v>
      </c>
      <c r="F107" s="87" t="b">
        <v>0</v>
      </c>
      <c r="G107" s="87" t="b">
        <v>0</v>
      </c>
    </row>
    <row r="108" spans="1:7" x14ac:dyDescent="0.25">
      <c r="A108" s="84" t="s">
        <v>1728</v>
      </c>
      <c r="B108" s="87">
        <v>4</v>
      </c>
      <c r="C108" s="111">
        <v>3.2652158419291914E-3</v>
      </c>
      <c r="D108" s="87" t="s">
        <v>1952</v>
      </c>
      <c r="E108" s="87" t="b">
        <v>0</v>
      </c>
      <c r="F108" s="87" t="b">
        <v>0</v>
      </c>
      <c r="G108" s="87" t="b">
        <v>0</v>
      </c>
    </row>
    <row r="109" spans="1:7" x14ac:dyDescent="0.25">
      <c r="A109" s="84" t="s">
        <v>304</v>
      </c>
      <c r="B109" s="87">
        <v>4</v>
      </c>
      <c r="C109" s="111">
        <v>3.2652158419291914E-3</v>
      </c>
      <c r="D109" s="87" t="s">
        <v>1952</v>
      </c>
      <c r="E109" s="87" t="b">
        <v>0</v>
      </c>
      <c r="F109" s="87" t="b">
        <v>0</v>
      </c>
      <c r="G109" s="87" t="b">
        <v>0</v>
      </c>
    </row>
    <row r="110" spans="1:7" x14ac:dyDescent="0.25">
      <c r="A110" s="84" t="s">
        <v>1729</v>
      </c>
      <c r="B110" s="87">
        <v>4</v>
      </c>
      <c r="C110" s="111">
        <v>3.2652158419291914E-3</v>
      </c>
      <c r="D110" s="87" t="s">
        <v>1952</v>
      </c>
      <c r="E110" s="87" t="b">
        <v>0</v>
      </c>
      <c r="F110" s="87" t="b">
        <v>0</v>
      </c>
      <c r="G110" s="87" t="b">
        <v>0</v>
      </c>
    </row>
    <row r="111" spans="1:7" x14ac:dyDescent="0.25">
      <c r="A111" s="84" t="s">
        <v>1730</v>
      </c>
      <c r="B111" s="87">
        <v>4</v>
      </c>
      <c r="C111" s="111">
        <v>3.2652158419291914E-3</v>
      </c>
      <c r="D111" s="87" t="s">
        <v>1952</v>
      </c>
      <c r="E111" s="87" t="b">
        <v>1</v>
      </c>
      <c r="F111" s="87" t="b">
        <v>0</v>
      </c>
      <c r="G111" s="87" t="b">
        <v>0</v>
      </c>
    </row>
    <row r="112" spans="1:7" x14ac:dyDescent="0.25">
      <c r="A112" s="84" t="s">
        <v>1731</v>
      </c>
      <c r="B112" s="87">
        <v>4</v>
      </c>
      <c r="C112" s="111">
        <v>3.2652158419291914E-3</v>
      </c>
      <c r="D112" s="87" t="s">
        <v>1952</v>
      </c>
      <c r="E112" s="87" t="b">
        <v>0</v>
      </c>
      <c r="F112" s="87" t="b">
        <v>0</v>
      </c>
      <c r="G112" s="87" t="b">
        <v>0</v>
      </c>
    </row>
    <row r="113" spans="1:7" x14ac:dyDescent="0.25">
      <c r="A113" s="84" t="s">
        <v>1732</v>
      </c>
      <c r="B113" s="87">
        <v>4</v>
      </c>
      <c r="C113" s="111">
        <v>3.2652158419291914E-3</v>
      </c>
      <c r="D113" s="87" t="s">
        <v>1952</v>
      </c>
      <c r="E113" s="87" t="b">
        <v>0</v>
      </c>
      <c r="F113" s="87" t="b">
        <v>0</v>
      </c>
      <c r="G113" s="87" t="b">
        <v>0</v>
      </c>
    </row>
    <row r="114" spans="1:7" x14ac:dyDescent="0.25">
      <c r="A114" s="84" t="s">
        <v>306</v>
      </c>
      <c r="B114" s="87">
        <v>4</v>
      </c>
      <c r="C114" s="111">
        <v>3.2652158419291914E-3</v>
      </c>
      <c r="D114" s="87" t="s">
        <v>1952</v>
      </c>
      <c r="E114" s="87" t="b">
        <v>0</v>
      </c>
      <c r="F114" s="87" t="b">
        <v>0</v>
      </c>
      <c r="G114" s="87" t="b">
        <v>0</v>
      </c>
    </row>
    <row r="115" spans="1:7" x14ac:dyDescent="0.25">
      <c r="A115" s="84" t="s">
        <v>258</v>
      </c>
      <c r="B115" s="87">
        <v>4</v>
      </c>
      <c r="C115" s="111">
        <v>3.2652158419291914E-3</v>
      </c>
      <c r="D115" s="87" t="s">
        <v>1952</v>
      </c>
      <c r="E115" s="87" t="b">
        <v>0</v>
      </c>
      <c r="F115" s="87" t="b">
        <v>0</v>
      </c>
      <c r="G115" s="87" t="b">
        <v>0</v>
      </c>
    </row>
    <row r="116" spans="1:7" x14ac:dyDescent="0.25">
      <c r="A116" s="84" t="s">
        <v>1733</v>
      </c>
      <c r="B116" s="87">
        <v>4</v>
      </c>
      <c r="C116" s="111">
        <v>3.2652158419291914E-3</v>
      </c>
      <c r="D116" s="87" t="s">
        <v>1952</v>
      </c>
      <c r="E116" s="87" t="b">
        <v>0</v>
      </c>
      <c r="F116" s="87" t="b">
        <v>0</v>
      </c>
      <c r="G116" s="87" t="b">
        <v>0</v>
      </c>
    </row>
    <row r="117" spans="1:7" x14ac:dyDescent="0.25">
      <c r="A117" s="84" t="s">
        <v>1734</v>
      </c>
      <c r="B117" s="87">
        <v>4</v>
      </c>
      <c r="C117" s="111">
        <v>3.2652158419291914E-3</v>
      </c>
      <c r="D117" s="87" t="s">
        <v>1952</v>
      </c>
      <c r="E117" s="87" t="b">
        <v>0</v>
      </c>
      <c r="F117" s="87" t="b">
        <v>0</v>
      </c>
      <c r="G117" s="87" t="b">
        <v>0</v>
      </c>
    </row>
    <row r="118" spans="1:7" x14ac:dyDescent="0.25">
      <c r="A118" s="84" t="s">
        <v>1735</v>
      </c>
      <c r="B118" s="87">
        <v>4</v>
      </c>
      <c r="C118" s="111">
        <v>3.2652158419291914E-3</v>
      </c>
      <c r="D118" s="87" t="s">
        <v>1952</v>
      </c>
      <c r="E118" s="87" t="b">
        <v>0</v>
      </c>
      <c r="F118" s="87" t="b">
        <v>0</v>
      </c>
      <c r="G118" s="87" t="b">
        <v>0</v>
      </c>
    </row>
    <row r="119" spans="1:7" x14ac:dyDescent="0.25">
      <c r="A119" s="84" t="s">
        <v>1736</v>
      </c>
      <c r="B119" s="87">
        <v>4</v>
      </c>
      <c r="C119" s="111">
        <v>3.2652158419291914E-3</v>
      </c>
      <c r="D119" s="87" t="s">
        <v>1952</v>
      </c>
      <c r="E119" s="87" t="b">
        <v>0</v>
      </c>
      <c r="F119" s="87" t="b">
        <v>0</v>
      </c>
      <c r="G119" s="87" t="b">
        <v>0</v>
      </c>
    </row>
    <row r="120" spans="1:7" x14ac:dyDescent="0.25">
      <c r="A120" s="84" t="s">
        <v>1737</v>
      </c>
      <c r="B120" s="87">
        <v>4</v>
      </c>
      <c r="C120" s="111">
        <v>3.2652158419291914E-3</v>
      </c>
      <c r="D120" s="87" t="s">
        <v>1952</v>
      </c>
      <c r="E120" s="87" t="b">
        <v>0</v>
      </c>
      <c r="F120" s="87" t="b">
        <v>0</v>
      </c>
      <c r="G120" s="87" t="b">
        <v>0</v>
      </c>
    </row>
    <row r="121" spans="1:7" x14ac:dyDescent="0.25">
      <c r="A121" s="84" t="s">
        <v>1738</v>
      </c>
      <c r="B121" s="87">
        <v>4</v>
      </c>
      <c r="C121" s="111">
        <v>3.5356460077480226E-3</v>
      </c>
      <c r="D121" s="87" t="s">
        <v>1952</v>
      </c>
      <c r="E121" s="87" t="b">
        <v>0</v>
      </c>
      <c r="F121" s="87" t="b">
        <v>0</v>
      </c>
      <c r="G121" s="87" t="b">
        <v>0</v>
      </c>
    </row>
    <row r="122" spans="1:7" x14ac:dyDescent="0.25">
      <c r="A122" s="84" t="s">
        <v>1739</v>
      </c>
      <c r="B122" s="87">
        <v>4</v>
      </c>
      <c r="C122" s="111">
        <v>3.2652158419291914E-3</v>
      </c>
      <c r="D122" s="87" t="s">
        <v>1952</v>
      </c>
      <c r="E122" s="87" t="b">
        <v>0</v>
      </c>
      <c r="F122" s="87" t="b">
        <v>0</v>
      </c>
      <c r="G122" s="87" t="b">
        <v>0</v>
      </c>
    </row>
    <row r="123" spans="1:7" x14ac:dyDescent="0.25">
      <c r="A123" s="84" t="s">
        <v>1740</v>
      </c>
      <c r="B123" s="87">
        <v>4</v>
      </c>
      <c r="C123" s="111">
        <v>3.5356460077480226E-3</v>
      </c>
      <c r="D123" s="87" t="s">
        <v>1952</v>
      </c>
      <c r="E123" s="87" t="b">
        <v>1</v>
      </c>
      <c r="F123" s="87" t="b">
        <v>0</v>
      </c>
      <c r="G123" s="87" t="b">
        <v>0</v>
      </c>
    </row>
    <row r="124" spans="1:7" x14ac:dyDescent="0.25">
      <c r="A124" s="84" t="s">
        <v>1741</v>
      </c>
      <c r="B124" s="87">
        <v>4</v>
      </c>
      <c r="C124" s="111">
        <v>3.2652158419291914E-3</v>
      </c>
      <c r="D124" s="87" t="s">
        <v>1952</v>
      </c>
      <c r="E124" s="87" t="b">
        <v>0</v>
      </c>
      <c r="F124" s="87" t="b">
        <v>0</v>
      </c>
      <c r="G124" s="87" t="b">
        <v>0</v>
      </c>
    </row>
    <row r="125" spans="1:7" x14ac:dyDescent="0.25">
      <c r="A125" s="84" t="s">
        <v>1742</v>
      </c>
      <c r="B125" s="87">
        <v>4</v>
      </c>
      <c r="C125" s="111">
        <v>3.2652158419291914E-3</v>
      </c>
      <c r="D125" s="87" t="s">
        <v>1952</v>
      </c>
      <c r="E125" s="87" t="b">
        <v>1</v>
      </c>
      <c r="F125" s="87" t="b">
        <v>0</v>
      </c>
      <c r="G125" s="87" t="b">
        <v>0</v>
      </c>
    </row>
    <row r="126" spans="1:7" x14ac:dyDescent="0.25">
      <c r="A126" s="84" t="s">
        <v>336</v>
      </c>
      <c r="B126" s="87">
        <v>4</v>
      </c>
      <c r="C126" s="111">
        <v>3.2652158419291914E-3</v>
      </c>
      <c r="D126" s="87" t="s">
        <v>1952</v>
      </c>
      <c r="E126" s="87" t="b">
        <v>0</v>
      </c>
      <c r="F126" s="87" t="b">
        <v>0</v>
      </c>
      <c r="G126" s="87" t="b">
        <v>0</v>
      </c>
    </row>
    <row r="127" spans="1:7" x14ac:dyDescent="0.25">
      <c r="A127" s="84" t="s">
        <v>1743</v>
      </c>
      <c r="B127" s="87">
        <v>4</v>
      </c>
      <c r="C127" s="111">
        <v>3.2652158419291914E-3</v>
      </c>
      <c r="D127" s="87" t="s">
        <v>1952</v>
      </c>
      <c r="E127" s="87" t="b">
        <v>0</v>
      </c>
      <c r="F127" s="87" t="b">
        <v>0</v>
      </c>
      <c r="G127" s="87" t="b">
        <v>0</v>
      </c>
    </row>
    <row r="128" spans="1:7" x14ac:dyDescent="0.25">
      <c r="A128" s="84" t="s">
        <v>1744</v>
      </c>
      <c r="B128" s="87">
        <v>4</v>
      </c>
      <c r="C128" s="111">
        <v>3.2652158419291914E-3</v>
      </c>
      <c r="D128" s="87" t="s">
        <v>1952</v>
      </c>
      <c r="E128" s="87" t="b">
        <v>0</v>
      </c>
      <c r="F128" s="87" t="b">
        <v>0</v>
      </c>
      <c r="G128" s="87" t="b">
        <v>0</v>
      </c>
    </row>
    <row r="129" spans="1:7" x14ac:dyDescent="0.25">
      <c r="A129" s="84" t="s">
        <v>1745</v>
      </c>
      <c r="B129" s="87">
        <v>4</v>
      </c>
      <c r="C129" s="111">
        <v>3.2652158419291914E-3</v>
      </c>
      <c r="D129" s="87" t="s">
        <v>1952</v>
      </c>
      <c r="E129" s="87" t="b">
        <v>0</v>
      </c>
      <c r="F129" s="87" t="b">
        <v>0</v>
      </c>
      <c r="G129" s="87" t="b">
        <v>0</v>
      </c>
    </row>
    <row r="130" spans="1:7" x14ac:dyDescent="0.25">
      <c r="A130" s="84" t="s">
        <v>1746</v>
      </c>
      <c r="B130" s="87">
        <v>4</v>
      </c>
      <c r="C130" s="111">
        <v>3.2652158419291914E-3</v>
      </c>
      <c r="D130" s="87" t="s">
        <v>1952</v>
      </c>
      <c r="E130" s="87" t="b">
        <v>0</v>
      </c>
      <c r="F130" s="87" t="b">
        <v>0</v>
      </c>
      <c r="G130" s="87" t="b">
        <v>0</v>
      </c>
    </row>
    <row r="131" spans="1:7" x14ac:dyDescent="0.25">
      <c r="A131" s="84" t="s">
        <v>1747</v>
      </c>
      <c r="B131" s="87">
        <v>4</v>
      </c>
      <c r="C131" s="111">
        <v>3.2652158419291914E-3</v>
      </c>
      <c r="D131" s="87" t="s">
        <v>1952</v>
      </c>
      <c r="E131" s="87" t="b">
        <v>0</v>
      </c>
      <c r="F131" s="87" t="b">
        <v>0</v>
      </c>
      <c r="G131" s="87" t="b">
        <v>0</v>
      </c>
    </row>
    <row r="132" spans="1:7" x14ac:dyDescent="0.25">
      <c r="A132" s="84" t="s">
        <v>1748</v>
      </c>
      <c r="B132" s="87">
        <v>4</v>
      </c>
      <c r="C132" s="111">
        <v>3.2652158419291914E-3</v>
      </c>
      <c r="D132" s="87" t="s">
        <v>1952</v>
      </c>
      <c r="E132" s="87" t="b">
        <v>0</v>
      </c>
      <c r="F132" s="87" t="b">
        <v>0</v>
      </c>
      <c r="G132" s="87" t="b">
        <v>0</v>
      </c>
    </row>
    <row r="133" spans="1:7" x14ac:dyDescent="0.25">
      <c r="A133" s="84" t="s">
        <v>1749</v>
      </c>
      <c r="B133" s="87">
        <v>4</v>
      </c>
      <c r="C133" s="111">
        <v>3.2652158419291914E-3</v>
      </c>
      <c r="D133" s="87" t="s">
        <v>1952</v>
      </c>
      <c r="E133" s="87" t="b">
        <v>0</v>
      </c>
      <c r="F133" s="87" t="b">
        <v>0</v>
      </c>
      <c r="G133" s="87" t="b">
        <v>0</v>
      </c>
    </row>
    <row r="134" spans="1:7" x14ac:dyDescent="0.25">
      <c r="A134" s="84" t="s">
        <v>1750</v>
      </c>
      <c r="B134" s="87">
        <v>4</v>
      </c>
      <c r="C134" s="111">
        <v>3.2652158419291914E-3</v>
      </c>
      <c r="D134" s="87" t="s">
        <v>1952</v>
      </c>
      <c r="E134" s="87" t="b">
        <v>0</v>
      </c>
      <c r="F134" s="87" t="b">
        <v>0</v>
      </c>
      <c r="G134" s="87" t="b">
        <v>0</v>
      </c>
    </row>
    <row r="135" spans="1:7" x14ac:dyDescent="0.25">
      <c r="A135" s="84" t="s">
        <v>1751</v>
      </c>
      <c r="B135" s="87">
        <v>4</v>
      </c>
      <c r="C135" s="111">
        <v>3.2652158419291914E-3</v>
      </c>
      <c r="D135" s="87" t="s">
        <v>1952</v>
      </c>
      <c r="E135" s="87" t="b">
        <v>0</v>
      </c>
      <c r="F135" s="87" t="b">
        <v>0</v>
      </c>
      <c r="G135" s="87" t="b">
        <v>0</v>
      </c>
    </row>
    <row r="136" spans="1:7" x14ac:dyDescent="0.25">
      <c r="A136" s="84" t="s">
        <v>1752</v>
      </c>
      <c r="B136" s="87">
        <v>4</v>
      </c>
      <c r="C136" s="111">
        <v>3.5356460077480226E-3</v>
      </c>
      <c r="D136" s="87" t="s">
        <v>1952</v>
      </c>
      <c r="E136" s="87" t="b">
        <v>0</v>
      </c>
      <c r="F136" s="87" t="b">
        <v>0</v>
      </c>
      <c r="G136" s="87" t="b">
        <v>0</v>
      </c>
    </row>
    <row r="137" spans="1:7" x14ac:dyDescent="0.25">
      <c r="A137" s="84" t="s">
        <v>1753</v>
      </c>
      <c r="B137" s="87">
        <v>4</v>
      </c>
      <c r="C137" s="111">
        <v>3.2652158419291914E-3</v>
      </c>
      <c r="D137" s="87" t="s">
        <v>1952</v>
      </c>
      <c r="E137" s="87" t="b">
        <v>0</v>
      </c>
      <c r="F137" s="87" t="b">
        <v>0</v>
      </c>
      <c r="G137" s="87" t="b">
        <v>0</v>
      </c>
    </row>
    <row r="138" spans="1:7" x14ac:dyDescent="0.25">
      <c r="A138" s="84" t="s">
        <v>1754</v>
      </c>
      <c r="B138" s="87">
        <v>4</v>
      </c>
      <c r="C138" s="111">
        <v>3.2652158419291914E-3</v>
      </c>
      <c r="D138" s="87" t="s">
        <v>1952</v>
      </c>
      <c r="E138" s="87" t="b">
        <v>0</v>
      </c>
      <c r="F138" s="87" t="b">
        <v>0</v>
      </c>
      <c r="G138" s="87" t="b">
        <v>0</v>
      </c>
    </row>
    <row r="139" spans="1:7" x14ac:dyDescent="0.25">
      <c r="A139" s="84" t="s">
        <v>1755</v>
      </c>
      <c r="B139" s="87">
        <v>4</v>
      </c>
      <c r="C139" s="111">
        <v>3.2652158419291914E-3</v>
      </c>
      <c r="D139" s="87" t="s">
        <v>1952</v>
      </c>
      <c r="E139" s="87" t="b">
        <v>0</v>
      </c>
      <c r="F139" s="87" t="b">
        <v>0</v>
      </c>
      <c r="G139" s="87" t="b">
        <v>0</v>
      </c>
    </row>
    <row r="140" spans="1:7" x14ac:dyDescent="0.25">
      <c r="A140" s="84" t="s">
        <v>1756</v>
      </c>
      <c r="B140" s="87">
        <v>4</v>
      </c>
      <c r="C140" s="111">
        <v>3.2652158419291914E-3</v>
      </c>
      <c r="D140" s="87" t="s">
        <v>1952</v>
      </c>
      <c r="E140" s="87" t="b">
        <v>0</v>
      </c>
      <c r="F140" s="87" t="b">
        <v>0</v>
      </c>
      <c r="G140" s="87" t="b">
        <v>0</v>
      </c>
    </row>
    <row r="141" spans="1:7" x14ac:dyDescent="0.25">
      <c r="A141" s="84" t="s">
        <v>1757</v>
      </c>
      <c r="B141" s="87">
        <v>4</v>
      </c>
      <c r="C141" s="111">
        <v>3.2652158419291914E-3</v>
      </c>
      <c r="D141" s="87" t="s">
        <v>1952</v>
      </c>
      <c r="E141" s="87" t="b">
        <v>0</v>
      </c>
      <c r="F141" s="87" t="b">
        <v>0</v>
      </c>
      <c r="G141" s="87" t="b">
        <v>0</v>
      </c>
    </row>
    <row r="142" spans="1:7" x14ac:dyDescent="0.25">
      <c r="A142" s="84" t="s">
        <v>1758</v>
      </c>
      <c r="B142" s="87">
        <v>4</v>
      </c>
      <c r="C142" s="111">
        <v>3.2652158419291914E-3</v>
      </c>
      <c r="D142" s="87" t="s">
        <v>1952</v>
      </c>
      <c r="E142" s="87" t="b">
        <v>0</v>
      </c>
      <c r="F142" s="87" t="b">
        <v>0</v>
      </c>
      <c r="G142" s="87" t="b">
        <v>0</v>
      </c>
    </row>
    <row r="143" spans="1:7" x14ac:dyDescent="0.25">
      <c r="A143" s="84" t="s">
        <v>1759</v>
      </c>
      <c r="B143" s="87">
        <v>4</v>
      </c>
      <c r="C143" s="111">
        <v>3.2652158419291914E-3</v>
      </c>
      <c r="D143" s="87" t="s">
        <v>1952</v>
      </c>
      <c r="E143" s="87" t="b">
        <v>0</v>
      </c>
      <c r="F143" s="87" t="b">
        <v>0</v>
      </c>
      <c r="G143" s="87" t="b">
        <v>0</v>
      </c>
    </row>
    <row r="144" spans="1:7" x14ac:dyDescent="0.25">
      <c r="A144" s="84" t="s">
        <v>1760</v>
      </c>
      <c r="B144" s="87">
        <v>3</v>
      </c>
      <c r="C144" s="111">
        <v>2.651734505811017E-3</v>
      </c>
      <c r="D144" s="87" t="s">
        <v>1952</v>
      </c>
      <c r="E144" s="87" t="b">
        <v>0</v>
      </c>
      <c r="F144" s="87" t="b">
        <v>0</v>
      </c>
      <c r="G144" s="87" t="b">
        <v>0</v>
      </c>
    </row>
    <row r="145" spans="1:7" x14ac:dyDescent="0.25">
      <c r="A145" s="84" t="s">
        <v>1761</v>
      </c>
      <c r="B145" s="87">
        <v>3</v>
      </c>
      <c r="C145" s="111">
        <v>2.651734505811017E-3</v>
      </c>
      <c r="D145" s="87" t="s">
        <v>1952</v>
      </c>
      <c r="E145" s="87" t="b">
        <v>0</v>
      </c>
      <c r="F145" s="87" t="b">
        <v>0</v>
      </c>
      <c r="G145" s="87" t="b">
        <v>0</v>
      </c>
    </row>
    <row r="146" spans="1:7" x14ac:dyDescent="0.25">
      <c r="A146" s="84" t="s">
        <v>1762</v>
      </c>
      <c r="B146" s="87">
        <v>3</v>
      </c>
      <c r="C146" s="111">
        <v>2.651734505811017E-3</v>
      </c>
      <c r="D146" s="87" t="s">
        <v>1952</v>
      </c>
      <c r="E146" s="87" t="b">
        <v>0</v>
      </c>
      <c r="F146" s="87" t="b">
        <v>0</v>
      </c>
      <c r="G146" s="87" t="b">
        <v>0</v>
      </c>
    </row>
    <row r="147" spans="1:7" x14ac:dyDescent="0.25">
      <c r="A147" s="84" t="s">
        <v>1763</v>
      </c>
      <c r="B147" s="87">
        <v>3</v>
      </c>
      <c r="C147" s="111">
        <v>2.651734505811017E-3</v>
      </c>
      <c r="D147" s="87" t="s">
        <v>1952</v>
      </c>
      <c r="E147" s="87" t="b">
        <v>0</v>
      </c>
      <c r="F147" s="87" t="b">
        <v>0</v>
      </c>
      <c r="G147" s="87" t="b">
        <v>0</v>
      </c>
    </row>
    <row r="148" spans="1:7" x14ac:dyDescent="0.25">
      <c r="A148" s="84" t="s">
        <v>1764</v>
      </c>
      <c r="B148" s="87">
        <v>3</v>
      </c>
      <c r="C148" s="111">
        <v>2.651734505811017E-3</v>
      </c>
      <c r="D148" s="87" t="s">
        <v>1952</v>
      </c>
      <c r="E148" s="87" t="b">
        <v>0</v>
      </c>
      <c r="F148" s="87" t="b">
        <v>0</v>
      </c>
      <c r="G148" s="87" t="b">
        <v>0</v>
      </c>
    </row>
    <row r="149" spans="1:7" x14ac:dyDescent="0.25">
      <c r="A149" s="84" t="s">
        <v>1765</v>
      </c>
      <c r="B149" s="87">
        <v>3</v>
      </c>
      <c r="C149" s="111">
        <v>2.651734505811017E-3</v>
      </c>
      <c r="D149" s="87" t="s">
        <v>1952</v>
      </c>
      <c r="E149" s="87" t="b">
        <v>0</v>
      </c>
      <c r="F149" s="87" t="b">
        <v>0</v>
      </c>
      <c r="G149" s="87" t="b">
        <v>0</v>
      </c>
    </row>
    <row r="150" spans="1:7" x14ac:dyDescent="0.25">
      <c r="A150" s="84" t="s">
        <v>1766</v>
      </c>
      <c r="B150" s="87">
        <v>3</v>
      </c>
      <c r="C150" s="111">
        <v>2.651734505811017E-3</v>
      </c>
      <c r="D150" s="87" t="s">
        <v>1952</v>
      </c>
      <c r="E150" s="87" t="b">
        <v>0</v>
      </c>
      <c r="F150" s="87" t="b">
        <v>0</v>
      </c>
      <c r="G150" s="87" t="b">
        <v>0</v>
      </c>
    </row>
    <row r="151" spans="1:7" x14ac:dyDescent="0.25">
      <c r="A151" s="84" t="s">
        <v>1767</v>
      </c>
      <c r="B151" s="87">
        <v>3</v>
      </c>
      <c r="C151" s="111">
        <v>2.651734505811017E-3</v>
      </c>
      <c r="D151" s="87" t="s">
        <v>1952</v>
      </c>
      <c r="E151" s="87" t="b">
        <v>0</v>
      </c>
      <c r="F151" s="87" t="b">
        <v>0</v>
      </c>
      <c r="G151" s="87" t="b">
        <v>0</v>
      </c>
    </row>
    <row r="152" spans="1:7" x14ac:dyDescent="0.25">
      <c r="A152" s="84" t="s">
        <v>1768</v>
      </c>
      <c r="B152" s="87">
        <v>3</v>
      </c>
      <c r="C152" s="111">
        <v>2.651734505811017E-3</v>
      </c>
      <c r="D152" s="87" t="s">
        <v>1952</v>
      </c>
      <c r="E152" s="87" t="b">
        <v>0</v>
      </c>
      <c r="F152" s="87" t="b">
        <v>0</v>
      </c>
      <c r="G152" s="87" t="b">
        <v>0</v>
      </c>
    </row>
    <row r="153" spans="1:7" x14ac:dyDescent="0.25">
      <c r="A153" s="84" t="s">
        <v>1769</v>
      </c>
      <c r="B153" s="87">
        <v>3</v>
      </c>
      <c r="C153" s="111">
        <v>2.651734505811017E-3</v>
      </c>
      <c r="D153" s="87" t="s">
        <v>1952</v>
      </c>
      <c r="E153" s="87" t="b">
        <v>0</v>
      </c>
      <c r="F153" s="87" t="b">
        <v>0</v>
      </c>
      <c r="G153" s="87" t="b">
        <v>0</v>
      </c>
    </row>
    <row r="154" spans="1:7" x14ac:dyDescent="0.25">
      <c r="A154" s="84" t="s">
        <v>1770</v>
      </c>
      <c r="B154" s="87">
        <v>3</v>
      </c>
      <c r="C154" s="111">
        <v>2.651734505811017E-3</v>
      </c>
      <c r="D154" s="87" t="s">
        <v>1952</v>
      </c>
      <c r="E154" s="87" t="b">
        <v>0</v>
      </c>
      <c r="F154" s="87" t="b">
        <v>0</v>
      </c>
      <c r="G154" s="87" t="b">
        <v>0</v>
      </c>
    </row>
    <row r="155" spans="1:7" x14ac:dyDescent="0.25">
      <c r="A155" s="84" t="s">
        <v>1771</v>
      </c>
      <c r="B155" s="87">
        <v>3</v>
      </c>
      <c r="C155" s="111">
        <v>2.651734505811017E-3</v>
      </c>
      <c r="D155" s="87" t="s">
        <v>1952</v>
      </c>
      <c r="E155" s="87" t="b">
        <v>0</v>
      </c>
      <c r="F155" s="87" t="b">
        <v>0</v>
      </c>
      <c r="G155" s="87" t="b">
        <v>0</v>
      </c>
    </row>
    <row r="156" spans="1:7" x14ac:dyDescent="0.25">
      <c r="A156" s="84" t="s">
        <v>1772</v>
      </c>
      <c r="B156" s="87">
        <v>3</v>
      </c>
      <c r="C156" s="111">
        <v>2.651734505811017E-3</v>
      </c>
      <c r="D156" s="87" t="s">
        <v>1952</v>
      </c>
      <c r="E156" s="87" t="b">
        <v>0</v>
      </c>
      <c r="F156" s="87" t="b">
        <v>0</v>
      </c>
      <c r="G156" s="87" t="b">
        <v>0</v>
      </c>
    </row>
    <row r="157" spans="1:7" x14ac:dyDescent="0.25">
      <c r="A157" s="84" t="s">
        <v>301</v>
      </c>
      <c r="B157" s="87">
        <v>3</v>
      </c>
      <c r="C157" s="111">
        <v>2.9375969393429673E-3</v>
      </c>
      <c r="D157" s="87" t="s">
        <v>1952</v>
      </c>
      <c r="E157" s="87" t="b">
        <v>0</v>
      </c>
      <c r="F157" s="87" t="b">
        <v>0</v>
      </c>
      <c r="G157" s="87" t="b">
        <v>0</v>
      </c>
    </row>
    <row r="158" spans="1:7" x14ac:dyDescent="0.25">
      <c r="A158" s="84" t="s">
        <v>1773</v>
      </c>
      <c r="B158" s="87">
        <v>3</v>
      </c>
      <c r="C158" s="111">
        <v>2.651734505811017E-3</v>
      </c>
      <c r="D158" s="87" t="s">
        <v>1952</v>
      </c>
      <c r="E158" s="87" t="b">
        <v>0</v>
      </c>
      <c r="F158" s="87" t="b">
        <v>0</v>
      </c>
      <c r="G158" s="87" t="b">
        <v>0</v>
      </c>
    </row>
    <row r="159" spans="1:7" x14ac:dyDescent="0.25">
      <c r="A159" s="84" t="s">
        <v>1774</v>
      </c>
      <c r="B159" s="87">
        <v>3</v>
      </c>
      <c r="C159" s="111">
        <v>2.651734505811017E-3</v>
      </c>
      <c r="D159" s="87" t="s">
        <v>1952</v>
      </c>
      <c r="E159" s="87" t="b">
        <v>0</v>
      </c>
      <c r="F159" s="87" t="b">
        <v>0</v>
      </c>
      <c r="G159" s="87" t="b">
        <v>0</v>
      </c>
    </row>
    <row r="160" spans="1:7" x14ac:dyDescent="0.25">
      <c r="A160" s="84" t="s">
        <v>1775</v>
      </c>
      <c r="B160" s="87">
        <v>3</v>
      </c>
      <c r="C160" s="111">
        <v>2.651734505811017E-3</v>
      </c>
      <c r="D160" s="87" t="s">
        <v>1952</v>
      </c>
      <c r="E160" s="87" t="b">
        <v>0</v>
      </c>
      <c r="F160" s="87" t="b">
        <v>0</v>
      </c>
      <c r="G160" s="87" t="b">
        <v>0</v>
      </c>
    </row>
    <row r="161" spans="1:7" x14ac:dyDescent="0.25">
      <c r="A161" s="84" t="s">
        <v>1776</v>
      </c>
      <c r="B161" s="87">
        <v>3</v>
      </c>
      <c r="C161" s="111">
        <v>2.9375969393429673E-3</v>
      </c>
      <c r="D161" s="87" t="s">
        <v>1952</v>
      </c>
      <c r="E161" s="87" t="b">
        <v>0</v>
      </c>
      <c r="F161" s="87" t="b">
        <v>0</v>
      </c>
      <c r="G161" s="87" t="b">
        <v>0</v>
      </c>
    </row>
    <row r="162" spans="1:7" x14ac:dyDescent="0.25">
      <c r="A162" s="84" t="s">
        <v>302</v>
      </c>
      <c r="B162" s="87">
        <v>3</v>
      </c>
      <c r="C162" s="111">
        <v>2.651734505811017E-3</v>
      </c>
      <c r="D162" s="87" t="s">
        <v>1952</v>
      </c>
      <c r="E162" s="87" t="b">
        <v>0</v>
      </c>
      <c r="F162" s="87" t="b">
        <v>0</v>
      </c>
      <c r="G162" s="87" t="b">
        <v>0</v>
      </c>
    </row>
    <row r="163" spans="1:7" x14ac:dyDescent="0.25">
      <c r="A163" s="84" t="s">
        <v>338</v>
      </c>
      <c r="B163" s="87">
        <v>3</v>
      </c>
      <c r="C163" s="111">
        <v>2.9375969393429673E-3</v>
      </c>
      <c r="D163" s="87" t="s">
        <v>1952</v>
      </c>
      <c r="E163" s="87" t="b">
        <v>1</v>
      </c>
      <c r="F163" s="87" t="b">
        <v>0</v>
      </c>
      <c r="G163" s="87" t="b">
        <v>0</v>
      </c>
    </row>
    <row r="164" spans="1:7" x14ac:dyDescent="0.25">
      <c r="A164" s="84" t="s">
        <v>1777</v>
      </c>
      <c r="B164" s="87">
        <v>3</v>
      </c>
      <c r="C164" s="111">
        <v>2.651734505811017E-3</v>
      </c>
      <c r="D164" s="87" t="s">
        <v>1952</v>
      </c>
      <c r="E164" s="87" t="b">
        <v>0</v>
      </c>
      <c r="F164" s="87" t="b">
        <v>0</v>
      </c>
      <c r="G164" s="87" t="b">
        <v>0</v>
      </c>
    </row>
    <row r="165" spans="1:7" x14ac:dyDescent="0.25">
      <c r="A165" s="84" t="s">
        <v>1778</v>
      </c>
      <c r="B165" s="87">
        <v>3</v>
      </c>
      <c r="C165" s="111">
        <v>2.651734505811017E-3</v>
      </c>
      <c r="D165" s="87" t="s">
        <v>1952</v>
      </c>
      <c r="E165" s="87" t="b">
        <v>0</v>
      </c>
      <c r="F165" s="87" t="b">
        <v>0</v>
      </c>
      <c r="G165" s="87" t="b">
        <v>0</v>
      </c>
    </row>
    <row r="166" spans="1:7" x14ac:dyDescent="0.25">
      <c r="A166" s="84" t="s">
        <v>1779</v>
      </c>
      <c r="B166" s="87">
        <v>3</v>
      </c>
      <c r="C166" s="111">
        <v>2.651734505811017E-3</v>
      </c>
      <c r="D166" s="87" t="s">
        <v>1952</v>
      </c>
      <c r="E166" s="87" t="b">
        <v>0</v>
      </c>
      <c r="F166" s="87" t="b">
        <v>0</v>
      </c>
      <c r="G166" s="87" t="b">
        <v>0</v>
      </c>
    </row>
    <row r="167" spans="1:7" x14ac:dyDescent="0.25">
      <c r="A167" s="84" t="s">
        <v>1780</v>
      </c>
      <c r="B167" s="87">
        <v>3</v>
      </c>
      <c r="C167" s="111">
        <v>2.651734505811017E-3</v>
      </c>
      <c r="D167" s="87" t="s">
        <v>1952</v>
      </c>
      <c r="E167" s="87" t="b">
        <v>0</v>
      </c>
      <c r="F167" s="87" t="b">
        <v>0</v>
      </c>
      <c r="G167" s="87" t="b">
        <v>0</v>
      </c>
    </row>
    <row r="168" spans="1:7" x14ac:dyDescent="0.25">
      <c r="A168" s="84" t="s">
        <v>1781</v>
      </c>
      <c r="B168" s="87">
        <v>3</v>
      </c>
      <c r="C168" s="111">
        <v>2.651734505811017E-3</v>
      </c>
      <c r="D168" s="87" t="s">
        <v>1952</v>
      </c>
      <c r="E168" s="87" t="b">
        <v>0</v>
      </c>
      <c r="F168" s="87" t="b">
        <v>0</v>
      </c>
      <c r="G168" s="87" t="b">
        <v>0</v>
      </c>
    </row>
    <row r="169" spans="1:7" x14ac:dyDescent="0.25">
      <c r="A169" s="84" t="s">
        <v>1782</v>
      </c>
      <c r="B169" s="87">
        <v>3</v>
      </c>
      <c r="C169" s="111">
        <v>2.651734505811017E-3</v>
      </c>
      <c r="D169" s="87" t="s">
        <v>1952</v>
      </c>
      <c r="E169" s="87" t="b">
        <v>0</v>
      </c>
      <c r="F169" s="87" t="b">
        <v>0</v>
      </c>
      <c r="G169" s="87" t="b">
        <v>0</v>
      </c>
    </row>
    <row r="170" spans="1:7" x14ac:dyDescent="0.25">
      <c r="A170" s="84" t="s">
        <v>1783</v>
      </c>
      <c r="B170" s="87">
        <v>3</v>
      </c>
      <c r="C170" s="111">
        <v>2.651734505811017E-3</v>
      </c>
      <c r="D170" s="87" t="s">
        <v>1952</v>
      </c>
      <c r="E170" s="87" t="b">
        <v>0</v>
      </c>
      <c r="F170" s="87" t="b">
        <v>0</v>
      </c>
      <c r="G170" s="87" t="b">
        <v>0</v>
      </c>
    </row>
    <row r="171" spans="1:7" x14ac:dyDescent="0.25">
      <c r="A171" s="84" t="s">
        <v>1784</v>
      </c>
      <c r="B171" s="87">
        <v>3</v>
      </c>
      <c r="C171" s="111">
        <v>2.651734505811017E-3</v>
      </c>
      <c r="D171" s="87" t="s">
        <v>1952</v>
      </c>
      <c r="E171" s="87" t="b">
        <v>0</v>
      </c>
      <c r="F171" s="87" t="b">
        <v>0</v>
      </c>
      <c r="G171" s="87" t="b">
        <v>0</v>
      </c>
    </row>
    <row r="172" spans="1:7" x14ac:dyDescent="0.25">
      <c r="A172" s="84" t="s">
        <v>1785</v>
      </c>
      <c r="B172" s="87">
        <v>3</v>
      </c>
      <c r="C172" s="111">
        <v>2.651734505811017E-3</v>
      </c>
      <c r="D172" s="87" t="s">
        <v>1952</v>
      </c>
      <c r="E172" s="87" t="b">
        <v>0</v>
      </c>
      <c r="F172" s="87" t="b">
        <v>0</v>
      </c>
      <c r="G172" s="87" t="b">
        <v>0</v>
      </c>
    </row>
    <row r="173" spans="1:7" x14ac:dyDescent="0.25">
      <c r="A173" s="84" t="s">
        <v>1786</v>
      </c>
      <c r="B173" s="87">
        <v>3</v>
      </c>
      <c r="C173" s="111">
        <v>2.651734505811017E-3</v>
      </c>
      <c r="D173" s="87" t="s">
        <v>1952</v>
      </c>
      <c r="E173" s="87" t="b">
        <v>0</v>
      </c>
      <c r="F173" s="87" t="b">
        <v>0</v>
      </c>
      <c r="G173" s="87" t="b">
        <v>0</v>
      </c>
    </row>
    <row r="174" spans="1:7" x14ac:dyDescent="0.25">
      <c r="A174" s="84" t="s">
        <v>1787</v>
      </c>
      <c r="B174" s="87">
        <v>3</v>
      </c>
      <c r="C174" s="111">
        <v>2.9375969393429673E-3</v>
      </c>
      <c r="D174" s="87" t="s">
        <v>1952</v>
      </c>
      <c r="E174" s="87" t="b">
        <v>0</v>
      </c>
      <c r="F174" s="87" t="b">
        <v>0</v>
      </c>
      <c r="G174" s="87" t="b">
        <v>0</v>
      </c>
    </row>
    <row r="175" spans="1:7" x14ac:dyDescent="0.25">
      <c r="A175" s="84" t="s">
        <v>1788</v>
      </c>
      <c r="B175" s="87">
        <v>3</v>
      </c>
      <c r="C175" s="111">
        <v>2.651734505811017E-3</v>
      </c>
      <c r="D175" s="87" t="s">
        <v>1952</v>
      </c>
      <c r="E175" s="87" t="b">
        <v>1</v>
      </c>
      <c r="F175" s="87" t="b">
        <v>0</v>
      </c>
      <c r="G175" s="87" t="b">
        <v>0</v>
      </c>
    </row>
    <row r="176" spans="1:7" x14ac:dyDescent="0.25">
      <c r="A176" s="84" t="s">
        <v>1789</v>
      </c>
      <c r="B176" s="87">
        <v>3</v>
      </c>
      <c r="C176" s="111">
        <v>2.651734505811017E-3</v>
      </c>
      <c r="D176" s="87" t="s">
        <v>1952</v>
      </c>
      <c r="E176" s="87" t="b">
        <v>0</v>
      </c>
      <c r="F176" s="87" t="b">
        <v>0</v>
      </c>
      <c r="G176" s="87" t="b">
        <v>0</v>
      </c>
    </row>
    <row r="177" spans="1:7" x14ac:dyDescent="0.25">
      <c r="A177" s="84" t="s">
        <v>320</v>
      </c>
      <c r="B177" s="87">
        <v>3</v>
      </c>
      <c r="C177" s="111">
        <v>2.651734505811017E-3</v>
      </c>
      <c r="D177" s="87" t="s">
        <v>1952</v>
      </c>
      <c r="E177" s="87" t="b">
        <v>0</v>
      </c>
      <c r="F177" s="87" t="b">
        <v>0</v>
      </c>
      <c r="G177" s="87" t="b">
        <v>0</v>
      </c>
    </row>
    <row r="178" spans="1:7" x14ac:dyDescent="0.25">
      <c r="A178" s="84" t="s">
        <v>1790</v>
      </c>
      <c r="B178" s="87">
        <v>3</v>
      </c>
      <c r="C178" s="111">
        <v>2.651734505811017E-3</v>
      </c>
      <c r="D178" s="87" t="s">
        <v>1952</v>
      </c>
      <c r="E178" s="87" t="b">
        <v>0</v>
      </c>
      <c r="F178" s="87" t="b">
        <v>0</v>
      </c>
      <c r="G178" s="87" t="b">
        <v>0</v>
      </c>
    </row>
    <row r="179" spans="1:7" x14ac:dyDescent="0.25">
      <c r="A179" s="84" t="s">
        <v>1791</v>
      </c>
      <c r="B179" s="87">
        <v>3</v>
      </c>
      <c r="C179" s="111">
        <v>3.4262819972390407E-3</v>
      </c>
      <c r="D179" s="87" t="s">
        <v>1952</v>
      </c>
      <c r="E179" s="87" t="b">
        <v>0</v>
      </c>
      <c r="F179" s="87" t="b">
        <v>0</v>
      </c>
      <c r="G179" s="87" t="b">
        <v>0</v>
      </c>
    </row>
    <row r="180" spans="1:7" x14ac:dyDescent="0.25">
      <c r="A180" s="84" t="s">
        <v>1792</v>
      </c>
      <c r="B180" s="87">
        <v>3</v>
      </c>
      <c r="C180" s="111">
        <v>2.651734505811017E-3</v>
      </c>
      <c r="D180" s="87" t="s">
        <v>1952</v>
      </c>
      <c r="E180" s="87" t="b">
        <v>1</v>
      </c>
      <c r="F180" s="87" t="b">
        <v>0</v>
      </c>
      <c r="G180" s="87" t="b">
        <v>0</v>
      </c>
    </row>
    <row r="181" spans="1:7" x14ac:dyDescent="0.25">
      <c r="A181" s="84" t="s">
        <v>1793</v>
      </c>
      <c r="B181" s="87">
        <v>3</v>
      </c>
      <c r="C181" s="111">
        <v>2.651734505811017E-3</v>
      </c>
      <c r="D181" s="87" t="s">
        <v>1952</v>
      </c>
      <c r="E181" s="87" t="b">
        <v>1</v>
      </c>
      <c r="F181" s="87" t="b">
        <v>0</v>
      </c>
      <c r="G181" s="87" t="b">
        <v>0</v>
      </c>
    </row>
    <row r="182" spans="1:7" x14ac:dyDescent="0.25">
      <c r="A182" s="84" t="s">
        <v>1794</v>
      </c>
      <c r="B182" s="87">
        <v>3</v>
      </c>
      <c r="C182" s="111">
        <v>2.651734505811017E-3</v>
      </c>
      <c r="D182" s="87" t="s">
        <v>1952</v>
      </c>
      <c r="E182" s="87" t="b">
        <v>0</v>
      </c>
      <c r="F182" s="87" t="b">
        <v>0</v>
      </c>
      <c r="G182" s="87" t="b">
        <v>0</v>
      </c>
    </row>
    <row r="183" spans="1:7" x14ac:dyDescent="0.25">
      <c r="A183" s="84" t="s">
        <v>1795</v>
      </c>
      <c r="B183" s="87">
        <v>3</v>
      </c>
      <c r="C183" s="111">
        <v>2.9375969393429673E-3</v>
      </c>
      <c r="D183" s="87" t="s">
        <v>1952</v>
      </c>
      <c r="E183" s="87" t="b">
        <v>0</v>
      </c>
      <c r="F183" s="87" t="b">
        <v>0</v>
      </c>
      <c r="G183" s="87" t="b">
        <v>0</v>
      </c>
    </row>
    <row r="184" spans="1:7" x14ac:dyDescent="0.25">
      <c r="A184" s="84" t="s">
        <v>1796</v>
      </c>
      <c r="B184" s="87">
        <v>3</v>
      </c>
      <c r="C184" s="111">
        <v>2.651734505811017E-3</v>
      </c>
      <c r="D184" s="87" t="s">
        <v>1952</v>
      </c>
      <c r="E184" s="87" t="b">
        <v>0</v>
      </c>
      <c r="F184" s="87" t="b">
        <v>0</v>
      </c>
      <c r="G184" s="87" t="b">
        <v>0</v>
      </c>
    </row>
    <row r="185" spans="1:7" x14ac:dyDescent="0.25">
      <c r="A185" s="84" t="s">
        <v>281</v>
      </c>
      <c r="B185" s="87">
        <v>3</v>
      </c>
      <c r="C185" s="111">
        <v>2.651734505811017E-3</v>
      </c>
      <c r="D185" s="87" t="s">
        <v>1952</v>
      </c>
      <c r="E185" s="87" t="b">
        <v>0</v>
      </c>
      <c r="F185" s="87" t="b">
        <v>0</v>
      </c>
      <c r="G185" s="87" t="b">
        <v>0</v>
      </c>
    </row>
    <row r="186" spans="1:7" x14ac:dyDescent="0.25">
      <c r="A186" s="84" t="s">
        <v>1797</v>
      </c>
      <c r="B186" s="87">
        <v>3</v>
      </c>
      <c r="C186" s="111">
        <v>2.651734505811017E-3</v>
      </c>
      <c r="D186" s="87" t="s">
        <v>1952</v>
      </c>
      <c r="E186" s="87" t="b">
        <v>0</v>
      </c>
      <c r="F186" s="87" t="b">
        <v>0</v>
      </c>
      <c r="G186" s="87" t="b">
        <v>0</v>
      </c>
    </row>
    <row r="187" spans="1:7" x14ac:dyDescent="0.25">
      <c r="A187" s="84" t="s">
        <v>1798</v>
      </c>
      <c r="B187" s="87">
        <v>3</v>
      </c>
      <c r="C187" s="111">
        <v>2.651734505811017E-3</v>
      </c>
      <c r="D187" s="87" t="s">
        <v>1952</v>
      </c>
      <c r="E187" s="87" t="b">
        <v>0</v>
      </c>
      <c r="F187" s="87" t="b">
        <v>0</v>
      </c>
      <c r="G187" s="87" t="b">
        <v>0</v>
      </c>
    </row>
    <row r="188" spans="1:7" x14ac:dyDescent="0.25">
      <c r="A188" s="84" t="s">
        <v>1799</v>
      </c>
      <c r="B188" s="87">
        <v>3</v>
      </c>
      <c r="C188" s="111">
        <v>2.651734505811017E-3</v>
      </c>
      <c r="D188" s="87" t="s">
        <v>1952</v>
      </c>
      <c r="E188" s="87" t="b">
        <v>0</v>
      </c>
      <c r="F188" s="87" t="b">
        <v>0</v>
      </c>
      <c r="G188" s="87" t="b">
        <v>0</v>
      </c>
    </row>
    <row r="189" spans="1:7" x14ac:dyDescent="0.25">
      <c r="A189" s="84" t="s">
        <v>1800</v>
      </c>
      <c r="B189" s="87">
        <v>3</v>
      </c>
      <c r="C189" s="111">
        <v>2.651734505811017E-3</v>
      </c>
      <c r="D189" s="87" t="s">
        <v>1952</v>
      </c>
      <c r="E189" s="87" t="b">
        <v>0</v>
      </c>
      <c r="F189" s="87" t="b">
        <v>0</v>
      </c>
      <c r="G189" s="87" t="b">
        <v>0</v>
      </c>
    </row>
    <row r="190" spans="1:7" x14ac:dyDescent="0.25">
      <c r="A190" s="84" t="s">
        <v>308</v>
      </c>
      <c r="B190" s="87">
        <v>3</v>
      </c>
      <c r="C190" s="111">
        <v>2.9375969393429673E-3</v>
      </c>
      <c r="D190" s="87" t="s">
        <v>1952</v>
      </c>
      <c r="E190" s="87" t="b">
        <v>0</v>
      </c>
      <c r="F190" s="87" t="b">
        <v>0</v>
      </c>
      <c r="G190" s="87" t="b">
        <v>0</v>
      </c>
    </row>
    <row r="191" spans="1:7" x14ac:dyDescent="0.25">
      <c r="A191" s="84" t="s">
        <v>1801</v>
      </c>
      <c r="B191" s="87">
        <v>3</v>
      </c>
      <c r="C191" s="111">
        <v>2.651734505811017E-3</v>
      </c>
      <c r="D191" s="87" t="s">
        <v>1952</v>
      </c>
      <c r="E191" s="87" t="b">
        <v>0</v>
      </c>
      <c r="F191" s="87" t="b">
        <v>0</v>
      </c>
      <c r="G191" s="87" t="b">
        <v>0</v>
      </c>
    </row>
    <row r="192" spans="1:7" x14ac:dyDescent="0.25">
      <c r="A192" s="84" t="s">
        <v>1802</v>
      </c>
      <c r="B192" s="87">
        <v>3</v>
      </c>
      <c r="C192" s="111">
        <v>2.651734505811017E-3</v>
      </c>
      <c r="D192" s="87" t="s">
        <v>1952</v>
      </c>
      <c r="E192" s="87" t="b">
        <v>0</v>
      </c>
      <c r="F192" s="87" t="b">
        <v>0</v>
      </c>
      <c r="G192" s="87" t="b">
        <v>0</v>
      </c>
    </row>
    <row r="193" spans="1:7" x14ac:dyDescent="0.25">
      <c r="A193" s="84" t="s">
        <v>1803</v>
      </c>
      <c r="B193" s="87">
        <v>3</v>
      </c>
      <c r="C193" s="111">
        <v>2.651734505811017E-3</v>
      </c>
      <c r="D193" s="87" t="s">
        <v>1952</v>
      </c>
      <c r="E193" s="87" t="b">
        <v>1</v>
      </c>
      <c r="F193" s="87" t="b">
        <v>0</v>
      </c>
      <c r="G193" s="87" t="b">
        <v>0</v>
      </c>
    </row>
    <row r="194" spans="1:7" x14ac:dyDescent="0.25">
      <c r="A194" s="84" t="s">
        <v>1804</v>
      </c>
      <c r="B194" s="87">
        <v>3</v>
      </c>
      <c r="C194" s="111">
        <v>2.651734505811017E-3</v>
      </c>
      <c r="D194" s="87" t="s">
        <v>1952</v>
      </c>
      <c r="E194" s="87" t="b">
        <v>0</v>
      </c>
      <c r="F194" s="87" t="b">
        <v>0</v>
      </c>
      <c r="G194" s="87" t="b">
        <v>0</v>
      </c>
    </row>
    <row r="195" spans="1:7" x14ac:dyDescent="0.25">
      <c r="A195" s="84" t="s">
        <v>350</v>
      </c>
      <c r="B195" s="87">
        <v>3</v>
      </c>
      <c r="C195" s="111">
        <v>2.651734505811017E-3</v>
      </c>
      <c r="D195" s="87" t="s">
        <v>1952</v>
      </c>
      <c r="E195" s="87" t="b">
        <v>0</v>
      </c>
      <c r="F195" s="87" t="b">
        <v>0</v>
      </c>
      <c r="G195" s="87" t="b">
        <v>0</v>
      </c>
    </row>
    <row r="196" spans="1:7" x14ac:dyDescent="0.25">
      <c r="A196" s="84" t="s">
        <v>1805</v>
      </c>
      <c r="B196" s="87">
        <v>3</v>
      </c>
      <c r="C196" s="111">
        <v>2.651734505811017E-3</v>
      </c>
      <c r="D196" s="87" t="s">
        <v>1952</v>
      </c>
      <c r="E196" s="87" t="b">
        <v>0</v>
      </c>
      <c r="F196" s="87" t="b">
        <v>0</v>
      </c>
      <c r="G196" s="87" t="b">
        <v>0</v>
      </c>
    </row>
    <row r="197" spans="1:7" x14ac:dyDescent="0.25">
      <c r="A197" s="84" t="s">
        <v>1806</v>
      </c>
      <c r="B197" s="87">
        <v>3</v>
      </c>
      <c r="C197" s="111">
        <v>2.651734505811017E-3</v>
      </c>
      <c r="D197" s="87" t="s">
        <v>1952</v>
      </c>
      <c r="E197" s="87" t="b">
        <v>0</v>
      </c>
      <c r="F197" s="87" t="b">
        <v>0</v>
      </c>
      <c r="G197" s="87" t="b">
        <v>0</v>
      </c>
    </row>
    <row r="198" spans="1:7" x14ac:dyDescent="0.25">
      <c r="A198" s="84" t="s">
        <v>267</v>
      </c>
      <c r="B198" s="87">
        <v>3</v>
      </c>
      <c r="C198" s="111">
        <v>2.651734505811017E-3</v>
      </c>
      <c r="D198" s="87" t="s">
        <v>1952</v>
      </c>
      <c r="E198" s="87" t="b">
        <v>0</v>
      </c>
      <c r="F198" s="87" t="b">
        <v>0</v>
      </c>
      <c r="G198" s="87" t="b">
        <v>0</v>
      </c>
    </row>
    <row r="199" spans="1:7" x14ac:dyDescent="0.25">
      <c r="A199" s="84" t="s">
        <v>1807</v>
      </c>
      <c r="B199" s="87">
        <v>3</v>
      </c>
      <c r="C199" s="111">
        <v>2.651734505811017E-3</v>
      </c>
      <c r="D199" s="87" t="s">
        <v>1952</v>
      </c>
      <c r="E199" s="87" t="b">
        <v>0</v>
      </c>
      <c r="F199" s="87" t="b">
        <v>0</v>
      </c>
      <c r="G199" s="87" t="b">
        <v>0</v>
      </c>
    </row>
    <row r="200" spans="1:7" x14ac:dyDescent="0.25">
      <c r="A200" s="84" t="s">
        <v>1808</v>
      </c>
      <c r="B200" s="87">
        <v>3</v>
      </c>
      <c r="C200" s="111">
        <v>2.651734505811017E-3</v>
      </c>
      <c r="D200" s="87" t="s">
        <v>1952</v>
      </c>
      <c r="E200" s="87" t="b">
        <v>0</v>
      </c>
      <c r="F200" s="87" t="b">
        <v>0</v>
      </c>
      <c r="G200" s="87" t="b">
        <v>0</v>
      </c>
    </row>
    <row r="201" spans="1:7" x14ac:dyDescent="0.25">
      <c r="A201" s="84" t="s">
        <v>1809</v>
      </c>
      <c r="B201" s="87">
        <v>3</v>
      </c>
      <c r="C201" s="111">
        <v>2.651734505811017E-3</v>
      </c>
      <c r="D201" s="87" t="s">
        <v>1952</v>
      </c>
      <c r="E201" s="87" t="b">
        <v>0</v>
      </c>
      <c r="F201" s="87" t="b">
        <v>0</v>
      </c>
      <c r="G201" s="87" t="b">
        <v>0</v>
      </c>
    </row>
    <row r="202" spans="1:7" x14ac:dyDescent="0.25">
      <c r="A202" s="84" t="s">
        <v>1810</v>
      </c>
      <c r="B202" s="87">
        <v>3</v>
      </c>
      <c r="C202" s="111">
        <v>2.651734505811017E-3</v>
      </c>
      <c r="D202" s="87" t="s">
        <v>1952</v>
      </c>
      <c r="E202" s="87" t="b">
        <v>0</v>
      </c>
      <c r="F202" s="87" t="b">
        <v>1</v>
      </c>
      <c r="G202" s="87" t="b">
        <v>0</v>
      </c>
    </row>
    <row r="203" spans="1:7" x14ac:dyDescent="0.25">
      <c r="A203" s="84" t="s">
        <v>328</v>
      </c>
      <c r="B203" s="87">
        <v>2</v>
      </c>
      <c r="C203" s="111">
        <v>1.9583979595619782E-3</v>
      </c>
      <c r="D203" s="87" t="s">
        <v>1952</v>
      </c>
      <c r="E203" s="87" t="b">
        <v>0</v>
      </c>
      <c r="F203" s="87" t="b">
        <v>0</v>
      </c>
      <c r="G203" s="87" t="b">
        <v>0</v>
      </c>
    </row>
    <row r="204" spans="1:7" x14ac:dyDescent="0.25">
      <c r="A204" s="84" t="s">
        <v>1811</v>
      </c>
      <c r="B204" s="87">
        <v>2</v>
      </c>
      <c r="C204" s="111">
        <v>1.9583979595619782E-3</v>
      </c>
      <c r="D204" s="87" t="s">
        <v>1952</v>
      </c>
      <c r="E204" s="87" t="b">
        <v>0</v>
      </c>
      <c r="F204" s="87" t="b">
        <v>0</v>
      </c>
      <c r="G204" s="87" t="b">
        <v>0</v>
      </c>
    </row>
    <row r="205" spans="1:7" x14ac:dyDescent="0.25">
      <c r="A205" s="84" t="s">
        <v>1812</v>
      </c>
      <c r="B205" s="87">
        <v>2</v>
      </c>
      <c r="C205" s="111">
        <v>1.9583979595619782E-3</v>
      </c>
      <c r="D205" s="87" t="s">
        <v>1952</v>
      </c>
      <c r="E205" s="87" t="b">
        <v>0</v>
      </c>
      <c r="F205" s="87" t="b">
        <v>0</v>
      </c>
      <c r="G205" s="87" t="b">
        <v>0</v>
      </c>
    </row>
    <row r="206" spans="1:7" x14ac:dyDescent="0.25">
      <c r="A206" s="84" t="s">
        <v>1813</v>
      </c>
      <c r="B206" s="87">
        <v>2</v>
      </c>
      <c r="C206" s="111">
        <v>1.9583979595619782E-3</v>
      </c>
      <c r="D206" s="87" t="s">
        <v>1952</v>
      </c>
      <c r="E206" s="87" t="b">
        <v>0</v>
      </c>
      <c r="F206" s="87" t="b">
        <v>1</v>
      </c>
      <c r="G206" s="87" t="b">
        <v>0</v>
      </c>
    </row>
    <row r="207" spans="1:7" x14ac:dyDescent="0.25">
      <c r="A207" s="84" t="s">
        <v>1814</v>
      </c>
      <c r="B207" s="87">
        <v>2</v>
      </c>
      <c r="C207" s="111">
        <v>1.9583979595619782E-3</v>
      </c>
      <c r="D207" s="87" t="s">
        <v>1952</v>
      </c>
      <c r="E207" s="87" t="b">
        <v>0</v>
      </c>
      <c r="F207" s="87" t="b">
        <v>0</v>
      </c>
      <c r="G207" s="87" t="b">
        <v>0</v>
      </c>
    </row>
    <row r="208" spans="1:7" x14ac:dyDescent="0.25">
      <c r="A208" s="84" t="s">
        <v>1815</v>
      </c>
      <c r="B208" s="87">
        <v>2</v>
      </c>
      <c r="C208" s="111">
        <v>2.2841879981593603E-3</v>
      </c>
      <c r="D208" s="87" t="s">
        <v>1952</v>
      </c>
      <c r="E208" s="87" t="b">
        <v>0</v>
      </c>
      <c r="F208" s="87" t="b">
        <v>0</v>
      </c>
      <c r="G208" s="87" t="b">
        <v>0</v>
      </c>
    </row>
    <row r="209" spans="1:7" x14ac:dyDescent="0.25">
      <c r="A209" s="84" t="s">
        <v>1816</v>
      </c>
      <c r="B209" s="87">
        <v>2</v>
      </c>
      <c r="C209" s="111">
        <v>1.9583979595619782E-3</v>
      </c>
      <c r="D209" s="87" t="s">
        <v>1952</v>
      </c>
      <c r="E209" s="87" t="b">
        <v>1</v>
      </c>
      <c r="F209" s="87" t="b">
        <v>0</v>
      </c>
      <c r="G209" s="87" t="b">
        <v>0</v>
      </c>
    </row>
    <row r="210" spans="1:7" x14ac:dyDescent="0.25">
      <c r="A210" s="84" t="s">
        <v>323</v>
      </c>
      <c r="B210" s="87">
        <v>2</v>
      </c>
      <c r="C210" s="111">
        <v>1.9583979595619782E-3</v>
      </c>
      <c r="D210" s="87" t="s">
        <v>1952</v>
      </c>
      <c r="E210" s="87" t="b">
        <v>0</v>
      </c>
      <c r="F210" s="87" t="b">
        <v>0</v>
      </c>
      <c r="G210" s="87" t="b">
        <v>0</v>
      </c>
    </row>
    <row r="211" spans="1:7" x14ac:dyDescent="0.25">
      <c r="A211" s="84" t="s">
        <v>1817</v>
      </c>
      <c r="B211" s="87">
        <v>2</v>
      </c>
      <c r="C211" s="111">
        <v>1.9583979595619782E-3</v>
      </c>
      <c r="D211" s="87" t="s">
        <v>1952</v>
      </c>
      <c r="E211" s="87" t="b">
        <v>0</v>
      </c>
      <c r="F211" s="87" t="b">
        <v>0</v>
      </c>
      <c r="G211" s="87" t="b">
        <v>0</v>
      </c>
    </row>
    <row r="212" spans="1:7" x14ac:dyDescent="0.25">
      <c r="A212" s="84" t="s">
        <v>257</v>
      </c>
      <c r="B212" s="87">
        <v>2</v>
      </c>
      <c r="C212" s="111">
        <v>1.9583979595619782E-3</v>
      </c>
      <c r="D212" s="87" t="s">
        <v>1952</v>
      </c>
      <c r="E212" s="87" t="b">
        <v>0</v>
      </c>
      <c r="F212" s="87" t="b">
        <v>0</v>
      </c>
      <c r="G212" s="87" t="b">
        <v>0</v>
      </c>
    </row>
    <row r="213" spans="1:7" x14ac:dyDescent="0.25">
      <c r="A213" s="84" t="s">
        <v>1818</v>
      </c>
      <c r="B213" s="87">
        <v>2</v>
      </c>
      <c r="C213" s="111">
        <v>1.9583979595619782E-3</v>
      </c>
      <c r="D213" s="87" t="s">
        <v>1952</v>
      </c>
      <c r="E213" s="87" t="b">
        <v>0</v>
      </c>
      <c r="F213" s="87" t="b">
        <v>0</v>
      </c>
      <c r="G213" s="87" t="b">
        <v>0</v>
      </c>
    </row>
    <row r="214" spans="1:7" x14ac:dyDescent="0.25">
      <c r="A214" s="84" t="s">
        <v>1819</v>
      </c>
      <c r="B214" s="87">
        <v>2</v>
      </c>
      <c r="C214" s="111">
        <v>1.9583979595619782E-3</v>
      </c>
      <c r="D214" s="87" t="s">
        <v>1952</v>
      </c>
      <c r="E214" s="87" t="b">
        <v>0</v>
      </c>
      <c r="F214" s="87" t="b">
        <v>0</v>
      </c>
      <c r="G214" s="87" t="b">
        <v>0</v>
      </c>
    </row>
    <row r="215" spans="1:7" x14ac:dyDescent="0.25">
      <c r="A215" s="84" t="s">
        <v>1820</v>
      </c>
      <c r="B215" s="87">
        <v>2</v>
      </c>
      <c r="C215" s="111">
        <v>1.9583979595619782E-3</v>
      </c>
      <c r="D215" s="87" t="s">
        <v>1952</v>
      </c>
      <c r="E215" s="87" t="b">
        <v>0</v>
      </c>
      <c r="F215" s="87" t="b">
        <v>0</v>
      </c>
      <c r="G215" s="87" t="b">
        <v>0</v>
      </c>
    </row>
    <row r="216" spans="1:7" x14ac:dyDescent="0.25">
      <c r="A216" s="84" t="s">
        <v>1821</v>
      </c>
      <c r="B216" s="87">
        <v>2</v>
      </c>
      <c r="C216" s="111">
        <v>1.9583979595619782E-3</v>
      </c>
      <c r="D216" s="87" t="s">
        <v>1952</v>
      </c>
      <c r="E216" s="87" t="b">
        <v>0</v>
      </c>
      <c r="F216" s="87" t="b">
        <v>0</v>
      </c>
      <c r="G216" s="87" t="b">
        <v>0</v>
      </c>
    </row>
    <row r="217" spans="1:7" x14ac:dyDescent="0.25">
      <c r="A217" s="84" t="s">
        <v>1822</v>
      </c>
      <c r="B217" s="87">
        <v>2</v>
      </c>
      <c r="C217" s="111">
        <v>2.2841879981593603E-3</v>
      </c>
      <c r="D217" s="87" t="s">
        <v>1952</v>
      </c>
      <c r="E217" s="87" t="b">
        <v>0</v>
      </c>
      <c r="F217" s="87" t="b">
        <v>0</v>
      </c>
      <c r="G217" s="87" t="b">
        <v>0</v>
      </c>
    </row>
    <row r="218" spans="1:7" x14ac:dyDescent="0.25">
      <c r="A218" s="84" t="s">
        <v>321</v>
      </c>
      <c r="B218" s="87">
        <v>2</v>
      </c>
      <c r="C218" s="111">
        <v>1.9583979595619782E-3</v>
      </c>
      <c r="D218" s="87" t="s">
        <v>1952</v>
      </c>
      <c r="E218" s="87" t="b">
        <v>0</v>
      </c>
      <c r="F218" s="87" t="b">
        <v>0</v>
      </c>
      <c r="G218" s="87" t="b">
        <v>0</v>
      </c>
    </row>
    <row r="219" spans="1:7" x14ac:dyDescent="0.25">
      <c r="A219" s="84" t="s">
        <v>1823</v>
      </c>
      <c r="B219" s="87">
        <v>2</v>
      </c>
      <c r="C219" s="111">
        <v>1.9583979595619782E-3</v>
      </c>
      <c r="D219" s="87" t="s">
        <v>1952</v>
      </c>
      <c r="E219" s="87" t="b">
        <v>0</v>
      </c>
      <c r="F219" s="87" t="b">
        <v>0</v>
      </c>
      <c r="G219" s="87" t="b">
        <v>0</v>
      </c>
    </row>
    <row r="220" spans="1:7" x14ac:dyDescent="0.25">
      <c r="A220" s="84" t="s">
        <v>1824</v>
      </c>
      <c r="B220" s="87">
        <v>2</v>
      </c>
      <c r="C220" s="111">
        <v>1.9583979595619782E-3</v>
      </c>
      <c r="D220" s="87" t="s">
        <v>1952</v>
      </c>
      <c r="E220" s="87" t="b">
        <v>0</v>
      </c>
      <c r="F220" s="87" t="b">
        <v>0</v>
      </c>
      <c r="G220" s="87" t="b">
        <v>0</v>
      </c>
    </row>
    <row r="221" spans="1:7" x14ac:dyDescent="0.25">
      <c r="A221" s="84" t="s">
        <v>1825</v>
      </c>
      <c r="B221" s="87">
        <v>2</v>
      </c>
      <c r="C221" s="111">
        <v>1.9583979595619782E-3</v>
      </c>
      <c r="D221" s="87" t="s">
        <v>1952</v>
      </c>
      <c r="E221" s="87" t="b">
        <v>1</v>
      </c>
      <c r="F221" s="87" t="b">
        <v>0</v>
      </c>
      <c r="G221" s="87" t="b">
        <v>0</v>
      </c>
    </row>
    <row r="222" spans="1:7" x14ac:dyDescent="0.25">
      <c r="A222" s="84" t="s">
        <v>1826</v>
      </c>
      <c r="B222" s="87">
        <v>2</v>
      </c>
      <c r="C222" s="111">
        <v>1.9583979595619782E-3</v>
      </c>
      <c r="D222" s="87" t="s">
        <v>1952</v>
      </c>
      <c r="E222" s="87" t="b">
        <v>0</v>
      </c>
      <c r="F222" s="87" t="b">
        <v>0</v>
      </c>
      <c r="G222" s="87" t="b">
        <v>0</v>
      </c>
    </row>
    <row r="223" spans="1:7" x14ac:dyDescent="0.25">
      <c r="A223" s="84" t="s">
        <v>1827</v>
      </c>
      <c r="B223" s="87">
        <v>2</v>
      </c>
      <c r="C223" s="111">
        <v>1.9583979595619782E-3</v>
      </c>
      <c r="D223" s="87" t="s">
        <v>1952</v>
      </c>
      <c r="E223" s="87" t="b">
        <v>0</v>
      </c>
      <c r="F223" s="87" t="b">
        <v>0</v>
      </c>
      <c r="G223" s="87" t="b">
        <v>0</v>
      </c>
    </row>
    <row r="224" spans="1:7" x14ac:dyDescent="0.25">
      <c r="A224" s="84" t="s">
        <v>1828</v>
      </c>
      <c r="B224" s="87">
        <v>2</v>
      </c>
      <c r="C224" s="111">
        <v>1.9583979595619782E-3</v>
      </c>
      <c r="D224" s="87" t="s">
        <v>1952</v>
      </c>
      <c r="E224" s="87" t="b">
        <v>0</v>
      </c>
      <c r="F224" s="87" t="b">
        <v>0</v>
      </c>
      <c r="G224" s="87" t="b">
        <v>0</v>
      </c>
    </row>
    <row r="225" spans="1:7" x14ac:dyDescent="0.25">
      <c r="A225" s="84" t="s">
        <v>1829</v>
      </c>
      <c r="B225" s="87">
        <v>2</v>
      </c>
      <c r="C225" s="111">
        <v>1.9583979595619782E-3</v>
      </c>
      <c r="D225" s="87" t="s">
        <v>1952</v>
      </c>
      <c r="E225" s="87" t="b">
        <v>1</v>
      </c>
      <c r="F225" s="87" t="b">
        <v>0</v>
      </c>
      <c r="G225" s="87" t="b">
        <v>0</v>
      </c>
    </row>
    <row r="226" spans="1:7" x14ac:dyDescent="0.25">
      <c r="A226" s="84" t="s">
        <v>1830</v>
      </c>
      <c r="B226" s="87">
        <v>2</v>
      </c>
      <c r="C226" s="111">
        <v>1.9583979595619782E-3</v>
      </c>
      <c r="D226" s="87" t="s">
        <v>1952</v>
      </c>
      <c r="E226" s="87" t="b">
        <v>0</v>
      </c>
      <c r="F226" s="87" t="b">
        <v>0</v>
      </c>
      <c r="G226" s="87" t="b">
        <v>0</v>
      </c>
    </row>
    <row r="227" spans="1:7" x14ac:dyDescent="0.25">
      <c r="A227" s="84" t="s">
        <v>279</v>
      </c>
      <c r="B227" s="87">
        <v>2</v>
      </c>
      <c r="C227" s="111">
        <v>1.9583979595619782E-3</v>
      </c>
      <c r="D227" s="87" t="s">
        <v>1952</v>
      </c>
      <c r="E227" s="87" t="b">
        <v>0</v>
      </c>
      <c r="F227" s="87" t="b">
        <v>0</v>
      </c>
      <c r="G227" s="87" t="b">
        <v>0</v>
      </c>
    </row>
    <row r="228" spans="1:7" x14ac:dyDescent="0.25">
      <c r="A228" s="84" t="s">
        <v>1831</v>
      </c>
      <c r="B228" s="87">
        <v>2</v>
      </c>
      <c r="C228" s="111">
        <v>1.9583979595619782E-3</v>
      </c>
      <c r="D228" s="87" t="s">
        <v>1952</v>
      </c>
      <c r="E228" s="87" t="b">
        <v>0</v>
      </c>
      <c r="F228" s="87" t="b">
        <v>0</v>
      </c>
      <c r="G228" s="87" t="b">
        <v>0</v>
      </c>
    </row>
    <row r="229" spans="1:7" x14ac:dyDescent="0.25">
      <c r="A229" s="84" t="s">
        <v>298</v>
      </c>
      <c r="B229" s="87">
        <v>2</v>
      </c>
      <c r="C229" s="111">
        <v>1.9583979595619782E-3</v>
      </c>
      <c r="D229" s="87" t="s">
        <v>1952</v>
      </c>
      <c r="E229" s="87" t="b">
        <v>0</v>
      </c>
      <c r="F229" s="87" t="b">
        <v>0</v>
      </c>
      <c r="G229" s="87" t="b">
        <v>0</v>
      </c>
    </row>
    <row r="230" spans="1:7" x14ac:dyDescent="0.25">
      <c r="A230" s="84" t="s">
        <v>1832</v>
      </c>
      <c r="B230" s="87">
        <v>2</v>
      </c>
      <c r="C230" s="111">
        <v>1.9583979595619782E-3</v>
      </c>
      <c r="D230" s="87" t="s">
        <v>1952</v>
      </c>
      <c r="E230" s="87" t="b">
        <v>0</v>
      </c>
      <c r="F230" s="87" t="b">
        <v>0</v>
      </c>
      <c r="G230" s="87" t="b">
        <v>0</v>
      </c>
    </row>
    <row r="231" spans="1:7" x14ac:dyDescent="0.25">
      <c r="A231" s="84" t="s">
        <v>1833</v>
      </c>
      <c r="B231" s="87">
        <v>2</v>
      </c>
      <c r="C231" s="111">
        <v>1.9583979595619782E-3</v>
      </c>
      <c r="D231" s="87" t="s">
        <v>1952</v>
      </c>
      <c r="E231" s="87" t="b">
        <v>0</v>
      </c>
      <c r="F231" s="87" t="b">
        <v>0</v>
      </c>
      <c r="G231" s="87" t="b">
        <v>0</v>
      </c>
    </row>
    <row r="232" spans="1:7" x14ac:dyDescent="0.25">
      <c r="A232" s="84" t="s">
        <v>1834</v>
      </c>
      <c r="B232" s="87">
        <v>2</v>
      </c>
      <c r="C232" s="111">
        <v>1.9583979595619782E-3</v>
      </c>
      <c r="D232" s="87" t="s">
        <v>1952</v>
      </c>
      <c r="E232" s="87" t="b">
        <v>0</v>
      </c>
      <c r="F232" s="87" t="b">
        <v>0</v>
      </c>
      <c r="G232" s="87" t="b">
        <v>0</v>
      </c>
    </row>
    <row r="233" spans="1:7" x14ac:dyDescent="0.25">
      <c r="A233" s="84" t="s">
        <v>1835</v>
      </c>
      <c r="B233" s="87">
        <v>2</v>
      </c>
      <c r="C233" s="111">
        <v>1.9583979595619782E-3</v>
      </c>
      <c r="D233" s="87" t="s">
        <v>1952</v>
      </c>
      <c r="E233" s="87" t="b">
        <v>0</v>
      </c>
      <c r="F233" s="87" t="b">
        <v>0</v>
      </c>
      <c r="G233" s="87" t="b">
        <v>0</v>
      </c>
    </row>
    <row r="234" spans="1:7" x14ac:dyDescent="0.25">
      <c r="A234" s="84" t="s">
        <v>1836</v>
      </c>
      <c r="B234" s="87">
        <v>2</v>
      </c>
      <c r="C234" s="111">
        <v>1.9583979595619782E-3</v>
      </c>
      <c r="D234" s="87" t="s">
        <v>1952</v>
      </c>
      <c r="E234" s="87" t="b">
        <v>0</v>
      </c>
      <c r="F234" s="87" t="b">
        <v>0</v>
      </c>
      <c r="G234" s="87" t="b">
        <v>0</v>
      </c>
    </row>
    <row r="235" spans="1:7" x14ac:dyDescent="0.25">
      <c r="A235" s="84" t="s">
        <v>1837</v>
      </c>
      <c r="B235" s="87">
        <v>2</v>
      </c>
      <c r="C235" s="111">
        <v>1.9583979595619782E-3</v>
      </c>
      <c r="D235" s="87" t="s">
        <v>1952</v>
      </c>
      <c r="E235" s="87" t="b">
        <v>0</v>
      </c>
      <c r="F235" s="87" t="b">
        <v>0</v>
      </c>
      <c r="G235" s="87" t="b">
        <v>0</v>
      </c>
    </row>
    <row r="236" spans="1:7" x14ac:dyDescent="0.25">
      <c r="A236" s="84" t="s">
        <v>1838</v>
      </c>
      <c r="B236" s="87">
        <v>2</v>
      </c>
      <c r="C236" s="111">
        <v>1.9583979595619782E-3</v>
      </c>
      <c r="D236" s="87" t="s">
        <v>1952</v>
      </c>
      <c r="E236" s="87" t="b">
        <v>0</v>
      </c>
      <c r="F236" s="87" t="b">
        <v>0</v>
      </c>
      <c r="G236" s="87" t="b">
        <v>0</v>
      </c>
    </row>
    <row r="237" spans="1:7" x14ac:dyDescent="0.25">
      <c r="A237" s="84" t="s">
        <v>1839</v>
      </c>
      <c r="B237" s="87">
        <v>2</v>
      </c>
      <c r="C237" s="111">
        <v>1.9583979595619782E-3</v>
      </c>
      <c r="D237" s="87" t="s">
        <v>1952</v>
      </c>
      <c r="E237" s="87" t="b">
        <v>0</v>
      </c>
      <c r="F237" s="87" t="b">
        <v>0</v>
      </c>
      <c r="G237" s="87" t="b">
        <v>0</v>
      </c>
    </row>
    <row r="238" spans="1:7" x14ac:dyDescent="0.25">
      <c r="A238" s="84" t="s">
        <v>1840</v>
      </c>
      <c r="B238" s="87">
        <v>2</v>
      </c>
      <c r="C238" s="111">
        <v>1.9583979595619782E-3</v>
      </c>
      <c r="D238" s="87" t="s">
        <v>1952</v>
      </c>
      <c r="E238" s="87" t="b">
        <v>0</v>
      </c>
      <c r="F238" s="87" t="b">
        <v>0</v>
      </c>
      <c r="G238" s="87" t="b">
        <v>0</v>
      </c>
    </row>
    <row r="239" spans="1:7" x14ac:dyDescent="0.25">
      <c r="A239" s="84" t="s">
        <v>1841</v>
      </c>
      <c r="B239" s="87">
        <v>2</v>
      </c>
      <c r="C239" s="111">
        <v>2.2841879981593603E-3</v>
      </c>
      <c r="D239" s="87" t="s">
        <v>1952</v>
      </c>
      <c r="E239" s="87" t="b">
        <v>0</v>
      </c>
      <c r="F239" s="87" t="b">
        <v>0</v>
      </c>
      <c r="G239" s="87" t="b">
        <v>0</v>
      </c>
    </row>
    <row r="240" spans="1:7" x14ac:dyDescent="0.25">
      <c r="A240" s="84" t="s">
        <v>1842</v>
      </c>
      <c r="B240" s="87">
        <v>2</v>
      </c>
      <c r="C240" s="111">
        <v>1.9583979595619782E-3</v>
      </c>
      <c r="D240" s="87" t="s">
        <v>1952</v>
      </c>
      <c r="E240" s="87" t="b">
        <v>0</v>
      </c>
      <c r="F240" s="87" t="b">
        <v>0</v>
      </c>
      <c r="G240" s="87" t="b">
        <v>0</v>
      </c>
    </row>
    <row r="241" spans="1:7" x14ac:dyDescent="0.25">
      <c r="A241" s="84" t="s">
        <v>1843</v>
      </c>
      <c r="B241" s="87">
        <v>2</v>
      </c>
      <c r="C241" s="111">
        <v>1.9583979595619782E-3</v>
      </c>
      <c r="D241" s="87" t="s">
        <v>1952</v>
      </c>
      <c r="E241" s="87" t="b">
        <v>0</v>
      </c>
      <c r="F241" s="87" t="b">
        <v>0</v>
      </c>
      <c r="G241" s="87" t="b">
        <v>0</v>
      </c>
    </row>
    <row r="242" spans="1:7" x14ac:dyDescent="0.25">
      <c r="A242" s="84" t="s">
        <v>1844</v>
      </c>
      <c r="B242" s="87">
        <v>2</v>
      </c>
      <c r="C242" s="111">
        <v>1.9583979595619782E-3</v>
      </c>
      <c r="D242" s="87" t="s">
        <v>1952</v>
      </c>
      <c r="E242" s="87" t="b">
        <v>0</v>
      </c>
      <c r="F242" s="87" t="b">
        <v>0</v>
      </c>
      <c r="G242" s="87" t="b">
        <v>0</v>
      </c>
    </row>
    <row r="243" spans="1:7" x14ac:dyDescent="0.25">
      <c r="A243" s="84" t="s">
        <v>311</v>
      </c>
      <c r="B243" s="87">
        <v>2</v>
      </c>
      <c r="C243" s="111">
        <v>2.2841879981593603E-3</v>
      </c>
      <c r="D243" s="87" t="s">
        <v>1952</v>
      </c>
      <c r="E243" s="87" t="b">
        <v>0</v>
      </c>
      <c r="F243" s="87" t="b">
        <v>0</v>
      </c>
      <c r="G243" s="87" t="b">
        <v>0</v>
      </c>
    </row>
    <row r="244" spans="1:7" x14ac:dyDescent="0.25">
      <c r="A244" s="84" t="s">
        <v>1845</v>
      </c>
      <c r="B244" s="87">
        <v>2</v>
      </c>
      <c r="C244" s="111">
        <v>1.9583979595619782E-3</v>
      </c>
      <c r="D244" s="87" t="s">
        <v>1952</v>
      </c>
      <c r="E244" s="87" t="b">
        <v>0</v>
      </c>
      <c r="F244" s="87" t="b">
        <v>0</v>
      </c>
      <c r="G244" s="87" t="b">
        <v>0</v>
      </c>
    </row>
    <row r="245" spans="1:7" x14ac:dyDescent="0.25">
      <c r="A245" s="84" t="s">
        <v>1846</v>
      </c>
      <c r="B245" s="87">
        <v>2</v>
      </c>
      <c r="C245" s="111">
        <v>1.9583979595619782E-3</v>
      </c>
      <c r="D245" s="87" t="s">
        <v>1952</v>
      </c>
      <c r="E245" s="87" t="b">
        <v>0</v>
      </c>
      <c r="F245" s="87" t="b">
        <v>0</v>
      </c>
      <c r="G245" s="87" t="b">
        <v>0</v>
      </c>
    </row>
    <row r="246" spans="1:7" x14ac:dyDescent="0.25">
      <c r="A246" s="84" t="s">
        <v>1847</v>
      </c>
      <c r="B246" s="87">
        <v>2</v>
      </c>
      <c r="C246" s="111">
        <v>1.9583979595619782E-3</v>
      </c>
      <c r="D246" s="87" t="s">
        <v>1952</v>
      </c>
      <c r="E246" s="87" t="b">
        <v>0</v>
      </c>
      <c r="F246" s="87" t="b">
        <v>0</v>
      </c>
      <c r="G246" s="87" t="b">
        <v>0</v>
      </c>
    </row>
    <row r="247" spans="1:7" x14ac:dyDescent="0.25">
      <c r="A247" s="84" t="s">
        <v>295</v>
      </c>
      <c r="B247" s="87">
        <v>2</v>
      </c>
      <c r="C247" s="111">
        <v>1.9583979595619782E-3</v>
      </c>
      <c r="D247" s="87" t="s">
        <v>1952</v>
      </c>
      <c r="E247" s="87" t="b">
        <v>0</v>
      </c>
      <c r="F247" s="87" t="b">
        <v>0</v>
      </c>
      <c r="G247" s="87" t="b">
        <v>0</v>
      </c>
    </row>
    <row r="248" spans="1:7" x14ac:dyDescent="0.25">
      <c r="A248" s="84" t="s">
        <v>1848</v>
      </c>
      <c r="B248" s="87">
        <v>2</v>
      </c>
      <c r="C248" s="111">
        <v>2.2841879981593603E-3</v>
      </c>
      <c r="D248" s="87" t="s">
        <v>1952</v>
      </c>
      <c r="E248" s="87" t="b">
        <v>0</v>
      </c>
      <c r="F248" s="87" t="b">
        <v>0</v>
      </c>
      <c r="G248" s="87" t="b">
        <v>0</v>
      </c>
    </row>
    <row r="249" spans="1:7" x14ac:dyDescent="0.25">
      <c r="A249" s="84" t="s">
        <v>1849</v>
      </c>
      <c r="B249" s="87">
        <v>2</v>
      </c>
      <c r="C249" s="111">
        <v>1.9583979595619782E-3</v>
      </c>
      <c r="D249" s="87" t="s">
        <v>1952</v>
      </c>
      <c r="E249" s="87" t="b">
        <v>0</v>
      </c>
      <c r="F249" s="87" t="b">
        <v>0</v>
      </c>
      <c r="G249" s="87" t="b">
        <v>0</v>
      </c>
    </row>
    <row r="250" spans="1:7" x14ac:dyDescent="0.25">
      <c r="A250" s="84" t="s">
        <v>1850</v>
      </c>
      <c r="B250" s="87">
        <v>2</v>
      </c>
      <c r="C250" s="111">
        <v>1.9583979595619782E-3</v>
      </c>
      <c r="D250" s="87" t="s">
        <v>1952</v>
      </c>
      <c r="E250" s="87" t="b">
        <v>0</v>
      </c>
      <c r="F250" s="87" t="b">
        <v>0</v>
      </c>
      <c r="G250" s="87" t="b">
        <v>0</v>
      </c>
    </row>
    <row r="251" spans="1:7" x14ac:dyDescent="0.25">
      <c r="A251" s="84" t="s">
        <v>1851</v>
      </c>
      <c r="B251" s="87">
        <v>2</v>
      </c>
      <c r="C251" s="111">
        <v>1.9583979595619782E-3</v>
      </c>
      <c r="D251" s="87" t="s">
        <v>1952</v>
      </c>
      <c r="E251" s="87" t="b">
        <v>0</v>
      </c>
      <c r="F251" s="87" t="b">
        <v>0</v>
      </c>
      <c r="G251" s="87" t="b">
        <v>0</v>
      </c>
    </row>
    <row r="252" spans="1:7" x14ac:dyDescent="0.25">
      <c r="A252" s="84" t="s">
        <v>1852</v>
      </c>
      <c r="B252" s="87">
        <v>2</v>
      </c>
      <c r="C252" s="111">
        <v>1.9583979595619782E-3</v>
      </c>
      <c r="D252" s="87" t="s">
        <v>1952</v>
      </c>
      <c r="E252" s="87" t="b">
        <v>0</v>
      </c>
      <c r="F252" s="87" t="b">
        <v>0</v>
      </c>
      <c r="G252" s="87" t="b">
        <v>0</v>
      </c>
    </row>
    <row r="253" spans="1:7" x14ac:dyDescent="0.25">
      <c r="A253" s="84" t="s">
        <v>1853</v>
      </c>
      <c r="B253" s="87">
        <v>2</v>
      </c>
      <c r="C253" s="111">
        <v>1.9583979595619782E-3</v>
      </c>
      <c r="D253" s="87" t="s">
        <v>1952</v>
      </c>
      <c r="E253" s="87" t="b">
        <v>0</v>
      </c>
      <c r="F253" s="87" t="b">
        <v>0</v>
      </c>
      <c r="G253" s="87" t="b">
        <v>0</v>
      </c>
    </row>
    <row r="254" spans="1:7" x14ac:dyDescent="0.25">
      <c r="A254" s="84" t="s">
        <v>1854</v>
      </c>
      <c r="B254" s="87">
        <v>2</v>
      </c>
      <c r="C254" s="111">
        <v>1.9583979595619782E-3</v>
      </c>
      <c r="D254" s="87" t="s">
        <v>1952</v>
      </c>
      <c r="E254" s="87" t="b">
        <v>0</v>
      </c>
      <c r="F254" s="87" t="b">
        <v>0</v>
      </c>
      <c r="G254" s="87" t="b">
        <v>0</v>
      </c>
    </row>
    <row r="255" spans="1:7" x14ac:dyDescent="0.25">
      <c r="A255" s="84" t="s">
        <v>1855</v>
      </c>
      <c r="B255" s="87">
        <v>2</v>
      </c>
      <c r="C255" s="111">
        <v>1.9583979595619782E-3</v>
      </c>
      <c r="D255" s="87" t="s">
        <v>1952</v>
      </c>
      <c r="E255" s="87" t="b">
        <v>0</v>
      </c>
      <c r="F255" s="87" t="b">
        <v>0</v>
      </c>
      <c r="G255" s="87" t="b">
        <v>0</v>
      </c>
    </row>
    <row r="256" spans="1:7" x14ac:dyDescent="0.25">
      <c r="A256" s="84" t="s">
        <v>1856</v>
      </c>
      <c r="B256" s="87">
        <v>2</v>
      </c>
      <c r="C256" s="111">
        <v>1.9583979595619782E-3</v>
      </c>
      <c r="D256" s="87" t="s">
        <v>1952</v>
      </c>
      <c r="E256" s="87" t="b">
        <v>0</v>
      </c>
      <c r="F256" s="87" t="b">
        <v>0</v>
      </c>
      <c r="G256" s="87" t="b">
        <v>0</v>
      </c>
    </row>
    <row r="257" spans="1:7" x14ac:dyDescent="0.25">
      <c r="A257" s="84" t="s">
        <v>1857</v>
      </c>
      <c r="B257" s="87">
        <v>2</v>
      </c>
      <c r="C257" s="111">
        <v>1.9583979595619782E-3</v>
      </c>
      <c r="D257" s="87" t="s">
        <v>1952</v>
      </c>
      <c r="E257" s="87" t="b">
        <v>0</v>
      </c>
      <c r="F257" s="87" t="b">
        <v>0</v>
      </c>
      <c r="G257" s="87" t="b">
        <v>0</v>
      </c>
    </row>
    <row r="258" spans="1:7" x14ac:dyDescent="0.25">
      <c r="A258" s="84" t="s">
        <v>1858</v>
      </c>
      <c r="B258" s="87">
        <v>2</v>
      </c>
      <c r="C258" s="111">
        <v>1.9583979595619782E-3</v>
      </c>
      <c r="D258" s="87" t="s">
        <v>1952</v>
      </c>
      <c r="E258" s="87" t="b">
        <v>1</v>
      </c>
      <c r="F258" s="87" t="b">
        <v>0</v>
      </c>
      <c r="G258" s="87" t="b">
        <v>0</v>
      </c>
    </row>
    <row r="259" spans="1:7" x14ac:dyDescent="0.25">
      <c r="A259" s="84" t="s">
        <v>1859</v>
      </c>
      <c r="B259" s="87">
        <v>2</v>
      </c>
      <c r="C259" s="111">
        <v>1.9583979595619782E-3</v>
      </c>
      <c r="D259" s="87" t="s">
        <v>1952</v>
      </c>
      <c r="E259" s="87" t="b">
        <v>0</v>
      </c>
      <c r="F259" s="87" t="b">
        <v>0</v>
      </c>
      <c r="G259" s="87" t="b">
        <v>0</v>
      </c>
    </row>
    <row r="260" spans="1:7" x14ac:dyDescent="0.25">
      <c r="A260" s="84" t="s">
        <v>334</v>
      </c>
      <c r="B260" s="87">
        <v>2</v>
      </c>
      <c r="C260" s="111">
        <v>1.9583979595619782E-3</v>
      </c>
      <c r="D260" s="87" t="s">
        <v>1952</v>
      </c>
      <c r="E260" s="87" t="b">
        <v>0</v>
      </c>
      <c r="F260" s="87" t="b">
        <v>0</v>
      </c>
      <c r="G260" s="87" t="b">
        <v>0</v>
      </c>
    </row>
    <row r="261" spans="1:7" x14ac:dyDescent="0.25">
      <c r="A261" s="84" t="s">
        <v>1860</v>
      </c>
      <c r="B261" s="87">
        <v>2</v>
      </c>
      <c r="C261" s="111">
        <v>1.9583979595619782E-3</v>
      </c>
      <c r="D261" s="87" t="s">
        <v>1952</v>
      </c>
      <c r="E261" s="87" t="b">
        <v>0</v>
      </c>
      <c r="F261" s="87" t="b">
        <v>0</v>
      </c>
      <c r="G261" s="87" t="b">
        <v>0</v>
      </c>
    </row>
    <row r="262" spans="1:7" x14ac:dyDescent="0.25">
      <c r="A262" s="84" t="s">
        <v>1861</v>
      </c>
      <c r="B262" s="87">
        <v>2</v>
      </c>
      <c r="C262" s="111">
        <v>1.9583979595619782E-3</v>
      </c>
      <c r="D262" s="87" t="s">
        <v>1952</v>
      </c>
      <c r="E262" s="87" t="b">
        <v>0</v>
      </c>
      <c r="F262" s="87" t="b">
        <v>0</v>
      </c>
      <c r="G262" s="87" t="b">
        <v>0</v>
      </c>
    </row>
    <row r="263" spans="1:7" x14ac:dyDescent="0.25">
      <c r="A263" s="84" t="s">
        <v>277</v>
      </c>
      <c r="B263" s="87">
        <v>2</v>
      </c>
      <c r="C263" s="111">
        <v>1.9583979595619782E-3</v>
      </c>
      <c r="D263" s="87" t="s">
        <v>1952</v>
      </c>
      <c r="E263" s="87" t="b">
        <v>0</v>
      </c>
      <c r="F263" s="87" t="b">
        <v>0</v>
      </c>
      <c r="G263" s="87" t="b">
        <v>0</v>
      </c>
    </row>
    <row r="264" spans="1:7" x14ac:dyDescent="0.25">
      <c r="A264" s="84" t="s">
        <v>1862</v>
      </c>
      <c r="B264" s="87">
        <v>2</v>
      </c>
      <c r="C264" s="111">
        <v>1.9583979595619782E-3</v>
      </c>
      <c r="D264" s="87" t="s">
        <v>1952</v>
      </c>
      <c r="E264" s="87" t="b">
        <v>0</v>
      </c>
      <c r="F264" s="87" t="b">
        <v>0</v>
      </c>
      <c r="G264" s="87" t="b">
        <v>0</v>
      </c>
    </row>
    <row r="265" spans="1:7" x14ac:dyDescent="0.25">
      <c r="A265" s="84" t="s">
        <v>1863</v>
      </c>
      <c r="B265" s="87">
        <v>2</v>
      </c>
      <c r="C265" s="111">
        <v>1.9583979595619782E-3</v>
      </c>
      <c r="D265" s="87" t="s">
        <v>1952</v>
      </c>
      <c r="E265" s="87" t="b">
        <v>0</v>
      </c>
      <c r="F265" s="87" t="b">
        <v>0</v>
      </c>
      <c r="G265" s="87" t="b">
        <v>0</v>
      </c>
    </row>
    <row r="266" spans="1:7" x14ac:dyDescent="0.25">
      <c r="A266" s="84" t="s">
        <v>1864</v>
      </c>
      <c r="B266" s="87">
        <v>2</v>
      </c>
      <c r="C266" s="111">
        <v>1.9583979595619782E-3</v>
      </c>
      <c r="D266" s="87" t="s">
        <v>1952</v>
      </c>
      <c r="E266" s="87" t="b">
        <v>0</v>
      </c>
      <c r="F266" s="87" t="b">
        <v>0</v>
      </c>
      <c r="G266" s="87" t="b">
        <v>0</v>
      </c>
    </row>
    <row r="267" spans="1:7" x14ac:dyDescent="0.25">
      <c r="A267" s="84" t="s">
        <v>1865</v>
      </c>
      <c r="B267" s="87">
        <v>2</v>
      </c>
      <c r="C267" s="111">
        <v>1.9583979595619782E-3</v>
      </c>
      <c r="D267" s="87" t="s">
        <v>1952</v>
      </c>
      <c r="E267" s="87" t="b">
        <v>0</v>
      </c>
      <c r="F267" s="87" t="b">
        <v>0</v>
      </c>
      <c r="G267" s="87" t="b">
        <v>0</v>
      </c>
    </row>
    <row r="268" spans="1:7" x14ac:dyDescent="0.25">
      <c r="A268" s="84" t="s">
        <v>1866</v>
      </c>
      <c r="B268" s="87">
        <v>2</v>
      </c>
      <c r="C268" s="111">
        <v>1.9583979595619782E-3</v>
      </c>
      <c r="D268" s="87" t="s">
        <v>1952</v>
      </c>
      <c r="E268" s="87" t="b">
        <v>0</v>
      </c>
      <c r="F268" s="87" t="b">
        <v>0</v>
      </c>
      <c r="G268" s="87" t="b">
        <v>0</v>
      </c>
    </row>
    <row r="269" spans="1:7" x14ac:dyDescent="0.25">
      <c r="A269" s="84" t="s">
        <v>1867</v>
      </c>
      <c r="B269" s="87">
        <v>2</v>
      </c>
      <c r="C269" s="111">
        <v>1.9583979595619782E-3</v>
      </c>
      <c r="D269" s="87" t="s">
        <v>1952</v>
      </c>
      <c r="E269" s="87" t="b">
        <v>0</v>
      </c>
      <c r="F269" s="87" t="b">
        <v>0</v>
      </c>
      <c r="G269" s="87" t="b">
        <v>0</v>
      </c>
    </row>
    <row r="270" spans="1:7" x14ac:dyDescent="0.25">
      <c r="A270" s="84" t="s">
        <v>1868</v>
      </c>
      <c r="B270" s="87">
        <v>2</v>
      </c>
      <c r="C270" s="111">
        <v>1.9583979595619782E-3</v>
      </c>
      <c r="D270" s="87" t="s">
        <v>1952</v>
      </c>
      <c r="E270" s="87" t="b">
        <v>0</v>
      </c>
      <c r="F270" s="87" t="b">
        <v>0</v>
      </c>
      <c r="G270" s="87" t="b">
        <v>0</v>
      </c>
    </row>
    <row r="271" spans="1:7" x14ac:dyDescent="0.25">
      <c r="A271" s="84" t="s">
        <v>354</v>
      </c>
      <c r="B271" s="87">
        <v>2</v>
      </c>
      <c r="C271" s="111">
        <v>1.9583979595619782E-3</v>
      </c>
      <c r="D271" s="87" t="s">
        <v>1952</v>
      </c>
      <c r="E271" s="87" t="b">
        <v>0</v>
      </c>
      <c r="F271" s="87" t="b">
        <v>0</v>
      </c>
      <c r="G271" s="87" t="b">
        <v>0</v>
      </c>
    </row>
    <row r="272" spans="1:7" x14ac:dyDescent="0.25">
      <c r="A272" s="84" t="s">
        <v>322</v>
      </c>
      <c r="B272" s="87">
        <v>2</v>
      </c>
      <c r="C272" s="111">
        <v>1.9583979595619782E-3</v>
      </c>
      <c r="D272" s="87" t="s">
        <v>1952</v>
      </c>
      <c r="E272" s="87" t="b">
        <v>0</v>
      </c>
      <c r="F272" s="87" t="b">
        <v>0</v>
      </c>
      <c r="G272" s="87" t="b">
        <v>0</v>
      </c>
    </row>
    <row r="273" spans="1:7" x14ac:dyDescent="0.25">
      <c r="A273" s="84" t="s">
        <v>488</v>
      </c>
      <c r="B273" s="87">
        <v>2</v>
      </c>
      <c r="C273" s="111">
        <v>2.2841879981593603E-3</v>
      </c>
      <c r="D273" s="87" t="s">
        <v>1952</v>
      </c>
      <c r="E273" s="87" t="b">
        <v>0</v>
      </c>
      <c r="F273" s="87" t="b">
        <v>0</v>
      </c>
      <c r="G273" s="87" t="b">
        <v>0</v>
      </c>
    </row>
    <row r="274" spans="1:7" x14ac:dyDescent="0.25">
      <c r="A274" s="84" t="s">
        <v>1869</v>
      </c>
      <c r="B274" s="87">
        <v>2</v>
      </c>
      <c r="C274" s="111">
        <v>1.9583979595619782E-3</v>
      </c>
      <c r="D274" s="87" t="s">
        <v>1952</v>
      </c>
      <c r="E274" s="87" t="b">
        <v>0</v>
      </c>
      <c r="F274" s="87" t="b">
        <v>0</v>
      </c>
      <c r="G274" s="87" t="b">
        <v>0</v>
      </c>
    </row>
    <row r="275" spans="1:7" x14ac:dyDescent="0.25">
      <c r="A275" s="84" t="s">
        <v>1870</v>
      </c>
      <c r="B275" s="87">
        <v>2</v>
      </c>
      <c r="C275" s="111">
        <v>1.9583979595619782E-3</v>
      </c>
      <c r="D275" s="87" t="s">
        <v>1952</v>
      </c>
      <c r="E275" s="87" t="b">
        <v>0</v>
      </c>
      <c r="F275" s="87" t="b">
        <v>0</v>
      </c>
      <c r="G275" s="87" t="b">
        <v>0</v>
      </c>
    </row>
    <row r="276" spans="1:7" x14ac:dyDescent="0.25">
      <c r="A276" s="84" t="s">
        <v>1871</v>
      </c>
      <c r="B276" s="87">
        <v>2</v>
      </c>
      <c r="C276" s="111">
        <v>1.9583979595619782E-3</v>
      </c>
      <c r="D276" s="87" t="s">
        <v>1952</v>
      </c>
      <c r="E276" s="87" t="b">
        <v>0</v>
      </c>
      <c r="F276" s="87" t="b">
        <v>0</v>
      </c>
      <c r="G276" s="87" t="b">
        <v>0</v>
      </c>
    </row>
    <row r="277" spans="1:7" x14ac:dyDescent="0.25">
      <c r="A277" s="84" t="s">
        <v>1872</v>
      </c>
      <c r="B277" s="87">
        <v>2</v>
      </c>
      <c r="C277" s="111">
        <v>1.9583979595619782E-3</v>
      </c>
      <c r="D277" s="87" t="s">
        <v>1952</v>
      </c>
      <c r="E277" s="87" t="b">
        <v>0</v>
      </c>
      <c r="F277" s="87" t="b">
        <v>0</v>
      </c>
      <c r="G277" s="87" t="b">
        <v>0</v>
      </c>
    </row>
    <row r="278" spans="1:7" x14ac:dyDescent="0.25">
      <c r="A278" s="84" t="s">
        <v>1873</v>
      </c>
      <c r="B278" s="87">
        <v>2</v>
      </c>
      <c r="C278" s="111">
        <v>1.9583979595619782E-3</v>
      </c>
      <c r="D278" s="87" t="s">
        <v>1952</v>
      </c>
      <c r="E278" s="87" t="b">
        <v>0</v>
      </c>
      <c r="F278" s="87" t="b">
        <v>0</v>
      </c>
      <c r="G278" s="87" t="b">
        <v>0</v>
      </c>
    </row>
    <row r="279" spans="1:7" x14ac:dyDescent="0.25">
      <c r="A279" s="84" t="s">
        <v>1874</v>
      </c>
      <c r="B279" s="87">
        <v>2</v>
      </c>
      <c r="C279" s="111">
        <v>1.9583979595619782E-3</v>
      </c>
      <c r="D279" s="87" t="s">
        <v>1952</v>
      </c>
      <c r="E279" s="87" t="b">
        <v>0</v>
      </c>
      <c r="F279" s="87" t="b">
        <v>0</v>
      </c>
      <c r="G279" s="87" t="b">
        <v>0</v>
      </c>
    </row>
    <row r="280" spans="1:7" x14ac:dyDescent="0.25">
      <c r="A280" s="84" t="s">
        <v>1875</v>
      </c>
      <c r="B280" s="87">
        <v>2</v>
      </c>
      <c r="C280" s="111">
        <v>1.9583979595619782E-3</v>
      </c>
      <c r="D280" s="87" t="s">
        <v>1952</v>
      </c>
      <c r="E280" s="87" t="b">
        <v>0</v>
      </c>
      <c r="F280" s="87" t="b">
        <v>0</v>
      </c>
      <c r="G280" s="87" t="b">
        <v>0</v>
      </c>
    </row>
    <row r="281" spans="1:7" x14ac:dyDescent="0.25">
      <c r="A281" s="84" t="s">
        <v>330</v>
      </c>
      <c r="B281" s="87">
        <v>2</v>
      </c>
      <c r="C281" s="111">
        <v>1.9583979595619782E-3</v>
      </c>
      <c r="D281" s="87" t="s">
        <v>1952</v>
      </c>
      <c r="E281" s="87" t="b">
        <v>0</v>
      </c>
      <c r="F281" s="87" t="b">
        <v>0</v>
      </c>
      <c r="G281" s="87" t="b">
        <v>0</v>
      </c>
    </row>
    <row r="282" spans="1:7" x14ac:dyDescent="0.25">
      <c r="A282" s="84" t="s">
        <v>1876</v>
      </c>
      <c r="B282" s="87">
        <v>2</v>
      </c>
      <c r="C282" s="111">
        <v>1.9583979595619782E-3</v>
      </c>
      <c r="D282" s="87" t="s">
        <v>1952</v>
      </c>
      <c r="E282" s="87" t="b">
        <v>0</v>
      </c>
      <c r="F282" s="87" t="b">
        <v>0</v>
      </c>
      <c r="G282" s="87" t="b">
        <v>0</v>
      </c>
    </row>
    <row r="283" spans="1:7" x14ac:dyDescent="0.25">
      <c r="A283" s="84" t="s">
        <v>1877</v>
      </c>
      <c r="B283" s="87">
        <v>2</v>
      </c>
      <c r="C283" s="111">
        <v>1.9583979595619782E-3</v>
      </c>
      <c r="D283" s="87" t="s">
        <v>1952</v>
      </c>
      <c r="E283" s="87" t="b">
        <v>0</v>
      </c>
      <c r="F283" s="87" t="b">
        <v>0</v>
      </c>
      <c r="G283" s="87" t="b">
        <v>0</v>
      </c>
    </row>
    <row r="284" spans="1:7" x14ac:dyDescent="0.25">
      <c r="A284" s="84" t="s">
        <v>1878</v>
      </c>
      <c r="B284" s="87">
        <v>2</v>
      </c>
      <c r="C284" s="111">
        <v>1.9583979595619782E-3</v>
      </c>
      <c r="D284" s="87" t="s">
        <v>1952</v>
      </c>
      <c r="E284" s="87" t="b">
        <v>0</v>
      </c>
      <c r="F284" s="87" t="b">
        <v>0</v>
      </c>
      <c r="G284" s="87" t="b">
        <v>0</v>
      </c>
    </row>
    <row r="285" spans="1:7" x14ac:dyDescent="0.25">
      <c r="A285" s="84" t="s">
        <v>1879</v>
      </c>
      <c r="B285" s="87">
        <v>2</v>
      </c>
      <c r="C285" s="111">
        <v>1.9583979595619782E-3</v>
      </c>
      <c r="D285" s="87" t="s">
        <v>1952</v>
      </c>
      <c r="E285" s="87" t="b">
        <v>0</v>
      </c>
      <c r="F285" s="87" t="b">
        <v>0</v>
      </c>
      <c r="G285" s="87" t="b">
        <v>0</v>
      </c>
    </row>
    <row r="286" spans="1:7" x14ac:dyDescent="0.25">
      <c r="A286" s="84" t="s">
        <v>1880</v>
      </c>
      <c r="B286" s="87">
        <v>2</v>
      </c>
      <c r="C286" s="111">
        <v>1.9583979595619782E-3</v>
      </c>
      <c r="D286" s="87" t="s">
        <v>1952</v>
      </c>
      <c r="E286" s="87" t="b">
        <v>0</v>
      </c>
      <c r="F286" s="87" t="b">
        <v>0</v>
      </c>
      <c r="G286" s="87" t="b">
        <v>0</v>
      </c>
    </row>
    <row r="287" spans="1:7" x14ac:dyDescent="0.25">
      <c r="A287" s="84" t="s">
        <v>1881</v>
      </c>
      <c r="B287" s="87">
        <v>2</v>
      </c>
      <c r="C287" s="111">
        <v>1.9583979595619782E-3</v>
      </c>
      <c r="D287" s="87" t="s">
        <v>1952</v>
      </c>
      <c r="E287" s="87" t="b">
        <v>0</v>
      </c>
      <c r="F287" s="87" t="b">
        <v>0</v>
      </c>
      <c r="G287" s="87" t="b">
        <v>0</v>
      </c>
    </row>
    <row r="288" spans="1:7" x14ac:dyDescent="0.25">
      <c r="A288" s="84" t="s">
        <v>1882</v>
      </c>
      <c r="B288" s="87">
        <v>2</v>
      </c>
      <c r="C288" s="111">
        <v>2.2841879981593603E-3</v>
      </c>
      <c r="D288" s="87" t="s">
        <v>1952</v>
      </c>
      <c r="E288" s="87" t="b">
        <v>0</v>
      </c>
      <c r="F288" s="87" t="b">
        <v>0</v>
      </c>
      <c r="G288" s="87" t="b">
        <v>0</v>
      </c>
    </row>
    <row r="289" spans="1:7" x14ac:dyDescent="0.25">
      <c r="A289" s="84" t="s">
        <v>356</v>
      </c>
      <c r="B289" s="87">
        <v>2</v>
      </c>
      <c r="C289" s="111">
        <v>1.9583979595619782E-3</v>
      </c>
      <c r="D289" s="87" t="s">
        <v>1952</v>
      </c>
      <c r="E289" s="87" t="b">
        <v>0</v>
      </c>
      <c r="F289" s="87" t="b">
        <v>0</v>
      </c>
      <c r="G289" s="87" t="b">
        <v>0</v>
      </c>
    </row>
    <row r="290" spans="1:7" x14ac:dyDescent="0.25">
      <c r="A290" s="84" t="s">
        <v>1883</v>
      </c>
      <c r="B290" s="87">
        <v>2</v>
      </c>
      <c r="C290" s="111">
        <v>1.9583979595619782E-3</v>
      </c>
      <c r="D290" s="87" t="s">
        <v>1952</v>
      </c>
      <c r="E290" s="87" t="b">
        <v>0</v>
      </c>
      <c r="F290" s="87" t="b">
        <v>0</v>
      </c>
      <c r="G290" s="87" t="b">
        <v>0</v>
      </c>
    </row>
    <row r="291" spans="1:7" x14ac:dyDescent="0.25">
      <c r="A291" s="84" t="s">
        <v>1884</v>
      </c>
      <c r="B291" s="87">
        <v>2</v>
      </c>
      <c r="C291" s="111">
        <v>1.9583979595619782E-3</v>
      </c>
      <c r="D291" s="87" t="s">
        <v>1952</v>
      </c>
      <c r="E291" s="87" t="b">
        <v>0</v>
      </c>
      <c r="F291" s="87" t="b">
        <v>0</v>
      </c>
      <c r="G291" s="87" t="b">
        <v>0</v>
      </c>
    </row>
    <row r="292" spans="1:7" x14ac:dyDescent="0.25">
      <c r="A292" s="84" t="s">
        <v>1885</v>
      </c>
      <c r="B292" s="87">
        <v>2</v>
      </c>
      <c r="C292" s="111">
        <v>1.9583979595619782E-3</v>
      </c>
      <c r="D292" s="87" t="s">
        <v>1952</v>
      </c>
      <c r="E292" s="87" t="b">
        <v>0</v>
      </c>
      <c r="F292" s="87" t="b">
        <v>0</v>
      </c>
      <c r="G292" s="87" t="b">
        <v>0</v>
      </c>
    </row>
    <row r="293" spans="1:7" x14ac:dyDescent="0.25">
      <c r="A293" s="84" t="s">
        <v>1886</v>
      </c>
      <c r="B293" s="87">
        <v>2</v>
      </c>
      <c r="C293" s="111">
        <v>1.9583979595619782E-3</v>
      </c>
      <c r="D293" s="87" t="s">
        <v>1952</v>
      </c>
      <c r="E293" s="87" t="b">
        <v>1</v>
      </c>
      <c r="F293" s="87" t="b">
        <v>0</v>
      </c>
      <c r="G293" s="87" t="b">
        <v>0</v>
      </c>
    </row>
    <row r="294" spans="1:7" x14ac:dyDescent="0.25">
      <c r="A294" s="84" t="s">
        <v>1887</v>
      </c>
      <c r="B294" s="87">
        <v>2</v>
      </c>
      <c r="C294" s="111">
        <v>1.9583979595619782E-3</v>
      </c>
      <c r="D294" s="87" t="s">
        <v>1952</v>
      </c>
      <c r="E294" s="87" t="b">
        <v>0</v>
      </c>
      <c r="F294" s="87" t="b">
        <v>0</v>
      </c>
      <c r="G294" s="87" t="b">
        <v>0</v>
      </c>
    </row>
    <row r="295" spans="1:7" x14ac:dyDescent="0.25">
      <c r="A295" s="84" t="s">
        <v>317</v>
      </c>
      <c r="B295" s="87">
        <v>2</v>
      </c>
      <c r="C295" s="111">
        <v>1.9583979595619782E-3</v>
      </c>
      <c r="D295" s="87" t="s">
        <v>1952</v>
      </c>
      <c r="E295" s="87" t="b">
        <v>0</v>
      </c>
      <c r="F295" s="87" t="b">
        <v>0</v>
      </c>
      <c r="G295" s="87" t="b">
        <v>0</v>
      </c>
    </row>
    <row r="296" spans="1:7" x14ac:dyDescent="0.25">
      <c r="A296" s="84" t="s">
        <v>1888</v>
      </c>
      <c r="B296" s="87">
        <v>2</v>
      </c>
      <c r="C296" s="111">
        <v>1.9583979595619782E-3</v>
      </c>
      <c r="D296" s="87" t="s">
        <v>1952</v>
      </c>
      <c r="E296" s="87" t="b">
        <v>0</v>
      </c>
      <c r="F296" s="87" t="b">
        <v>0</v>
      </c>
      <c r="G296" s="87" t="b">
        <v>0</v>
      </c>
    </row>
    <row r="297" spans="1:7" x14ac:dyDescent="0.25">
      <c r="A297" s="84" t="s">
        <v>1889</v>
      </c>
      <c r="B297" s="87">
        <v>2</v>
      </c>
      <c r="C297" s="111">
        <v>1.9583979595619782E-3</v>
      </c>
      <c r="D297" s="87" t="s">
        <v>1952</v>
      </c>
      <c r="E297" s="87" t="b">
        <v>0</v>
      </c>
      <c r="F297" s="87" t="b">
        <v>0</v>
      </c>
      <c r="G297" s="87" t="b">
        <v>0</v>
      </c>
    </row>
    <row r="298" spans="1:7" x14ac:dyDescent="0.25">
      <c r="A298" s="84" t="s">
        <v>1890</v>
      </c>
      <c r="B298" s="87">
        <v>2</v>
      </c>
      <c r="C298" s="111">
        <v>1.9583979595619782E-3</v>
      </c>
      <c r="D298" s="87" t="s">
        <v>1952</v>
      </c>
      <c r="E298" s="87" t="b">
        <v>0</v>
      </c>
      <c r="F298" s="87" t="b">
        <v>0</v>
      </c>
      <c r="G298" s="87" t="b">
        <v>0</v>
      </c>
    </row>
    <row r="299" spans="1:7" x14ac:dyDescent="0.25">
      <c r="A299" s="84" t="s">
        <v>1891</v>
      </c>
      <c r="B299" s="87">
        <v>2</v>
      </c>
      <c r="C299" s="111">
        <v>1.9583979595619782E-3</v>
      </c>
      <c r="D299" s="87" t="s">
        <v>1952</v>
      </c>
      <c r="E299" s="87" t="b">
        <v>0</v>
      </c>
      <c r="F299" s="87" t="b">
        <v>0</v>
      </c>
      <c r="G299" s="87" t="b">
        <v>0</v>
      </c>
    </row>
    <row r="300" spans="1:7" x14ac:dyDescent="0.25">
      <c r="A300" s="84" t="s">
        <v>1892</v>
      </c>
      <c r="B300" s="87">
        <v>2</v>
      </c>
      <c r="C300" s="111">
        <v>1.9583979595619782E-3</v>
      </c>
      <c r="D300" s="87" t="s">
        <v>1952</v>
      </c>
      <c r="E300" s="87" t="b">
        <v>0</v>
      </c>
      <c r="F300" s="87" t="b">
        <v>0</v>
      </c>
      <c r="G300" s="87" t="b">
        <v>0</v>
      </c>
    </row>
    <row r="301" spans="1:7" x14ac:dyDescent="0.25">
      <c r="A301" s="84" t="s">
        <v>1893</v>
      </c>
      <c r="B301" s="87">
        <v>2</v>
      </c>
      <c r="C301" s="111">
        <v>1.9583979595619782E-3</v>
      </c>
      <c r="D301" s="87" t="s">
        <v>1952</v>
      </c>
      <c r="E301" s="87" t="b">
        <v>0</v>
      </c>
      <c r="F301" s="87" t="b">
        <v>0</v>
      </c>
      <c r="G301" s="87" t="b">
        <v>0</v>
      </c>
    </row>
    <row r="302" spans="1:7" x14ac:dyDescent="0.25">
      <c r="A302" s="84" t="s">
        <v>357</v>
      </c>
      <c r="B302" s="87">
        <v>2</v>
      </c>
      <c r="C302" s="111">
        <v>1.9583979595619782E-3</v>
      </c>
      <c r="D302" s="87" t="s">
        <v>1952</v>
      </c>
      <c r="E302" s="87" t="b">
        <v>0</v>
      </c>
      <c r="F302" s="87" t="b">
        <v>0</v>
      </c>
      <c r="G302" s="87" t="b">
        <v>0</v>
      </c>
    </row>
    <row r="303" spans="1:7" x14ac:dyDescent="0.25">
      <c r="A303" s="84" t="s">
        <v>1894</v>
      </c>
      <c r="B303" s="87">
        <v>2</v>
      </c>
      <c r="C303" s="111">
        <v>1.9583979595619782E-3</v>
      </c>
      <c r="D303" s="87" t="s">
        <v>1952</v>
      </c>
      <c r="E303" s="87" t="b">
        <v>0</v>
      </c>
      <c r="F303" s="87" t="b">
        <v>0</v>
      </c>
      <c r="G303" s="87" t="b">
        <v>0</v>
      </c>
    </row>
    <row r="304" spans="1:7" x14ac:dyDescent="0.25">
      <c r="A304" s="84" t="s">
        <v>329</v>
      </c>
      <c r="B304" s="87">
        <v>2</v>
      </c>
      <c r="C304" s="111">
        <v>1.9583979595619782E-3</v>
      </c>
      <c r="D304" s="87" t="s">
        <v>1952</v>
      </c>
      <c r="E304" s="87" t="b">
        <v>0</v>
      </c>
      <c r="F304" s="87" t="b">
        <v>0</v>
      </c>
      <c r="G304" s="87" t="b">
        <v>0</v>
      </c>
    </row>
    <row r="305" spans="1:7" x14ac:dyDescent="0.25">
      <c r="A305" s="84" t="s">
        <v>1895</v>
      </c>
      <c r="B305" s="87">
        <v>2</v>
      </c>
      <c r="C305" s="111">
        <v>1.9583979595619782E-3</v>
      </c>
      <c r="D305" s="87" t="s">
        <v>1952</v>
      </c>
      <c r="E305" s="87" t="b">
        <v>0</v>
      </c>
      <c r="F305" s="87" t="b">
        <v>0</v>
      </c>
      <c r="G305" s="87" t="b">
        <v>0</v>
      </c>
    </row>
    <row r="306" spans="1:7" x14ac:dyDescent="0.25">
      <c r="A306" s="84" t="s">
        <v>1896</v>
      </c>
      <c r="B306" s="87">
        <v>2</v>
      </c>
      <c r="C306" s="111">
        <v>1.9583979595619782E-3</v>
      </c>
      <c r="D306" s="87" t="s">
        <v>1952</v>
      </c>
      <c r="E306" s="87" t="b">
        <v>0</v>
      </c>
      <c r="F306" s="87" t="b">
        <v>0</v>
      </c>
      <c r="G306" s="87" t="b">
        <v>0</v>
      </c>
    </row>
    <row r="307" spans="1:7" x14ac:dyDescent="0.25">
      <c r="A307" s="84" t="s">
        <v>1897</v>
      </c>
      <c r="B307" s="87">
        <v>2</v>
      </c>
      <c r="C307" s="111">
        <v>1.9583979595619782E-3</v>
      </c>
      <c r="D307" s="87" t="s">
        <v>1952</v>
      </c>
      <c r="E307" s="87" t="b">
        <v>0</v>
      </c>
      <c r="F307" s="87" t="b">
        <v>0</v>
      </c>
      <c r="G307" s="87" t="b">
        <v>0</v>
      </c>
    </row>
    <row r="308" spans="1:7" x14ac:dyDescent="0.25">
      <c r="A308" s="84" t="s">
        <v>1898</v>
      </c>
      <c r="B308" s="87">
        <v>2</v>
      </c>
      <c r="C308" s="111">
        <v>1.9583979595619782E-3</v>
      </c>
      <c r="D308" s="87" t="s">
        <v>1952</v>
      </c>
      <c r="E308" s="87" t="b">
        <v>1</v>
      </c>
      <c r="F308" s="87" t="b">
        <v>0</v>
      </c>
      <c r="G308" s="87" t="b">
        <v>0</v>
      </c>
    </row>
    <row r="309" spans="1:7" x14ac:dyDescent="0.25">
      <c r="A309" s="84" t="s">
        <v>1899</v>
      </c>
      <c r="B309" s="87">
        <v>2</v>
      </c>
      <c r="C309" s="111">
        <v>1.9583979595619782E-3</v>
      </c>
      <c r="D309" s="87" t="s">
        <v>1952</v>
      </c>
      <c r="E309" s="87" t="b">
        <v>0</v>
      </c>
      <c r="F309" s="87" t="b">
        <v>0</v>
      </c>
      <c r="G309" s="87" t="b">
        <v>0</v>
      </c>
    </row>
    <row r="310" spans="1:7" x14ac:dyDescent="0.25">
      <c r="A310" s="84" t="s">
        <v>1900</v>
      </c>
      <c r="B310" s="87">
        <v>2</v>
      </c>
      <c r="C310" s="111">
        <v>1.9583979595619782E-3</v>
      </c>
      <c r="D310" s="87" t="s">
        <v>1952</v>
      </c>
      <c r="E310" s="87" t="b">
        <v>0</v>
      </c>
      <c r="F310" s="87" t="b">
        <v>0</v>
      </c>
      <c r="G310" s="87" t="b">
        <v>0</v>
      </c>
    </row>
    <row r="311" spans="1:7" x14ac:dyDescent="0.25">
      <c r="A311" s="84" t="s">
        <v>1901</v>
      </c>
      <c r="B311" s="87">
        <v>2</v>
      </c>
      <c r="C311" s="111">
        <v>1.9583979595619782E-3</v>
      </c>
      <c r="D311" s="87" t="s">
        <v>1952</v>
      </c>
      <c r="E311" s="87" t="b">
        <v>0</v>
      </c>
      <c r="F311" s="87" t="b">
        <v>0</v>
      </c>
      <c r="G311" s="87" t="b">
        <v>0</v>
      </c>
    </row>
    <row r="312" spans="1:7" x14ac:dyDescent="0.25">
      <c r="A312" s="84" t="s">
        <v>1902</v>
      </c>
      <c r="B312" s="87">
        <v>2</v>
      </c>
      <c r="C312" s="111">
        <v>1.9583979595619782E-3</v>
      </c>
      <c r="D312" s="87" t="s">
        <v>1952</v>
      </c>
      <c r="E312" s="87" t="b">
        <v>0</v>
      </c>
      <c r="F312" s="87" t="b">
        <v>0</v>
      </c>
      <c r="G312" s="87" t="b">
        <v>0</v>
      </c>
    </row>
    <row r="313" spans="1:7" x14ac:dyDescent="0.25">
      <c r="A313" s="84" t="s">
        <v>1903</v>
      </c>
      <c r="B313" s="87">
        <v>2</v>
      </c>
      <c r="C313" s="111">
        <v>1.9583979595619782E-3</v>
      </c>
      <c r="D313" s="87" t="s">
        <v>1952</v>
      </c>
      <c r="E313" s="87" t="b">
        <v>0</v>
      </c>
      <c r="F313" s="87" t="b">
        <v>0</v>
      </c>
      <c r="G313" s="87" t="b">
        <v>0</v>
      </c>
    </row>
    <row r="314" spans="1:7" x14ac:dyDescent="0.25">
      <c r="A314" s="84" t="s">
        <v>1904</v>
      </c>
      <c r="B314" s="87">
        <v>2</v>
      </c>
      <c r="C314" s="111">
        <v>1.9583979595619782E-3</v>
      </c>
      <c r="D314" s="87" t="s">
        <v>1952</v>
      </c>
      <c r="E314" s="87" t="b">
        <v>0</v>
      </c>
      <c r="F314" s="87" t="b">
        <v>0</v>
      </c>
      <c r="G314" s="87" t="b">
        <v>0</v>
      </c>
    </row>
    <row r="315" spans="1:7" x14ac:dyDescent="0.25">
      <c r="A315" s="84" t="s">
        <v>1905</v>
      </c>
      <c r="B315" s="87">
        <v>2</v>
      </c>
      <c r="C315" s="111">
        <v>1.9583979595619782E-3</v>
      </c>
      <c r="D315" s="87" t="s">
        <v>1952</v>
      </c>
      <c r="E315" s="87" t="b">
        <v>0</v>
      </c>
      <c r="F315" s="87" t="b">
        <v>0</v>
      </c>
      <c r="G315" s="87" t="b">
        <v>0</v>
      </c>
    </row>
    <row r="316" spans="1:7" x14ac:dyDescent="0.25">
      <c r="A316" s="84" t="s">
        <v>1906</v>
      </c>
      <c r="B316" s="87">
        <v>2</v>
      </c>
      <c r="C316" s="111">
        <v>1.9583979595619782E-3</v>
      </c>
      <c r="D316" s="87" t="s">
        <v>1952</v>
      </c>
      <c r="E316" s="87" t="b">
        <v>0</v>
      </c>
      <c r="F316" s="87" t="b">
        <v>0</v>
      </c>
      <c r="G316" s="87" t="b">
        <v>0</v>
      </c>
    </row>
    <row r="317" spans="1:7" x14ac:dyDescent="0.25">
      <c r="A317" s="84" t="s">
        <v>1907</v>
      </c>
      <c r="B317" s="87">
        <v>2</v>
      </c>
      <c r="C317" s="111">
        <v>1.9583979595619782E-3</v>
      </c>
      <c r="D317" s="87" t="s">
        <v>1952</v>
      </c>
      <c r="E317" s="87" t="b">
        <v>0</v>
      </c>
      <c r="F317" s="87" t="b">
        <v>0</v>
      </c>
      <c r="G317" s="87" t="b">
        <v>0</v>
      </c>
    </row>
    <row r="318" spans="1:7" x14ac:dyDescent="0.25">
      <c r="A318" s="84" t="s">
        <v>1908</v>
      </c>
      <c r="B318" s="87">
        <v>2</v>
      </c>
      <c r="C318" s="111">
        <v>1.9583979595619782E-3</v>
      </c>
      <c r="D318" s="87" t="s">
        <v>1952</v>
      </c>
      <c r="E318" s="87" t="b">
        <v>0</v>
      </c>
      <c r="F318" s="87" t="b">
        <v>0</v>
      </c>
      <c r="G318" s="87" t="b">
        <v>0</v>
      </c>
    </row>
    <row r="319" spans="1:7" x14ac:dyDescent="0.25">
      <c r="A319" s="84" t="s">
        <v>1909</v>
      </c>
      <c r="B319" s="87">
        <v>2</v>
      </c>
      <c r="C319" s="111">
        <v>1.9583979595619782E-3</v>
      </c>
      <c r="D319" s="87" t="s">
        <v>1952</v>
      </c>
      <c r="E319" s="87" t="b">
        <v>0</v>
      </c>
      <c r="F319" s="87" t="b">
        <v>0</v>
      </c>
      <c r="G319" s="87" t="b">
        <v>0</v>
      </c>
    </row>
    <row r="320" spans="1:7" x14ac:dyDescent="0.25">
      <c r="A320" s="84" t="s">
        <v>1910</v>
      </c>
      <c r="B320" s="87">
        <v>2</v>
      </c>
      <c r="C320" s="111">
        <v>1.9583979595619782E-3</v>
      </c>
      <c r="D320" s="87" t="s">
        <v>1952</v>
      </c>
      <c r="E320" s="87" t="b">
        <v>0</v>
      </c>
      <c r="F320" s="87" t="b">
        <v>0</v>
      </c>
      <c r="G320" s="87" t="b">
        <v>0</v>
      </c>
    </row>
    <row r="321" spans="1:7" x14ac:dyDescent="0.25">
      <c r="A321" s="84" t="s">
        <v>351</v>
      </c>
      <c r="B321" s="87">
        <v>2</v>
      </c>
      <c r="C321" s="111">
        <v>1.9583979595619782E-3</v>
      </c>
      <c r="D321" s="87" t="s">
        <v>1952</v>
      </c>
      <c r="E321" s="87" t="b">
        <v>0</v>
      </c>
      <c r="F321" s="87" t="b">
        <v>0</v>
      </c>
      <c r="G321" s="87" t="b">
        <v>0</v>
      </c>
    </row>
    <row r="322" spans="1:7" x14ac:dyDescent="0.25">
      <c r="A322" s="84" t="s">
        <v>1911</v>
      </c>
      <c r="B322" s="87">
        <v>2</v>
      </c>
      <c r="C322" s="111">
        <v>1.9583979595619782E-3</v>
      </c>
      <c r="D322" s="87" t="s">
        <v>1952</v>
      </c>
      <c r="E322" s="87" t="b">
        <v>0</v>
      </c>
      <c r="F322" s="87" t="b">
        <v>0</v>
      </c>
      <c r="G322" s="87" t="b">
        <v>0</v>
      </c>
    </row>
    <row r="323" spans="1:7" x14ac:dyDescent="0.25">
      <c r="A323" s="84" t="s">
        <v>1912</v>
      </c>
      <c r="B323" s="87">
        <v>2</v>
      </c>
      <c r="C323" s="111">
        <v>1.9583979595619782E-3</v>
      </c>
      <c r="D323" s="87" t="s">
        <v>1952</v>
      </c>
      <c r="E323" s="87" t="b">
        <v>0</v>
      </c>
      <c r="F323" s="87" t="b">
        <v>0</v>
      </c>
      <c r="G323" s="87" t="b">
        <v>0</v>
      </c>
    </row>
    <row r="324" spans="1:7" x14ac:dyDescent="0.25">
      <c r="A324" s="84" t="s">
        <v>1913</v>
      </c>
      <c r="B324" s="87">
        <v>2</v>
      </c>
      <c r="C324" s="111">
        <v>1.9583979595619782E-3</v>
      </c>
      <c r="D324" s="87" t="s">
        <v>1952</v>
      </c>
      <c r="E324" s="87" t="b">
        <v>0</v>
      </c>
      <c r="F324" s="87" t="b">
        <v>0</v>
      </c>
      <c r="G324" s="87" t="b">
        <v>0</v>
      </c>
    </row>
    <row r="325" spans="1:7" x14ac:dyDescent="0.25">
      <c r="A325" s="84" t="s">
        <v>355</v>
      </c>
      <c r="B325" s="87">
        <v>2</v>
      </c>
      <c r="C325" s="111">
        <v>1.9583979595619782E-3</v>
      </c>
      <c r="D325" s="87" t="s">
        <v>1952</v>
      </c>
      <c r="E325" s="87" t="b">
        <v>0</v>
      </c>
      <c r="F325" s="87" t="b">
        <v>0</v>
      </c>
      <c r="G325" s="87" t="b">
        <v>0</v>
      </c>
    </row>
    <row r="326" spans="1:7" x14ac:dyDescent="0.25">
      <c r="A326" s="84" t="s">
        <v>332</v>
      </c>
      <c r="B326" s="87">
        <v>2</v>
      </c>
      <c r="C326" s="111">
        <v>1.9583979595619782E-3</v>
      </c>
      <c r="D326" s="87" t="s">
        <v>1952</v>
      </c>
      <c r="E326" s="87" t="b">
        <v>0</v>
      </c>
      <c r="F326" s="87" t="b">
        <v>0</v>
      </c>
      <c r="G326" s="87" t="b">
        <v>0</v>
      </c>
    </row>
    <row r="327" spans="1:7" x14ac:dyDescent="0.25">
      <c r="A327" s="84" t="s">
        <v>333</v>
      </c>
      <c r="B327" s="87">
        <v>2</v>
      </c>
      <c r="C327" s="111">
        <v>1.9583979595619782E-3</v>
      </c>
      <c r="D327" s="87" t="s">
        <v>1952</v>
      </c>
      <c r="E327" s="87" t="b">
        <v>0</v>
      </c>
      <c r="F327" s="87" t="b">
        <v>0</v>
      </c>
      <c r="G327" s="87" t="b">
        <v>0</v>
      </c>
    </row>
    <row r="328" spans="1:7" x14ac:dyDescent="0.25">
      <c r="A328" s="84" t="s">
        <v>1914</v>
      </c>
      <c r="B328" s="87">
        <v>2</v>
      </c>
      <c r="C328" s="111">
        <v>1.9583979595619782E-3</v>
      </c>
      <c r="D328" s="87" t="s">
        <v>1952</v>
      </c>
      <c r="E328" s="87" t="b">
        <v>0</v>
      </c>
      <c r="F328" s="87" t="b">
        <v>0</v>
      </c>
      <c r="G328" s="87" t="b">
        <v>0</v>
      </c>
    </row>
    <row r="329" spans="1:7" x14ac:dyDescent="0.25">
      <c r="A329" s="84" t="s">
        <v>1915</v>
      </c>
      <c r="B329" s="87">
        <v>2</v>
      </c>
      <c r="C329" s="111">
        <v>1.9583979595619782E-3</v>
      </c>
      <c r="D329" s="87" t="s">
        <v>1952</v>
      </c>
      <c r="E329" s="87" t="b">
        <v>0</v>
      </c>
      <c r="F329" s="87" t="b">
        <v>0</v>
      </c>
      <c r="G329" s="87" t="b">
        <v>0</v>
      </c>
    </row>
    <row r="330" spans="1:7" x14ac:dyDescent="0.25">
      <c r="A330" s="84" t="s">
        <v>1916</v>
      </c>
      <c r="B330" s="87">
        <v>2</v>
      </c>
      <c r="C330" s="111">
        <v>1.9583979595619782E-3</v>
      </c>
      <c r="D330" s="87" t="s">
        <v>1952</v>
      </c>
      <c r="E330" s="87" t="b">
        <v>0</v>
      </c>
      <c r="F330" s="87" t="b">
        <v>0</v>
      </c>
      <c r="G330" s="87" t="b">
        <v>0</v>
      </c>
    </row>
    <row r="331" spans="1:7" x14ac:dyDescent="0.25">
      <c r="A331" s="84" t="s">
        <v>1917</v>
      </c>
      <c r="B331" s="87">
        <v>2</v>
      </c>
      <c r="C331" s="111">
        <v>1.9583979595619782E-3</v>
      </c>
      <c r="D331" s="87" t="s">
        <v>1952</v>
      </c>
      <c r="E331" s="87" t="b">
        <v>0</v>
      </c>
      <c r="F331" s="87" t="b">
        <v>0</v>
      </c>
      <c r="G331" s="87" t="b">
        <v>0</v>
      </c>
    </row>
    <row r="332" spans="1:7" x14ac:dyDescent="0.25">
      <c r="A332" s="84" t="s">
        <v>1918</v>
      </c>
      <c r="B332" s="87">
        <v>2</v>
      </c>
      <c r="C332" s="111">
        <v>1.9583979595619782E-3</v>
      </c>
      <c r="D332" s="87" t="s">
        <v>1952</v>
      </c>
      <c r="E332" s="87" t="b">
        <v>0</v>
      </c>
      <c r="F332" s="87" t="b">
        <v>0</v>
      </c>
      <c r="G332" s="87" t="b">
        <v>0</v>
      </c>
    </row>
    <row r="333" spans="1:7" x14ac:dyDescent="0.25">
      <c r="A333" s="84" t="s">
        <v>1919</v>
      </c>
      <c r="B333" s="87">
        <v>2</v>
      </c>
      <c r="C333" s="111">
        <v>1.9583979595619782E-3</v>
      </c>
      <c r="D333" s="87" t="s">
        <v>1952</v>
      </c>
      <c r="E333" s="87" t="b">
        <v>0</v>
      </c>
      <c r="F333" s="87" t="b">
        <v>0</v>
      </c>
      <c r="G333" s="87" t="b">
        <v>0</v>
      </c>
    </row>
    <row r="334" spans="1:7" x14ac:dyDescent="0.25">
      <c r="A334" s="84" t="s">
        <v>1920</v>
      </c>
      <c r="B334" s="87">
        <v>2</v>
      </c>
      <c r="C334" s="111">
        <v>1.9583979595619782E-3</v>
      </c>
      <c r="D334" s="87" t="s">
        <v>1952</v>
      </c>
      <c r="E334" s="87" t="b">
        <v>0</v>
      </c>
      <c r="F334" s="87" t="b">
        <v>0</v>
      </c>
      <c r="G334" s="87" t="b">
        <v>0</v>
      </c>
    </row>
    <row r="335" spans="1:7" x14ac:dyDescent="0.25">
      <c r="A335" s="84" t="s">
        <v>1921</v>
      </c>
      <c r="B335" s="87">
        <v>2</v>
      </c>
      <c r="C335" s="111">
        <v>1.9583979595619782E-3</v>
      </c>
      <c r="D335" s="87" t="s">
        <v>1952</v>
      </c>
      <c r="E335" s="87" t="b">
        <v>0</v>
      </c>
      <c r="F335" s="87" t="b">
        <v>0</v>
      </c>
      <c r="G335" s="87" t="b">
        <v>0</v>
      </c>
    </row>
    <row r="336" spans="1:7" x14ac:dyDescent="0.25">
      <c r="A336" s="84" t="s">
        <v>1922</v>
      </c>
      <c r="B336" s="87">
        <v>2</v>
      </c>
      <c r="C336" s="111">
        <v>1.9583979595619782E-3</v>
      </c>
      <c r="D336" s="87" t="s">
        <v>1952</v>
      </c>
      <c r="E336" s="87" t="b">
        <v>1</v>
      </c>
      <c r="F336" s="87" t="b">
        <v>0</v>
      </c>
      <c r="G336" s="87" t="b">
        <v>0</v>
      </c>
    </row>
    <row r="337" spans="1:7" x14ac:dyDescent="0.25">
      <c r="A337" s="84" t="s">
        <v>1923</v>
      </c>
      <c r="B337" s="87">
        <v>2</v>
      </c>
      <c r="C337" s="111">
        <v>1.9583979595619782E-3</v>
      </c>
      <c r="D337" s="87" t="s">
        <v>1952</v>
      </c>
      <c r="E337" s="87" t="b">
        <v>0</v>
      </c>
      <c r="F337" s="87" t="b">
        <v>0</v>
      </c>
      <c r="G337" s="87" t="b">
        <v>0</v>
      </c>
    </row>
    <row r="338" spans="1:7" x14ac:dyDescent="0.25">
      <c r="A338" s="84" t="s">
        <v>1924</v>
      </c>
      <c r="B338" s="87">
        <v>2</v>
      </c>
      <c r="C338" s="111">
        <v>1.9583979595619782E-3</v>
      </c>
      <c r="D338" s="87" t="s">
        <v>1952</v>
      </c>
      <c r="E338" s="87" t="b">
        <v>0</v>
      </c>
      <c r="F338" s="87" t="b">
        <v>0</v>
      </c>
      <c r="G338" s="87" t="b">
        <v>0</v>
      </c>
    </row>
    <row r="339" spans="1:7" x14ac:dyDescent="0.25">
      <c r="A339" s="84" t="s">
        <v>248</v>
      </c>
      <c r="B339" s="87">
        <v>2</v>
      </c>
      <c r="C339" s="111">
        <v>1.9583979595619782E-3</v>
      </c>
      <c r="D339" s="87" t="s">
        <v>1952</v>
      </c>
      <c r="E339" s="87" t="b">
        <v>0</v>
      </c>
      <c r="F339" s="87" t="b">
        <v>0</v>
      </c>
      <c r="G339" s="87" t="b">
        <v>0</v>
      </c>
    </row>
    <row r="340" spans="1:7" x14ac:dyDescent="0.25">
      <c r="A340" s="84" t="s">
        <v>1925</v>
      </c>
      <c r="B340" s="87">
        <v>2</v>
      </c>
      <c r="C340" s="111">
        <v>1.9583979595619782E-3</v>
      </c>
      <c r="D340" s="87" t="s">
        <v>1952</v>
      </c>
      <c r="E340" s="87" t="b">
        <v>0</v>
      </c>
      <c r="F340" s="87" t="b">
        <v>0</v>
      </c>
      <c r="G340" s="87" t="b">
        <v>0</v>
      </c>
    </row>
    <row r="341" spans="1:7" x14ac:dyDescent="0.25">
      <c r="A341" s="84" t="s">
        <v>331</v>
      </c>
      <c r="B341" s="87">
        <v>2</v>
      </c>
      <c r="C341" s="111">
        <v>1.9583979595619782E-3</v>
      </c>
      <c r="D341" s="87" t="s">
        <v>1952</v>
      </c>
      <c r="E341" s="87" t="b">
        <v>0</v>
      </c>
      <c r="F341" s="87" t="b">
        <v>0</v>
      </c>
      <c r="G341" s="87" t="b">
        <v>0</v>
      </c>
    </row>
    <row r="342" spans="1:7" x14ac:dyDescent="0.25">
      <c r="A342" s="84" t="s">
        <v>1926</v>
      </c>
      <c r="B342" s="87">
        <v>2</v>
      </c>
      <c r="C342" s="111">
        <v>1.9583979595619782E-3</v>
      </c>
      <c r="D342" s="87" t="s">
        <v>1952</v>
      </c>
      <c r="E342" s="87" t="b">
        <v>1</v>
      </c>
      <c r="F342" s="87" t="b">
        <v>0</v>
      </c>
      <c r="G342" s="87" t="b">
        <v>0</v>
      </c>
    </row>
    <row r="343" spans="1:7" x14ac:dyDescent="0.25">
      <c r="A343" s="84" t="s">
        <v>1927</v>
      </c>
      <c r="B343" s="87">
        <v>2</v>
      </c>
      <c r="C343" s="111">
        <v>1.9583979595619782E-3</v>
      </c>
      <c r="D343" s="87" t="s">
        <v>1952</v>
      </c>
      <c r="E343" s="87" t="b">
        <v>0</v>
      </c>
      <c r="F343" s="87" t="b">
        <v>0</v>
      </c>
      <c r="G343" s="87" t="b">
        <v>0</v>
      </c>
    </row>
    <row r="344" spans="1:7" x14ac:dyDescent="0.25">
      <c r="A344" s="84" t="s">
        <v>1928</v>
      </c>
      <c r="B344" s="87">
        <v>2</v>
      </c>
      <c r="C344" s="111">
        <v>1.9583979595619782E-3</v>
      </c>
      <c r="D344" s="87" t="s">
        <v>1952</v>
      </c>
      <c r="E344" s="87" t="b">
        <v>0</v>
      </c>
      <c r="F344" s="87" t="b">
        <v>0</v>
      </c>
      <c r="G344" s="87" t="b">
        <v>0</v>
      </c>
    </row>
    <row r="345" spans="1:7" x14ac:dyDescent="0.25">
      <c r="A345" s="84" t="s">
        <v>1929</v>
      </c>
      <c r="B345" s="87">
        <v>2</v>
      </c>
      <c r="C345" s="111">
        <v>1.9583979595619782E-3</v>
      </c>
      <c r="D345" s="87" t="s">
        <v>1952</v>
      </c>
      <c r="E345" s="87" t="b">
        <v>0</v>
      </c>
      <c r="F345" s="87" t="b">
        <v>0</v>
      </c>
      <c r="G345" s="87" t="b">
        <v>0</v>
      </c>
    </row>
    <row r="346" spans="1:7" x14ac:dyDescent="0.25">
      <c r="A346" s="84" t="s">
        <v>309</v>
      </c>
      <c r="B346" s="87">
        <v>2</v>
      </c>
      <c r="C346" s="111">
        <v>1.9583979595619782E-3</v>
      </c>
      <c r="D346" s="87" t="s">
        <v>1952</v>
      </c>
      <c r="E346" s="87" t="b">
        <v>0</v>
      </c>
      <c r="F346" s="87" t="b">
        <v>0</v>
      </c>
      <c r="G346" s="87" t="b">
        <v>0</v>
      </c>
    </row>
    <row r="347" spans="1:7" x14ac:dyDescent="0.25">
      <c r="A347" s="84" t="s">
        <v>1930</v>
      </c>
      <c r="B347" s="87">
        <v>2</v>
      </c>
      <c r="C347" s="111">
        <v>1.9583979595619782E-3</v>
      </c>
      <c r="D347" s="87" t="s">
        <v>1952</v>
      </c>
      <c r="E347" s="87" t="b">
        <v>0</v>
      </c>
      <c r="F347" s="87" t="b">
        <v>0</v>
      </c>
      <c r="G347" s="87" t="b">
        <v>0</v>
      </c>
    </row>
    <row r="348" spans="1:7" x14ac:dyDescent="0.25">
      <c r="A348" s="84" t="s">
        <v>1931</v>
      </c>
      <c r="B348" s="87">
        <v>2</v>
      </c>
      <c r="C348" s="111">
        <v>1.9583979595619782E-3</v>
      </c>
      <c r="D348" s="87" t="s">
        <v>1952</v>
      </c>
      <c r="E348" s="87" t="b">
        <v>0</v>
      </c>
      <c r="F348" s="87" t="b">
        <v>0</v>
      </c>
      <c r="G348" s="87" t="b">
        <v>0</v>
      </c>
    </row>
    <row r="349" spans="1:7" x14ac:dyDescent="0.25">
      <c r="A349" s="84" t="s">
        <v>1932</v>
      </c>
      <c r="B349" s="87">
        <v>2</v>
      </c>
      <c r="C349" s="111">
        <v>1.9583979595619782E-3</v>
      </c>
      <c r="D349" s="87" t="s">
        <v>1952</v>
      </c>
      <c r="E349" s="87" t="b">
        <v>0</v>
      </c>
      <c r="F349" s="87" t="b">
        <v>0</v>
      </c>
      <c r="G349" s="87" t="b">
        <v>0</v>
      </c>
    </row>
    <row r="350" spans="1:7" x14ac:dyDescent="0.25">
      <c r="A350" s="84" t="s">
        <v>1933</v>
      </c>
      <c r="B350" s="87">
        <v>2</v>
      </c>
      <c r="C350" s="111">
        <v>1.9583979595619782E-3</v>
      </c>
      <c r="D350" s="87" t="s">
        <v>1952</v>
      </c>
      <c r="E350" s="87" t="b">
        <v>0</v>
      </c>
      <c r="F350" s="87" t="b">
        <v>0</v>
      </c>
      <c r="G350" s="87" t="b">
        <v>0</v>
      </c>
    </row>
    <row r="351" spans="1:7" x14ac:dyDescent="0.25">
      <c r="A351" s="84" t="s">
        <v>1934</v>
      </c>
      <c r="B351" s="87">
        <v>2</v>
      </c>
      <c r="C351" s="111">
        <v>1.9583979595619782E-3</v>
      </c>
      <c r="D351" s="87" t="s">
        <v>1952</v>
      </c>
      <c r="E351" s="87" t="b">
        <v>0</v>
      </c>
      <c r="F351" s="87" t="b">
        <v>0</v>
      </c>
      <c r="G351" s="87" t="b">
        <v>0</v>
      </c>
    </row>
    <row r="352" spans="1:7" x14ac:dyDescent="0.25">
      <c r="A352" s="84" t="s">
        <v>1935</v>
      </c>
      <c r="B352" s="87">
        <v>2</v>
      </c>
      <c r="C352" s="111">
        <v>1.9583979595619782E-3</v>
      </c>
      <c r="D352" s="87" t="s">
        <v>1952</v>
      </c>
      <c r="E352" s="87" t="b">
        <v>1</v>
      </c>
      <c r="F352" s="87" t="b">
        <v>0</v>
      </c>
      <c r="G352" s="87" t="b">
        <v>0</v>
      </c>
    </row>
    <row r="353" spans="1:7" x14ac:dyDescent="0.25">
      <c r="A353" s="84" t="s">
        <v>1936</v>
      </c>
      <c r="B353" s="87">
        <v>2</v>
      </c>
      <c r="C353" s="111">
        <v>1.9583979595619782E-3</v>
      </c>
      <c r="D353" s="87" t="s">
        <v>1952</v>
      </c>
      <c r="E353" s="87" t="b">
        <v>0</v>
      </c>
      <c r="F353" s="87" t="b">
        <v>0</v>
      </c>
      <c r="G353" s="87" t="b">
        <v>0</v>
      </c>
    </row>
    <row r="354" spans="1:7" x14ac:dyDescent="0.25">
      <c r="A354" s="84" t="s">
        <v>1937</v>
      </c>
      <c r="B354" s="87">
        <v>2</v>
      </c>
      <c r="C354" s="111">
        <v>1.9583979595619782E-3</v>
      </c>
      <c r="D354" s="87" t="s">
        <v>1952</v>
      </c>
      <c r="E354" s="87" t="b">
        <v>0</v>
      </c>
      <c r="F354" s="87" t="b">
        <v>0</v>
      </c>
      <c r="G354" s="87" t="b">
        <v>0</v>
      </c>
    </row>
    <row r="355" spans="1:7" x14ac:dyDescent="0.25">
      <c r="A355" s="84" t="s">
        <v>1938</v>
      </c>
      <c r="B355" s="87">
        <v>2</v>
      </c>
      <c r="C355" s="111">
        <v>2.2841879981593603E-3</v>
      </c>
      <c r="D355" s="87" t="s">
        <v>1952</v>
      </c>
      <c r="E355" s="87" t="b">
        <v>0</v>
      </c>
      <c r="F355" s="87" t="b">
        <v>0</v>
      </c>
      <c r="G355" s="87" t="b">
        <v>0</v>
      </c>
    </row>
    <row r="356" spans="1:7" x14ac:dyDescent="0.25">
      <c r="A356" s="84" t="s">
        <v>1939</v>
      </c>
      <c r="B356" s="87">
        <v>2</v>
      </c>
      <c r="C356" s="111">
        <v>1.9583979595619782E-3</v>
      </c>
      <c r="D356" s="87" t="s">
        <v>1952</v>
      </c>
      <c r="E356" s="87" t="b">
        <v>0</v>
      </c>
      <c r="F356" s="87" t="b">
        <v>0</v>
      </c>
      <c r="G356" s="87" t="b">
        <v>0</v>
      </c>
    </row>
    <row r="357" spans="1:7" x14ac:dyDescent="0.25">
      <c r="A357" s="84" t="s">
        <v>1940</v>
      </c>
      <c r="B357" s="87">
        <v>2</v>
      </c>
      <c r="C357" s="111">
        <v>1.9583979595619782E-3</v>
      </c>
      <c r="D357" s="87" t="s">
        <v>1952</v>
      </c>
      <c r="E357" s="87" t="b">
        <v>0</v>
      </c>
      <c r="F357" s="87" t="b">
        <v>0</v>
      </c>
      <c r="G357" s="87" t="b">
        <v>0</v>
      </c>
    </row>
    <row r="358" spans="1:7" x14ac:dyDescent="0.25">
      <c r="A358" s="84" t="s">
        <v>294</v>
      </c>
      <c r="B358" s="87">
        <v>2</v>
      </c>
      <c r="C358" s="111">
        <v>1.9583979595619782E-3</v>
      </c>
      <c r="D358" s="87" t="s">
        <v>1952</v>
      </c>
      <c r="E358" s="87" t="b">
        <v>0</v>
      </c>
      <c r="F358" s="87" t="b">
        <v>0</v>
      </c>
      <c r="G358" s="87" t="b">
        <v>0</v>
      </c>
    </row>
    <row r="359" spans="1:7" x14ac:dyDescent="0.25">
      <c r="A359" s="84" t="s">
        <v>1941</v>
      </c>
      <c r="B359" s="87">
        <v>2</v>
      </c>
      <c r="C359" s="111">
        <v>1.9583979595619782E-3</v>
      </c>
      <c r="D359" s="87" t="s">
        <v>1952</v>
      </c>
      <c r="E359" s="87" t="b">
        <v>0</v>
      </c>
      <c r="F359" s="87" t="b">
        <v>0</v>
      </c>
      <c r="G359" s="87" t="b">
        <v>0</v>
      </c>
    </row>
    <row r="360" spans="1:7" x14ac:dyDescent="0.25">
      <c r="A360" s="84" t="s">
        <v>1942</v>
      </c>
      <c r="B360" s="87">
        <v>2</v>
      </c>
      <c r="C360" s="111">
        <v>1.9583979595619782E-3</v>
      </c>
      <c r="D360" s="87" t="s">
        <v>1952</v>
      </c>
      <c r="E360" s="87" t="b">
        <v>0</v>
      </c>
      <c r="F360" s="87" t="b">
        <v>0</v>
      </c>
      <c r="G360" s="87" t="b">
        <v>0</v>
      </c>
    </row>
    <row r="361" spans="1:7" x14ac:dyDescent="0.25">
      <c r="A361" s="84" t="s">
        <v>1943</v>
      </c>
      <c r="B361" s="87">
        <v>2</v>
      </c>
      <c r="C361" s="111">
        <v>1.9583979595619782E-3</v>
      </c>
      <c r="D361" s="87" t="s">
        <v>1952</v>
      </c>
      <c r="E361" s="87" t="b">
        <v>0</v>
      </c>
      <c r="F361" s="87" t="b">
        <v>0</v>
      </c>
      <c r="G361" s="87" t="b">
        <v>0</v>
      </c>
    </row>
    <row r="362" spans="1:7" x14ac:dyDescent="0.25">
      <c r="A362" s="84" t="s">
        <v>1944</v>
      </c>
      <c r="B362" s="87">
        <v>2</v>
      </c>
      <c r="C362" s="111">
        <v>1.9583979595619782E-3</v>
      </c>
      <c r="D362" s="87" t="s">
        <v>1952</v>
      </c>
      <c r="E362" s="87" t="b">
        <v>0</v>
      </c>
      <c r="F362" s="87" t="b">
        <v>0</v>
      </c>
      <c r="G362" s="87" t="b">
        <v>0</v>
      </c>
    </row>
    <row r="363" spans="1:7" x14ac:dyDescent="0.25">
      <c r="A363" s="84" t="s">
        <v>1945</v>
      </c>
      <c r="B363" s="87">
        <v>2</v>
      </c>
      <c r="C363" s="111">
        <v>1.9583979595619782E-3</v>
      </c>
      <c r="D363" s="87" t="s">
        <v>1952</v>
      </c>
      <c r="E363" s="87" t="b">
        <v>1</v>
      </c>
      <c r="F363" s="87" t="b">
        <v>0</v>
      </c>
      <c r="G363" s="87" t="b">
        <v>0</v>
      </c>
    </row>
    <row r="364" spans="1:7" x14ac:dyDescent="0.25">
      <c r="A364" s="84" t="s">
        <v>1946</v>
      </c>
      <c r="B364" s="87">
        <v>2</v>
      </c>
      <c r="C364" s="111">
        <v>1.9583979595619782E-3</v>
      </c>
      <c r="D364" s="87" t="s">
        <v>1952</v>
      </c>
      <c r="E364" s="87" t="b">
        <v>1</v>
      </c>
      <c r="F364" s="87" t="b">
        <v>0</v>
      </c>
      <c r="G364" s="87" t="b">
        <v>0</v>
      </c>
    </row>
    <row r="365" spans="1:7" x14ac:dyDescent="0.25">
      <c r="A365" s="84" t="s">
        <v>268</v>
      </c>
      <c r="B365" s="87">
        <v>15</v>
      </c>
      <c r="C365" s="111">
        <v>1.229843238395799E-2</v>
      </c>
      <c r="D365" s="87" t="s">
        <v>1600</v>
      </c>
      <c r="E365" s="87" t="b">
        <v>0</v>
      </c>
      <c r="F365" s="87" t="b">
        <v>0</v>
      </c>
      <c r="G365" s="87" t="b">
        <v>0</v>
      </c>
    </row>
    <row r="366" spans="1:7" x14ac:dyDescent="0.25">
      <c r="A366" s="84" t="s">
        <v>249</v>
      </c>
      <c r="B366" s="87">
        <v>13</v>
      </c>
      <c r="C366" s="111">
        <v>1.7380970405646911E-2</v>
      </c>
      <c r="D366" s="87" t="s">
        <v>1600</v>
      </c>
      <c r="E366" s="87" t="b">
        <v>0</v>
      </c>
      <c r="F366" s="87" t="b">
        <v>0</v>
      </c>
      <c r="G366" s="87" t="b">
        <v>0</v>
      </c>
    </row>
    <row r="367" spans="1:7" x14ac:dyDescent="0.25">
      <c r="A367" s="84" t="s">
        <v>1646</v>
      </c>
      <c r="B367" s="87">
        <v>8</v>
      </c>
      <c r="C367" s="111">
        <v>1.5819896607902856E-2</v>
      </c>
      <c r="D367" s="87" t="s">
        <v>1600</v>
      </c>
      <c r="E367" s="87" t="b">
        <v>0</v>
      </c>
      <c r="F367" s="87" t="b">
        <v>0</v>
      </c>
      <c r="G367" s="87" t="b">
        <v>0</v>
      </c>
    </row>
    <row r="368" spans="1:7" x14ac:dyDescent="0.25">
      <c r="A368" s="84" t="s">
        <v>1641</v>
      </c>
      <c r="B368" s="87">
        <v>8</v>
      </c>
      <c r="C368" s="111">
        <v>1.2822598581423175E-2</v>
      </c>
      <c r="D368" s="87" t="s">
        <v>1600</v>
      </c>
      <c r="E368" s="87" t="b">
        <v>1</v>
      </c>
      <c r="F368" s="87" t="b">
        <v>0</v>
      </c>
      <c r="G368" s="87" t="b">
        <v>0</v>
      </c>
    </row>
    <row r="369" spans="1:7" x14ac:dyDescent="0.25">
      <c r="A369" s="84" t="s">
        <v>1640</v>
      </c>
      <c r="B369" s="87">
        <v>6</v>
      </c>
      <c r="C369" s="111">
        <v>9.61694893606738E-3</v>
      </c>
      <c r="D369" s="87" t="s">
        <v>1600</v>
      </c>
      <c r="E369" s="87" t="b">
        <v>0</v>
      </c>
      <c r="F369" s="87" t="b">
        <v>0</v>
      </c>
      <c r="G369" s="87" t="b">
        <v>0</v>
      </c>
    </row>
    <row r="370" spans="1:7" x14ac:dyDescent="0.25">
      <c r="A370" s="84" t="s">
        <v>1686</v>
      </c>
      <c r="B370" s="87">
        <v>5</v>
      </c>
      <c r="C370" s="111">
        <v>1.1216570875772262E-2</v>
      </c>
      <c r="D370" s="87" t="s">
        <v>1600</v>
      </c>
      <c r="E370" s="87" t="b">
        <v>0</v>
      </c>
      <c r="F370" s="87" t="b">
        <v>0</v>
      </c>
      <c r="G370" s="87" t="b">
        <v>0</v>
      </c>
    </row>
    <row r="371" spans="1:7" x14ac:dyDescent="0.25">
      <c r="A371" s="84" t="s">
        <v>243</v>
      </c>
      <c r="B371" s="87">
        <v>5</v>
      </c>
      <c r="C371" s="111">
        <v>9.8874353799392849E-3</v>
      </c>
      <c r="D371" s="87" t="s">
        <v>1600</v>
      </c>
      <c r="E371" s="87" t="b">
        <v>0</v>
      </c>
      <c r="F371" s="87" t="b">
        <v>0</v>
      </c>
      <c r="G371" s="87" t="b">
        <v>0</v>
      </c>
    </row>
    <row r="372" spans="1:7" x14ac:dyDescent="0.25">
      <c r="A372" s="84" t="s">
        <v>275</v>
      </c>
      <c r="B372" s="87">
        <v>5</v>
      </c>
      <c r="C372" s="111">
        <v>8.8564777947471949E-3</v>
      </c>
      <c r="D372" s="87" t="s">
        <v>1600</v>
      </c>
      <c r="E372" s="87" t="b">
        <v>0</v>
      </c>
      <c r="F372" s="87" t="b">
        <v>0</v>
      </c>
      <c r="G372" s="87" t="b">
        <v>0</v>
      </c>
    </row>
    <row r="373" spans="1:7" x14ac:dyDescent="0.25">
      <c r="A373" s="84" t="s">
        <v>1695</v>
      </c>
      <c r="B373" s="87">
        <v>5</v>
      </c>
      <c r="C373" s="111">
        <v>1.1216570875772262E-2</v>
      </c>
      <c r="D373" s="87" t="s">
        <v>1600</v>
      </c>
      <c r="E373" s="87" t="b">
        <v>1</v>
      </c>
      <c r="F373" s="87" t="b">
        <v>0</v>
      </c>
      <c r="G373" s="87" t="b">
        <v>0</v>
      </c>
    </row>
    <row r="374" spans="1:7" x14ac:dyDescent="0.25">
      <c r="A374" s="84" t="s">
        <v>1648</v>
      </c>
      <c r="B374" s="87">
        <v>4</v>
      </c>
      <c r="C374" s="111">
        <v>7.9099483039514282E-3</v>
      </c>
      <c r="D374" s="87" t="s">
        <v>1600</v>
      </c>
      <c r="E374" s="87" t="b">
        <v>0</v>
      </c>
      <c r="F374" s="87" t="b">
        <v>0</v>
      </c>
      <c r="G374" s="87" t="b">
        <v>0</v>
      </c>
    </row>
    <row r="375" spans="1:7" x14ac:dyDescent="0.25">
      <c r="A375" s="84" t="s">
        <v>1665</v>
      </c>
      <c r="B375" s="87">
        <v>4</v>
      </c>
      <c r="C375" s="111">
        <v>7.9099483039514282E-3</v>
      </c>
      <c r="D375" s="87" t="s">
        <v>1600</v>
      </c>
      <c r="E375" s="87" t="b">
        <v>0</v>
      </c>
      <c r="F375" s="87" t="b">
        <v>0</v>
      </c>
      <c r="G375" s="87" t="b">
        <v>0</v>
      </c>
    </row>
    <row r="376" spans="1:7" x14ac:dyDescent="0.25">
      <c r="A376" s="84" t="s">
        <v>1673</v>
      </c>
      <c r="B376" s="87">
        <v>4</v>
      </c>
      <c r="C376" s="111">
        <v>7.9099483039514282E-3</v>
      </c>
      <c r="D376" s="87" t="s">
        <v>1600</v>
      </c>
      <c r="E376" s="87" t="b">
        <v>0</v>
      </c>
      <c r="F376" s="87" t="b">
        <v>0</v>
      </c>
      <c r="G376" s="87" t="b">
        <v>0</v>
      </c>
    </row>
    <row r="377" spans="1:7" x14ac:dyDescent="0.25">
      <c r="A377" s="84" t="s">
        <v>1658</v>
      </c>
      <c r="B377" s="87">
        <v>4</v>
      </c>
      <c r="C377" s="111">
        <v>7.9099483039514282E-3</v>
      </c>
      <c r="D377" s="87" t="s">
        <v>1600</v>
      </c>
      <c r="E377" s="87" t="b">
        <v>0</v>
      </c>
      <c r="F377" s="87" t="b">
        <v>0</v>
      </c>
      <c r="G377" s="87" t="b">
        <v>0</v>
      </c>
    </row>
    <row r="378" spans="1:7" x14ac:dyDescent="0.25">
      <c r="A378" s="84" t="s">
        <v>1659</v>
      </c>
      <c r="B378" s="87">
        <v>3</v>
      </c>
      <c r="C378" s="111">
        <v>6.7299425254633578E-3</v>
      </c>
      <c r="D378" s="87" t="s">
        <v>1600</v>
      </c>
      <c r="E378" s="87" t="b">
        <v>0</v>
      </c>
      <c r="F378" s="87" t="b">
        <v>0</v>
      </c>
      <c r="G378" s="87" t="b">
        <v>0</v>
      </c>
    </row>
    <row r="379" spans="1:7" x14ac:dyDescent="0.25">
      <c r="A379" s="84" t="s">
        <v>1649</v>
      </c>
      <c r="B379" s="87">
        <v>3</v>
      </c>
      <c r="C379" s="111">
        <v>6.7299425254633578E-3</v>
      </c>
      <c r="D379" s="87" t="s">
        <v>1600</v>
      </c>
      <c r="E379" s="87" t="b">
        <v>0</v>
      </c>
      <c r="F379" s="87" t="b">
        <v>0</v>
      </c>
      <c r="G379" s="87" t="b">
        <v>0</v>
      </c>
    </row>
    <row r="380" spans="1:7" x14ac:dyDescent="0.25">
      <c r="A380" s="84" t="s">
        <v>1804</v>
      </c>
      <c r="B380" s="87">
        <v>3</v>
      </c>
      <c r="C380" s="111">
        <v>6.7299425254633578E-3</v>
      </c>
      <c r="D380" s="87" t="s">
        <v>1600</v>
      </c>
      <c r="E380" s="87" t="b">
        <v>0</v>
      </c>
      <c r="F380" s="87" t="b">
        <v>0</v>
      </c>
      <c r="G380" s="87" t="b">
        <v>0</v>
      </c>
    </row>
    <row r="381" spans="1:7" x14ac:dyDescent="0.25">
      <c r="A381" s="84" t="s">
        <v>1780</v>
      </c>
      <c r="B381" s="87">
        <v>3</v>
      </c>
      <c r="C381" s="111">
        <v>6.7299425254633578E-3</v>
      </c>
      <c r="D381" s="87" t="s">
        <v>1600</v>
      </c>
      <c r="E381" s="87" t="b">
        <v>0</v>
      </c>
      <c r="F381" s="87" t="b">
        <v>0</v>
      </c>
      <c r="G381" s="87" t="b">
        <v>0</v>
      </c>
    </row>
    <row r="382" spans="1:7" x14ac:dyDescent="0.25">
      <c r="A382" s="84" t="s">
        <v>350</v>
      </c>
      <c r="B382" s="87">
        <v>3</v>
      </c>
      <c r="C382" s="111">
        <v>6.7299425254633578E-3</v>
      </c>
      <c r="D382" s="87" t="s">
        <v>1600</v>
      </c>
      <c r="E382" s="87" t="b">
        <v>0</v>
      </c>
      <c r="F382" s="87" t="b">
        <v>0</v>
      </c>
      <c r="G382" s="87" t="b">
        <v>0</v>
      </c>
    </row>
    <row r="383" spans="1:7" x14ac:dyDescent="0.25">
      <c r="A383" s="84" t="s">
        <v>1807</v>
      </c>
      <c r="B383" s="87">
        <v>3</v>
      </c>
      <c r="C383" s="111">
        <v>6.7299425254633578E-3</v>
      </c>
      <c r="D383" s="87" t="s">
        <v>1600</v>
      </c>
      <c r="E383" s="87" t="b">
        <v>0</v>
      </c>
      <c r="F383" s="87" t="b">
        <v>0</v>
      </c>
      <c r="G383" s="87" t="b">
        <v>0</v>
      </c>
    </row>
    <row r="384" spans="1:7" x14ac:dyDescent="0.25">
      <c r="A384" s="84" t="s">
        <v>1644</v>
      </c>
      <c r="B384" s="87">
        <v>3</v>
      </c>
      <c r="C384" s="111">
        <v>6.7299425254633578E-3</v>
      </c>
      <c r="D384" s="87" t="s">
        <v>1600</v>
      </c>
      <c r="E384" s="87" t="b">
        <v>0</v>
      </c>
      <c r="F384" s="87" t="b">
        <v>0</v>
      </c>
      <c r="G384" s="87" t="b">
        <v>0</v>
      </c>
    </row>
    <row r="385" spans="1:7" x14ac:dyDescent="0.25">
      <c r="A385" s="84" t="s">
        <v>1674</v>
      </c>
      <c r="B385" s="87">
        <v>3</v>
      </c>
      <c r="C385" s="111">
        <v>6.7299425254633578E-3</v>
      </c>
      <c r="D385" s="87" t="s">
        <v>1600</v>
      </c>
      <c r="E385" s="87" t="b">
        <v>0</v>
      </c>
      <c r="F385" s="87" t="b">
        <v>0</v>
      </c>
      <c r="G385" s="87" t="b">
        <v>0</v>
      </c>
    </row>
    <row r="386" spans="1:7" x14ac:dyDescent="0.25">
      <c r="A386" s="84" t="s">
        <v>1657</v>
      </c>
      <c r="B386" s="87">
        <v>3</v>
      </c>
      <c r="C386" s="111">
        <v>6.7299425254633578E-3</v>
      </c>
      <c r="D386" s="87" t="s">
        <v>1600</v>
      </c>
      <c r="E386" s="87" t="b">
        <v>0</v>
      </c>
      <c r="F386" s="87" t="b">
        <v>0</v>
      </c>
      <c r="G386" s="87" t="b">
        <v>0</v>
      </c>
    </row>
    <row r="387" spans="1:7" x14ac:dyDescent="0.25">
      <c r="A387" s="84" t="s">
        <v>1645</v>
      </c>
      <c r="B387" s="87">
        <v>3</v>
      </c>
      <c r="C387" s="111">
        <v>6.7299425254633578E-3</v>
      </c>
      <c r="D387" s="87" t="s">
        <v>1600</v>
      </c>
      <c r="E387" s="87" t="b">
        <v>0</v>
      </c>
      <c r="F387" s="87" t="b">
        <v>0</v>
      </c>
      <c r="G387" s="87" t="b">
        <v>0</v>
      </c>
    </row>
    <row r="388" spans="1:7" x14ac:dyDescent="0.25">
      <c r="A388" s="84" t="s">
        <v>1671</v>
      </c>
      <c r="B388" s="87">
        <v>3</v>
      </c>
      <c r="C388" s="111">
        <v>6.7299425254633578E-3</v>
      </c>
      <c r="D388" s="87" t="s">
        <v>1600</v>
      </c>
      <c r="E388" s="87" t="b">
        <v>0</v>
      </c>
      <c r="F388" s="87" t="b">
        <v>0</v>
      </c>
      <c r="G388" s="87" t="b">
        <v>0</v>
      </c>
    </row>
    <row r="389" spans="1:7" x14ac:dyDescent="0.25">
      <c r="A389" s="84" t="s">
        <v>1676</v>
      </c>
      <c r="B389" s="87">
        <v>3</v>
      </c>
      <c r="C389" s="111">
        <v>6.7299425254633578E-3</v>
      </c>
      <c r="D389" s="87" t="s">
        <v>1600</v>
      </c>
      <c r="E389" s="87" t="b">
        <v>0</v>
      </c>
      <c r="F389" s="87" t="b">
        <v>0</v>
      </c>
      <c r="G389" s="87" t="b">
        <v>0</v>
      </c>
    </row>
    <row r="390" spans="1:7" x14ac:dyDescent="0.25">
      <c r="A390" s="84" t="s">
        <v>1653</v>
      </c>
      <c r="B390" s="87">
        <v>3</v>
      </c>
      <c r="C390" s="111">
        <v>6.7299425254633578E-3</v>
      </c>
      <c r="D390" s="87" t="s">
        <v>1600</v>
      </c>
      <c r="E390" s="87" t="b">
        <v>0</v>
      </c>
      <c r="F390" s="87" t="b">
        <v>0</v>
      </c>
      <c r="G390" s="87" t="b">
        <v>0</v>
      </c>
    </row>
    <row r="391" spans="1:7" x14ac:dyDescent="0.25">
      <c r="A391" s="84" t="s">
        <v>1668</v>
      </c>
      <c r="B391" s="87">
        <v>3</v>
      </c>
      <c r="C391" s="111">
        <v>6.7299425254633578E-3</v>
      </c>
      <c r="D391" s="87" t="s">
        <v>1600</v>
      </c>
      <c r="E391" s="87" t="b">
        <v>0</v>
      </c>
      <c r="F391" s="87" t="b">
        <v>0</v>
      </c>
      <c r="G391" s="87" t="b">
        <v>0</v>
      </c>
    </row>
    <row r="392" spans="1:7" x14ac:dyDescent="0.25">
      <c r="A392" s="84" t="s">
        <v>1749</v>
      </c>
      <c r="B392" s="87">
        <v>3</v>
      </c>
      <c r="C392" s="111">
        <v>6.7299425254633578E-3</v>
      </c>
      <c r="D392" s="87" t="s">
        <v>1600</v>
      </c>
      <c r="E392" s="87" t="b">
        <v>0</v>
      </c>
      <c r="F392" s="87" t="b">
        <v>0</v>
      </c>
      <c r="G392" s="87" t="b">
        <v>0</v>
      </c>
    </row>
    <row r="393" spans="1:7" x14ac:dyDescent="0.25">
      <c r="A393" s="84" t="s">
        <v>1809</v>
      </c>
      <c r="B393" s="87">
        <v>3</v>
      </c>
      <c r="C393" s="111">
        <v>6.7299425254633578E-3</v>
      </c>
      <c r="D393" s="87" t="s">
        <v>1600</v>
      </c>
      <c r="E393" s="87" t="b">
        <v>0</v>
      </c>
      <c r="F393" s="87" t="b">
        <v>0</v>
      </c>
      <c r="G393" s="87" t="b">
        <v>0</v>
      </c>
    </row>
    <row r="394" spans="1:7" x14ac:dyDescent="0.25">
      <c r="A394" s="84" t="s">
        <v>1669</v>
      </c>
      <c r="B394" s="87">
        <v>3</v>
      </c>
      <c r="C394" s="111">
        <v>6.7299425254633578E-3</v>
      </c>
      <c r="D394" s="87" t="s">
        <v>1600</v>
      </c>
      <c r="E394" s="87" t="b">
        <v>0</v>
      </c>
      <c r="F394" s="87" t="b">
        <v>0</v>
      </c>
      <c r="G394" s="87" t="b">
        <v>0</v>
      </c>
    </row>
    <row r="395" spans="1:7" x14ac:dyDescent="0.25">
      <c r="A395" s="84" t="s">
        <v>1700</v>
      </c>
      <c r="B395" s="87">
        <v>3</v>
      </c>
      <c r="C395" s="111">
        <v>6.7299425254633578E-3</v>
      </c>
      <c r="D395" s="87" t="s">
        <v>1600</v>
      </c>
      <c r="E395" s="87" t="b">
        <v>0</v>
      </c>
      <c r="F395" s="87" t="b">
        <v>0</v>
      </c>
      <c r="G395" s="87" t="b">
        <v>0</v>
      </c>
    </row>
    <row r="396" spans="1:7" x14ac:dyDescent="0.25">
      <c r="A396" s="84" t="s">
        <v>1756</v>
      </c>
      <c r="B396" s="87">
        <v>3</v>
      </c>
      <c r="C396" s="111">
        <v>6.7299425254633578E-3</v>
      </c>
      <c r="D396" s="87" t="s">
        <v>1600</v>
      </c>
      <c r="E396" s="87" t="b">
        <v>0</v>
      </c>
      <c r="F396" s="87" t="b">
        <v>0</v>
      </c>
      <c r="G396" s="87" t="b">
        <v>0</v>
      </c>
    </row>
    <row r="397" spans="1:7" x14ac:dyDescent="0.25">
      <c r="A397" s="84" t="s">
        <v>1706</v>
      </c>
      <c r="B397" s="87">
        <v>3</v>
      </c>
      <c r="C397" s="111">
        <v>6.7299425254633578E-3</v>
      </c>
      <c r="D397" s="87" t="s">
        <v>1600</v>
      </c>
      <c r="E397" s="87" t="b">
        <v>0</v>
      </c>
      <c r="F397" s="87" t="b">
        <v>0</v>
      </c>
      <c r="G397" s="87" t="b">
        <v>0</v>
      </c>
    </row>
    <row r="398" spans="1:7" x14ac:dyDescent="0.25">
      <c r="A398" s="84" t="s">
        <v>1785</v>
      </c>
      <c r="B398" s="87">
        <v>3</v>
      </c>
      <c r="C398" s="111">
        <v>6.7299425254633578E-3</v>
      </c>
      <c r="D398" s="87" t="s">
        <v>1600</v>
      </c>
      <c r="E398" s="87" t="b">
        <v>0</v>
      </c>
      <c r="F398" s="87" t="b">
        <v>0</v>
      </c>
      <c r="G398" s="87" t="b">
        <v>0</v>
      </c>
    </row>
    <row r="399" spans="1:7" x14ac:dyDescent="0.25">
      <c r="A399" s="84" t="s">
        <v>1650</v>
      </c>
      <c r="B399" s="87">
        <v>3</v>
      </c>
      <c r="C399" s="111">
        <v>6.7299425254633578E-3</v>
      </c>
      <c r="D399" s="87" t="s">
        <v>1600</v>
      </c>
      <c r="E399" s="87" t="b">
        <v>0</v>
      </c>
      <c r="F399" s="87" t="b">
        <v>0</v>
      </c>
      <c r="G399" s="87" t="b">
        <v>0</v>
      </c>
    </row>
    <row r="400" spans="1:7" x14ac:dyDescent="0.25">
      <c r="A400" s="84" t="s">
        <v>1663</v>
      </c>
      <c r="B400" s="87">
        <v>3</v>
      </c>
      <c r="C400" s="111">
        <v>6.7299425254633578E-3</v>
      </c>
      <c r="D400" s="87" t="s">
        <v>1600</v>
      </c>
      <c r="E400" s="87" t="b">
        <v>0</v>
      </c>
      <c r="F400" s="87" t="b">
        <v>0</v>
      </c>
      <c r="G400" s="87" t="b">
        <v>0</v>
      </c>
    </row>
    <row r="401" spans="1:7" x14ac:dyDescent="0.25">
      <c r="A401" s="84" t="s">
        <v>1773</v>
      </c>
      <c r="B401" s="87">
        <v>3</v>
      </c>
      <c r="C401" s="111">
        <v>6.7299425254633578E-3</v>
      </c>
      <c r="D401" s="87" t="s">
        <v>1600</v>
      </c>
      <c r="E401" s="87" t="b">
        <v>0</v>
      </c>
      <c r="F401" s="87" t="b">
        <v>0</v>
      </c>
      <c r="G401" s="87" t="b">
        <v>0</v>
      </c>
    </row>
    <row r="402" spans="1:7" x14ac:dyDescent="0.25">
      <c r="A402" s="84" t="s">
        <v>1662</v>
      </c>
      <c r="B402" s="87">
        <v>3</v>
      </c>
      <c r="C402" s="111">
        <v>6.7299425254633578E-3</v>
      </c>
      <c r="D402" s="87" t="s">
        <v>1600</v>
      </c>
      <c r="E402" s="87" t="b">
        <v>0</v>
      </c>
      <c r="F402" s="87" t="b">
        <v>0</v>
      </c>
      <c r="G402" s="87" t="b">
        <v>0</v>
      </c>
    </row>
    <row r="403" spans="1:7" x14ac:dyDescent="0.25">
      <c r="A403" s="84" t="s">
        <v>1769</v>
      </c>
      <c r="B403" s="87">
        <v>2</v>
      </c>
      <c r="C403" s="111">
        <v>5.2359528569288251E-3</v>
      </c>
      <c r="D403" s="87" t="s">
        <v>1600</v>
      </c>
      <c r="E403" s="87" t="b">
        <v>0</v>
      </c>
      <c r="F403" s="87" t="b">
        <v>0</v>
      </c>
      <c r="G403" s="87" t="b">
        <v>0</v>
      </c>
    </row>
    <row r="404" spans="1:7" x14ac:dyDescent="0.25">
      <c r="A404" s="84" t="s">
        <v>308</v>
      </c>
      <c r="B404" s="87">
        <v>2</v>
      </c>
      <c r="C404" s="111">
        <v>6.5169315618819369E-3</v>
      </c>
      <c r="D404" s="87" t="s">
        <v>1600</v>
      </c>
      <c r="E404" s="87" t="b">
        <v>0</v>
      </c>
      <c r="F404" s="87" t="b">
        <v>0</v>
      </c>
      <c r="G404" s="87" t="b">
        <v>0</v>
      </c>
    </row>
    <row r="405" spans="1:7" x14ac:dyDescent="0.25">
      <c r="A405" s="84" t="s">
        <v>1793</v>
      </c>
      <c r="B405" s="87">
        <v>2</v>
      </c>
      <c r="C405" s="111">
        <v>5.2359528569288251E-3</v>
      </c>
      <c r="D405" s="87" t="s">
        <v>1600</v>
      </c>
      <c r="E405" s="87" t="b">
        <v>1</v>
      </c>
      <c r="F405" s="87" t="b">
        <v>0</v>
      </c>
      <c r="G405" s="87" t="b">
        <v>0</v>
      </c>
    </row>
    <row r="406" spans="1:7" x14ac:dyDescent="0.25">
      <c r="A406" s="84" t="s">
        <v>1853</v>
      </c>
      <c r="B406" s="87">
        <v>2</v>
      </c>
      <c r="C406" s="111">
        <v>5.2359528569288251E-3</v>
      </c>
      <c r="D406" s="87" t="s">
        <v>1600</v>
      </c>
      <c r="E406" s="87" t="b">
        <v>0</v>
      </c>
      <c r="F406" s="87" t="b">
        <v>0</v>
      </c>
      <c r="G406" s="87" t="b">
        <v>0</v>
      </c>
    </row>
    <row r="407" spans="1:7" x14ac:dyDescent="0.25">
      <c r="A407" s="84" t="s">
        <v>1912</v>
      </c>
      <c r="B407" s="87">
        <v>2</v>
      </c>
      <c r="C407" s="111">
        <v>5.2359528569288251E-3</v>
      </c>
      <c r="D407" s="87" t="s">
        <v>1600</v>
      </c>
      <c r="E407" s="87" t="b">
        <v>0</v>
      </c>
      <c r="F407" s="87" t="b">
        <v>0</v>
      </c>
      <c r="G407" s="87" t="b">
        <v>0</v>
      </c>
    </row>
    <row r="408" spans="1:7" x14ac:dyDescent="0.25">
      <c r="A408" s="84" t="s">
        <v>1832</v>
      </c>
      <c r="B408" s="87">
        <v>2</v>
      </c>
      <c r="C408" s="111">
        <v>5.2359528569288251E-3</v>
      </c>
      <c r="D408" s="87" t="s">
        <v>1600</v>
      </c>
      <c r="E408" s="87" t="b">
        <v>0</v>
      </c>
      <c r="F408" s="87" t="b">
        <v>0</v>
      </c>
      <c r="G408" s="87" t="b">
        <v>0</v>
      </c>
    </row>
    <row r="409" spans="1:7" x14ac:dyDescent="0.25">
      <c r="A409" s="84" t="s">
        <v>309</v>
      </c>
      <c r="B409" s="87">
        <v>2</v>
      </c>
      <c r="C409" s="111">
        <v>5.2359528569288251E-3</v>
      </c>
      <c r="D409" s="87" t="s">
        <v>1600</v>
      </c>
      <c r="E409" s="87" t="b">
        <v>0</v>
      </c>
      <c r="F409" s="87" t="b">
        <v>0</v>
      </c>
      <c r="G409" s="87" t="b">
        <v>0</v>
      </c>
    </row>
    <row r="410" spans="1:7" x14ac:dyDescent="0.25">
      <c r="A410" s="84" t="s">
        <v>1732</v>
      </c>
      <c r="B410" s="87">
        <v>2</v>
      </c>
      <c r="C410" s="111">
        <v>5.2359528569288251E-3</v>
      </c>
      <c r="D410" s="87" t="s">
        <v>1600</v>
      </c>
      <c r="E410" s="87" t="b">
        <v>0</v>
      </c>
      <c r="F410" s="87" t="b">
        <v>0</v>
      </c>
      <c r="G410" s="87" t="b">
        <v>0</v>
      </c>
    </row>
    <row r="411" spans="1:7" x14ac:dyDescent="0.25">
      <c r="A411" s="84" t="s">
        <v>1920</v>
      </c>
      <c r="B411" s="87">
        <v>2</v>
      </c>
      <c r="C411" s="111">
        <v>5.2359528569288251E-3</v>
      </c>
      <c r="D411" s="87" t="s">
        <v>1600</v>
      </c>
      <c r="E411" s="87" t="b">
        <v>0</v>
      </c>
      <c r="F411" s="87" t="b">
        <v>0</v>
      </c>
      <c r="G411" s="87" t="b">
        <v>0</v>
      </c>
    </row>
    <row r="412" spans="1:7" x14ac:dyDescent="0.25">
      <c r="A412" s="84" t="s">
        <v>1902</v>
      </c>
      <c r="B412" s="87">
        <v>2</v>
      </c>
      <c r="C412" s="111">
        <v>5.2359528569288251E-3</v>
      </c>
      <c r="D412" s="87" t="s">
        <v>1600</v>
      </c>
      <c r="E412" s="87" t="b">
        <v>0</v>
      </c>
      <c r="F412" s="87" t="b">
        <v>0</v>
      </c>
      <c r="G412" s="87" t="b">
        <v>0</v>
      </c>
    </row>
    <row r="413" spans="1:7" x14ac:dyDescent="0.25">
      <c r="A413" s="84" t="s">
        <v>1743</v>
      </c>
      <c r="B413" s="87">
        <v>2</v>
      </c>
      <c r="C413" s="111">
        <v>5.2359528569288251E-3</v>
      </c>
      <c r="D413" s="87" t="s">
        <v>1600</v>
      </c>
      <c r="E413" s="87" t="b">
        <v>0</v>
      </c>
      <c r="F413" s="87" t="b">
        <v>0</v>
      </c>
      <c r="G413" s="87" t="b">
        <v>0</v>
      </c>
    </row>
    <row r="414" spans="1:7" x14ac:dyDescent="0.25">
      <c r="A414" s="84" t="s">
        <v>1739</v>
      </c>
      <c r="B414" s="87">
        <v>2</v>
      </c>
      <c r="C414" s="111">
        <v>5.2359528569288251E-3</v>
      </c>
      <c r="D414" s="87" t="s">
        <v>1600</v>
      </c>
      <c r="E414" s="87" t="b">
        <v>0</v>
      </c>
      <c r="F414" s="87" t="b">
        <v>0</v>
      </c>
      <c r="G414" s="87" t="b">
        <v>0</v>
      </c>
    </row>
    <row r="415" spans="1:7" x14ac:dyDescent="0.25">
      <c r="A415" s="84" t="s">
        <v>1934</v>
      </c>
      <c r="B415" s="87">
        <v>2</v>
      </c>
      <c r="C415" s="111">
        <v>5.2359528569288251E-3</v>
      </c>
      <c r="D415" s="87" t="s">
        <v>1600</v>
      </c>
      <c r="E415" s="87" t="b">
        <v>0</v>
      </c>
      <c r="F415" s="87" t="b">
        <v>0</v>
      </c>
      <c r="G415" s="87" t="b">
        <v>0</v>
      </c>
    </row>
    <row r="416" spans="1:7" x14ac:dyDescent="0.25">
      <c r="A416" s="84" t="s">
        <v>1917</v>
      </c>
      <c r="B416" s="87">
        <v>2</v>
      </c>
      <c r="C416" s="111">
        <v>5.2359528569288251E-3</v>
      </c>
      <c r="D416" s="87" t="s">
        <v>1600</v>
      </c>
      <c r="E416" s="87" t="b">
        <v>0</v>
      </c>
      <c r="F416" s="87" t="b">
        <v>0</v>
      </c>
      <c r="G416" s="87" t="b">
        <v>0</v>
      </c>
    </row>
    <row r="417" spans="1:7" x14ac:dyDescent="0.25">
      <c r="A417" s="84" t="s">
        <v>1712</v>
      </c>
      <c r="B417" s="87">
        <v>2</v>
      </c>
      <c r="C417" s="111">
        <v>5.2359528569288251E-3</v>
      </c>
      <c r="D417" s="87" t="s">
        <v>1600</v>
      </c>
      <c r="E417" s="87" t="b">
        <v>0</v>
      </c>
      <c r="F417" s="87" t="b">
        <v>1</v>
      </c>
      <c r="G417" s="87" t="b">
        <v>0</v>
      </c>
    </row>
    <row r="418" spans="1:7" x14ac:dyDescent="0.25">
      <c r="A418" s="84" t="s">
        <v>1890</v>
      </c>
      <c r="B418" s="87">
        <v>2</v>
      </c>
      <c r="C418" s="111">
        <v>5.2359528569288251E-3</v>
      </c>
      <c r="D418" s="87" t="s">
        <v>1600</v>
      </c>
      <c r="E418" s="87" t="b">
        <v>0</v>
      </c>
      <c r="F418" s="87" t="b">
        <v>0</v>
      </c>
      <c r="G418" s="87" t="b">
        <v>0</v>
      </c>
    </row>
    <row r="419" spans="1:7" x14ac:dyDescent="0.25">
      <c r="A419" s="84" t="s">
        <v>1651</v>
      </c>
      <c r="B419" s="87">
        <v>2</v>
      </c>
      <c r="C419" s="111">
        <v>5.2359528569288251E-3</v>
      </c>
      <c r="D419" s="87" t="s">
        <v>1600</v>
      </c>
      <c r="E419" s="87" t="b">
        <v>0</v>
      </c>
      <c r="F419" s="87" t="b">
        <v>0</v>
      </c>
      <c r="G419" s="87" t="b">
        <v>0</v>
      </c>
    </row>
    <row r="420" spans="1:7" x14ac:dyDescent="0.25">
      <c r="A420" s="84" t="s">
        <v>1682</v>
      </c>
      <c r="B420" s="87">
        <v>2</v>
      </c>
      <c r="C420" s="111">
        <v>5.2359528569288251E-3</v>
      </c>
      <c r="D420" s="87" t="s">
        <v>1600</v>
      </c>
      <c r="E420" s="87" t="b">
        <v>1</v>
      </c>
      <c r="F420" s="87" t="b">
        <v>0</v>
      </c>
      <c r="G420" s="87" t="b">
        <v>0</v>
      </c>
    </row>
    <row r="421" spans="1:7" x14ac:dyDescent="0.25">
      <c r="A421" s="84" t="s">
        <v>1884</v>
      </c>
      <c r="B421" s="87">
        <v>2</v>
      </c>
      <c r="C421" s="111">
        <v>5.2359528569288251E-3</v>
      </c>
      <c r="D421" s="87" t="s">
        <v>1600</v>
      </c>
      <c r="E421" s="87" t="b">
        <v>0</v>
      </c>
      <c r="F421" s="87" t="b">
        <v>0</v>
      </c>
      <c r="G421" s="87" t="b">
        <v>0</v>
      </c>
    </row>
    <row r="422" spans="1:7" x14ac:dyDescent="0.25">
      <c r="A422" s="84" t="s">
        <v>1664</v>
      </c>
      <c r="B422" s="87">
        <v>2</v>
      </c>
      <c r="C422" s="111">
        <v>5.2359528569288251E-3</v>
      </c>
      <c r="D422" s="87" t="s">
        <v>1600</v>
      </c>
      <c r="E422" s="87" t="b">
        <v>0</v>
      </c>
      <c r="F422" s="87" t="b">
        <v>0</v>
      </c>
      <c r="G422" s="87" t="b">
        <v>0</v>
      </c>
    </row>
    <row r="423" spans="1:7" x14ac:dyDescent="0.25">
      <c r="A423" s="84" t="s">
        <v>1924</v>
      </c>
      <c r="B423" s="87">
        <v>2</v>
      </c>
      <c r="C423" s="111">
        <v>5.2359528569288251E-3</v>
      </c>
      <c r="D423" s="87" t="s">
        <v>1600</v>
      </c>
      <c r="E423" s="87" t="b">
        <v>0</v>
      </c>
      <c r="F423" s="87" t="b">
        <v>0</v>
      </c>
      <c r="G423" s="87" t="b">
        <v>0</v>
      </c>
    </row>
    <row r="424" spans="1:7" x14ac:dyDescent="0.25">
      <c r="A424" s="84" t="s">
        <v>1642</v>
      </c>
      <c r="B424" s="87">
        <v>2</v>
      </c>
      <c r="C424" s="111">
        <v>5.2359528569288251E-3</v>
      </c>
      <c r="D424" s="87" t="s">
        <v>1600</v>
      </c>
      <c r="E424" s="87" t="b">
        <v>0</v>
      </c>
      <c r="F424" s="87" t="b">
        <v>0</v>
      </c>
      <c r="G424" s="87" t="b">
        <v>0</v>
      </c>
    </row>
    <row r="425" spans="1:7" x14ac:dyDescent="0.25">
      <c r="A425" s="84" t="s">
        <v>1661</v>
      </c>
      <c r="B425" s="87">
        <v>2</v>
      </c>
      <c r="C425" s="111">
        <v>5.2359528569288251E-3</v>
      </c>
      <c r="D425" s="87" t="s">
        <v>1600</v>
      </c>
      <c r="E425" s="87" t="b">
        <v>0</v>
      </c>
      <c r="F425" s="87" t="b">
        <v>0</v>
      </c>
      <c r="G425" s="87" t="b">
        <v>0</v>
      </c>
    </row>
    <row r="426" spans="1:7" x14ac:dyDescent="0.25">
      <c r="A426" s="84" t="s">
        <v>1755</v>
      </c>
      <c r="B426" s="87">
        <v>2</v>
      </c>
      <c r="C426" s="111">
        <v>5.2359528569288251E-3</v>
      </c>
      <c r="D426" s="87" t="s">
        <v>1600</v>
      </c>
      <c r="E426" s="87" t="b">
        <v>0</v>
      </c>
      <c r="F426" s="87" t="b">
        <v>0</v>
      </c>
      <c r="G426" s="87" t="b">
        <v>0</v>
      </c>
    </row>
    <row r="427" spans="1:7" x14ac:dyDescent="0.25">
      <c r="A427" s="84" t="s">
        <v>281</v>
      </c>
      <c r="B427" s="87">
        <v>2</v>
      </c>
      <c r="C427" s="111">
        <v>5.2359528569288251E-3</v>
      </c>
      <c r="D427" s="87" t="s">
        <v>1600</v>
      </c>
      <c r="E427" s="87" t="b">
        <v>0</v>
      </c>
      <c r="F427" s="87" t="b">
        <v>0</v>
      </c>
      <c r="G427" s="87" t="b">
        <v>0</v>
      </c>
    </row>
    <row r="428" spans="1:7" x14ac:dyDescent="0.25">
      <c r="A428" s="84" t="s">
        <v>1826</v>
      </c>
      <c r="B428" s="87">
        <v>2</v>
      </c>
      <c r="C428" s="111">
        <v>5.2359528569288251E-3</v>
      </c>
      <c r="D428" s="87" t="s">
        <v>1600</v>
      </c>
      <c r="E428" s="87" t="b">
        <v>0</v>
      </c>
      <c r="F428" s="87" t="b">
        <v>0</v>
      </c>
      <c r="G428" s="87" t="b">
        <v>0</v>
      </c>
    </row>
    <row r="429" spans="1:7" x14ac:dyDescent="0.25">
      <c r="A429" s="84" t="s">
        <v>1829</v>
      </c>
      <c r="B429" s="87">
        <v>2</v>
      </c>
      <c r="C429" s="111">
        <v>5.2359528569288251E-3</v>
      </c>
      <c r="D429" s="87" t="s">
        <v>1600</v>
      </c>
      <c r="E429" s="87" t="b">
        <v>1</v>
      </c>
      <c r="F429" s="87" t="b">
        <v>0</v>
      </c>
      <c r="G429" s="87" t="b">
        <v>0</v>
      </c>
    </row>
    <row r="430" spans="1:7" x14ac:dyDescent="0.25">
      <c r="A430" s="84" t="s">
        <v>1728</v>
      </c>
      <c r="B430" s="87">
        <v>2</v>
      </c>
      <c r="C430" s="111">
        <v>5.2359528569288251E-3</v>
      </c>
      <c r="D430" s="87" t="s">
        <v>1600</v>
      </c>
      <c r="E430" s="87" t="b">
        <v>0</v>
      </c>
      <c r="F430" s="87" t="b">
        <v>0</v>
      </c>
      <c r="G430" s="87" t="b">
        <v>0</v>
      </c>
    </row>
    <row r="431" spans="1:7" x14ac:dyDescent="0.25">
      <c r="A431" s="84" t="s">
        <v>1770</v>
      </c>
      <c r="B431" s="87">
        <v>2</v>
      </c>
      <c r="C431" s="111">
        <v>5.2359528569288251E-3</v>
      </c>
      <c r="D431" s="87" t="s">
        <v>1600</v>
      </c>
      <c r="E431" s="87" t="b">
        <v>0</v>
      </c>
      <c r="F431" s="87" t="b">
        <v>0</v>
      </c>
      <c r="G431" s="87" t="b">
        <v>0</v>
      </c>
    </row>
    <row r="432" spans="1:7" x14ac:dyDescent="0.25">
      <c r="A432" s="84" t="s">
        <v>1847</v>
      </c>
      <c r="B432" s="87">
        <v>2</v>
      </c>
      <c r="C432" s="111">
        <v>5.2359528569288251E-3</v>
      </c>
      <c r="D432" s="87" t="s">
        <v>1600</v>
      </c>
      <c r="E432" s="87" t="b">
        <v>0</v>
      </c>
      <c r="F432" s="87" t="b">
        <v>0</v>
      </c>
      <c r="G432" s="87" t="b">
        <v>0</v>
      </c>
    </row>
    <row r="433" spans="1:7" x14ac:dyDescent="0.25">
      <c r="A433" s="84" t="s">
        <v>1872</v>
      </c>
      <c r="B433" s="87">
        <v>2</v>
      </c>
      <c r="C433" s="111">
        <v>5.2359528569288251E-3</v>
      </c>
      <c r="D433" s="87" t="s">
        <v>1600</v>
      </c>
      <c r="E433" s="87" t="b">
        <v>0</v>
      </c>
      <c r="F433" s="87" t="b">
        <v>0</v>
      </c>
      <c r="G433" s="87" t="b">
        <v>0</v>
      </c>
    </row>
    <row r="434" spans="1:7" x14ac:dyDescent="0.25">
      <c r="A434" s="84" t="s">
        <v>1654</v>
      </c>
      <c r="B434" s="87">
        <v>2</v>
      </c>
      <c r="C434" s="111">
        <v>5.2359528569288251E-3</v>
      </c>
      <c r="D434" s="87" t="s">
        <v>1600</v>
      </c>
      <c r="E434" s="87" t="b">
        <v>1</v>
      </c>
      <c r="F434" s="87" t="b">
        <v>0</v>
      </c>
      <c r="G434" s="87" t="b">
        <v>0</v>
      </c>
    </row>
    <row r="435" spans="1:7" x14ac:dyDescent="0.25">
      <c r="A435" s="84" t="s">
        <v>1757</v>
      </c>
      <c r="B435" s="87">
        <v>2</v>
      </c>
      <c r="C435" s="111">
        <v>5.2359528569288251E-3</v>
      </c>
      <c r="D435" s="87" t="s">
        <v>1600</v>
      </c>
      <c r="E435" s="87" t="b">
        <v>0</v>
      </c>
      <c r="F435" s="87" t="b">
        <v>0</v>
      </c>
      <c r="G435" s="87" t="b">
        <v>0</v>
      </c>
    </row>
    <row r="436" spans="1:7" x14ac:dyDescent="0.25">
      <c r="A436" s="84" t="s">
        <v>1790</v>
      </c>
      <c r="B436" s="87">
        <v>2</v>
      </c>
      <c r="C436" s="111">
        <v>5.2359528569288251E-3</v>
      </c>
      <c r="D436" s="87" t="s">
        <v>1600</v>
      </c>
      <c r="E436" s="87" t="b">
        <v>0</v>
      </c>
      <c r="F436" s="87" t="b">
        <v>0</v>
      </c>
      <c r="G436" s="87" t="b">
        <v>0</v>
      </c>
    </row>
    <row r="437" spans="1:7" x14ac:dyDescent="0.25">
      <c r="A437" s="84" t="s">
        <v>1680</v>
      </c>
      <c r="B437" s="87">
        <v>2</v>
      </c>
      <c r="C437" s="111">
        <v>5.2359528569288251E-3</v>
      </c>
      <c r="D437" s="87" t="s">
        <v>1600</v>
      </c>
      <c r="E437" s="87" t="b">
        <v>0</v>
      </c>
      <c r="F437" s="87" t="b">
        <v>0</v>
      </c>
      <c r="G437" s="87" t="b">
        <v>0</v>
      </c>
    </row>
    <row r="438" spans="1:7" x14ac:dyDescent="0.25">
      <c r="A438" s="84" t="s">
        <v>1688</v>
      </c>
      <c r="B438" s="87">
        <v>2</v>
      </c>
      <c r="C438" s="111">
        <v>5.2359528569288251E-3</v>
      </c>
      <c r="D438" s="87" t="s">
        <v>1600</v>
      </c>
      <c r="E438" s="87" t="b">
        <v>0</v>
      </c>
      <c r="F438" s="87" t="b">
        <v>0</v>
      </c>
      <c r="G438" s="87" t="b">
        <v>0</v>
      </c>
    </row>
    <row r="439" spans="1:7" x14ac:dyDescent="0.25">
      <c r="A439" s="84" t="s">
        <v>1750</v>
      </c>
      <c r="B439" s="87">
        <v>2</v>
      </c>
      <c r="C439" s="111">
        <v>5.2359528569288251E-3</v>
      </c>
      <c r="D439" s="87" t="s">
        <v>1600</v>
      </c>
      <c r="E439" s="87" t="b">
        <v>0</v>
      </c>
      <c r="F439" s="87" t="b">
        <v>0</v>
      </c>
      <c r="G439" s="87" t="b">
        <v>0</v>
      </c>
    </row>
    <row r="440" spans="1:7" x14ac:dyDescent="0.25">
      <c r="A440" s="84" t="s">
        <v>1851</v>
      </c>
      <c r="B440" s="87">
        <v>2</v>
      </c>
      <c r="C440" s="111">
        <v>5.2359528569288251E-3</v>
      </c>
      <c r="D440" s="87" t="s">
        <v>1600</v>
      </c>
      <c r="E440" s="87" t="b">
        <v>0</v>
      </c>
      <c r="F440" s="87" t="b">
        <v>0</v>
      </c>
      <c r="G440" s="87" t="b">
        <v>0</v>
      </c>
    </row>
    <row r="441" spans="1:7" x14ac:dyDescent="0.25">
      <c r="A441" s="84" t="s">
        <v>1753</v>
      </c>
      <c r="B441" s="87">
        <v>2</v>
      </c>
      <c r="C441" s="111">
        <v>5.2359528569288251E-3</v>
      </c>
      <c r="D441" s="87" t="s">
        <v>1600</v>
      </c>
      <c r="E441" s="87" t="b">
        <v>0</v>
      </c>
      <c r="F441" s="87" t="b">
        <v>0</v>
      </c>
      <c r="G441" s="87" t="b">
        <v>0</v>
      </c>
    </row>
    <row r="442" spans="1:7" x14ac:dyDescent="0.25">
      <c r="A442" s="84" t="s">
        <v>1690</v>
      </c>
      <c r="B442" s="87">
        <v>2</v>
      </c>
      <c r="C442" s="111">
        <v>5.2359528569288251E-3</v>
      </c>
      <c r="D442" s="87" t="s">
        <v>1600</v>
      </c>
      <c r="E442" s="87" t="b">
        <v>1</v>
      </c>
      <c r="F442" s="87" t="b">
        <v>0</v>
      </c>
      <c r="G442" s="87" t="b">
        <v>0</v>
      </c>
    </row>
    <row r="443" spans="1:7" x14ac:dyDescent="0.25">
      <c r="A443" s="84" t="s">
        <v>1656</v>
      </c>
      <c r="B443" s="87">
        <v>2</v>
      </c>
      <c r="C443" s="111">
        <v>5.2359528569288251E-3</v>
      </c>
      <c r="D443" s="87" t="s">
        <v>1600</v>
      </c>
      <c r="E443" s="87" t="b">
        <v>0</v>
      </c>
      <c r="F443" s="87" t="b">
        <v>0</v>
      </c>
      <c r="G443" s="87" t="b">
        <v>0</v>
      </c>
    </row>
    <row r="444" spans="1:7" x14ac:dyDescent="0.25">
      <c r="A444" s="84" t="s">
        <v>1792</v>
      </c>
      <c r="B444" s="87">
        <v>2</v>
      </c>
      <c r="C444" s="111">
        <v>5.2359528569288251E-3</v>
      </c>
      <c r="D444" s="87" t="s">
        <v>1600</v>
      </c>
      <c r="E444" s="87" t="b">
        <v>1</v>
      </c>
      <c r="F444" s="87" t="b">
        <v>0</v>
      </c>
      <c r="G444" s="87" t="b">
        <v>0</v>
      </c>
    </row>
    <row r="445" spans="1:7" x14ac:dyDescent="0.25">
      <c r="A445" s="84" t="s">
        <v>1862</v>
      </c>
      <c r="B445" s="87">
        <v>2</v>
      </c>
      <c r="C445" s="111">
        <v>5.2359528569288251E-3</v>
      </c>
      <c r="D445" s="87" t="s">
        <v>1600</v>
      </c>
      <c r="E445" s="87" t="b">
        <v>0</v>
      </c>
      <c r="F445" s="87" t="b">
        <v>0</v>
      </c>
      <c r="G445" s="87" t="b">
        <v>0</v>
      </c>
    </row>
    <row r="446" spans="1:7" x14ac:dyDescent="0.25">
      <c r="A446" s="84" t="s">
        <v>295</v>
      </c>
      <c r="B446" s="87">
        <v>2</v>
      </c>
      <c r="C446" s="111">
        <v>5.2359528569288251E-3</v>
      </c>
      <c r="D446" s="87" t="s">
        <v>1600</v>
      </c>
      <c r="E446" s="87" t="b">
        <v>0</v>
      </c>
      <c r="F446" s="87" t="b">
        <v>0</v>
      </c>
      <c r="G446" s="87" t="b">
        <v>0</v>
      </c>
    </row>
    <row r="447" spans="1:7" x14ac:dyDescent="0.25">
      <c r="A447" s="84" t="s">
        <v>1795</v>
      </c>
      <c r="B447" s="87">
        <v>2</v>
      </c>
      <c r="C447" s="111">
        <v>6.5169315618819369E-3</v>
      </c>
      <c r="D447" s="87" t="s">
        <v>1600</v>
      </c>
      <c r="E447" s="87" t="b">
        <v>0</v>
      </c>
      <c r="F447" s="87" t="b">
        <v>0</v>
      </c>
      <c r="G447" s="87" t="b">
        <v>0</v>
      </c>
    </row>
    <row r="448" spans="1:7" x14ac:dyDescent="0.25">
      <c r="A448" s="84" t="s">
        <v>1672</v>
      </c>
      <c r="B448" s="87">
        <v>2</v>
      </c>
      <c r="C448" s="111">
        <v>5.2359528569288251E-3</v>
      </c>
      <c r="D448" s="87" t="s">
        <v>1600</v>
      </c>
      <c r="E448" s="87" t="b">
        <v>0</v>
      </c>
      <c r="F448" s="87" t="b">
        <v>0</v>
      </c>
      <c r="G448" s="87" t="b">
        <v>0</v>
      </c>
    </row>
    <row r="449" spans="1:7" x14ac:dyDescent="0.25">
      <c r="A449" s="84" t="s">
        <v>1841</v>
      </c>
      <c r="B449" s="87">
        <v>2</v>
      </c>
      <c r="C449" s="111">
        <v>6.5169315618819369E-3</v>
      </c>
      <c r="D449" s="87" t="s">
        <v>1600</v>
      </c>
      <c r="E449" s="87" t="b">
        <v>0</v>
      </c>
      <c r="F449" s="87" t="b">
        <v>0</v>
      </c>
      <c r="G449" s="87" t="b">
        <v>0</v>
      </c>
    </row>
    <row r="450" spans="1:7" x14ac:dyDescent="0.25">
      <c r="A450" s="84" t="s">
        <v>1660</v>
      </c>
      <c r="B450" s="87">
        <v>2</v>
      </c>
      <c r="C450" s="111">
        <v>5.2359528569288251E-3</v>
      </c>
      <c r="D450" s="87" t="s">
        <v>1600</v>
      </c>
      <c r="E450" s="87" t="b">
        <v>0</v>
      </c>
      <c r="F450" s="87" t="b">
        <v>0</v>
      </c>
      <c r="G450" s="87" t="b">
        <v>0</v>
      </c>
    </row>
    <row r="451" spans="1:7" x14ac:dyDescent="0.25">
      <c r="A451" s="84" t="s">
        <v>1643</v>
      </c>
      <c r="B451" s="87">
        <v>2</v>
      </c>
      <c r="C451" s="111">
        <v>5.2359528569288251E-3</v>
      </c>
      <c r="D451" s="87" t="s">
        <v>1600</v>
      </c>
      <c r="E451" s="87" t="b">
        <v>0</v>
      </c>
      <c r="F451" s="87" t="b">
        <v>0</v>
      </c>
      <c r="G451" s="87" t="b">
        <v>0</v>
      </c>
    </row>
    <row r="452" spans="1:7" x14ac:dyDescent="0.25">
      <c r="A452" s="84" t="s">
        <v>336</v>
      </c>
      <c r="B452" s="87">
        <v>2</v>
      </c>
      <c r="C452" s="111">
        <v>5.2359528569288251E-3</v>
      </c>
      <c r="D452" s="87" t="s">
        <v>1600</v>
      </c>
      <c r="E452" s="87" t="b">
        <v>0</v>
      </c>
      <c r="F452" s="87" t="b">
        <v>0</v>
      </c>
      <c r="G452" s="87" t="b">
        <v>0</v>
      </c>
    </row>
    <row r="453" spans="1:7" x14ac:dyDescent="0.25">
      <c r="A453" s="84" t="s">
        <v>1718</v>
      </c>
      <c r="B453" s="87">
        <v>2</v>
      </c>
      <c r="C453" s="111">
        <v>5.2359528569288251E-3</v>
      </c>
      <c r="D453" s="87" t="s">
        <v>1600</v>
      </c>
      <c r="E453" s="87" t="b">
        <v>0</v>
      </c>
      <c r="F453" s="87" t="b">
        <v>0</v>
      </c>
      <c r="G453" s="87" t="b">
        <v>0</v>
      </c>
    </row>
    <row r="454" spans="1:7" x14ac:dyDescent="0.25">
      <c r="A454" s="84" t="s">
        <v>1891</v>
      </c>
      <c r="B454" s="87">
        <v>2</v>
      </c>
      <c r="C454" s="111">
        <v>5.2359528569288251E-3</v>
      </c>
      <c r="D454" s="87" t="s">
        <v>1600</v>
      </c>
      <c r="E454" s="87" t="b">
        <v>0</v>
      </c>
      <c r="F454" s="87" t="b">
        <v>0</v>
      </c>
      <c r="G454" s="87" t="b">
        <v>0</v>
      </c>
    </row>
    <row r="455" spans="1:7" x14ac:dyDescent="0.25">
      <c r="A455" s="84" t="s">
        <v>1823</v>
      </c>
      <c r="B455" s="87">
        <v>2</v>
      </c>
      <c r="C455" s="111">
        <v>5.2359528569288251E-3</v>
      </c>
      <c r="D455" s="87" t="s">
        <v>1600</v>
      </c>
      <c r="E455" s="87" t="b">
        <v>0</v>
      </c>
      <c r="F455" s="87" t="b">
        <v>0</v>
      </c>
      <c r="G455" s="87" t="b">
        <v>0</v>
      </c>
    </row>
    <row r="456" spans="1:7" x14ac:dyDescent="0.25">
      <c r="A456" s="84" t="s">
        <v>1666</v>
      </c>
      <c r="B456" s="87">
        <v>2</v>
      </c>
      <c r="C456" s="111">
        <v>5.2359528569288251E-3</v>
      </c>
      <c r="D456" s="87" t="s">
        <v>1600</v>
      </c>
      <c r="E456" s="87" t="b">
        <v>1</v>
      </c>
      <c r="F456" s="87" t="b">
        <v>0</v>
      </c>
      <c r="G456" s="87" t="b">
        <v>0</v>
      </c>
    </row>
    <row r="457" spans="1:7" x14ac:dyDescent="0.25">
      <c r="A457" s="84" t="s">
        <v>1747</v>
      </c>
      <c r="B457" s="87">
        <v>2</v>
      </c>
      <c r="C457" s="111">
        <v>5.2359528569288251E-3</v>
      </c>
      <c r="D457" s="87" t="s">
        <v>1600</v>
      </c>
      <c r="E457" s="87" t="b">
        <v>0</v>
      </c>
      <c r="F457" s="87" t="b">
        <v>0</v>
      </c>
      <c r="G457" s="87" t="b">
        <v>0</v>
      </c>
    </row>
    <row r="458" spans="1:7" x14ac:dyDescent="0.25">
      <c r="A458" s="84" t="s">
        <v>1782</v>
      </c>
      <c r="B458" s="87">
        <v>2</v>
      </c>
      <c r="C458" s="111">
        <v>5.2359528569288251E-3</v>
      </c>
      <c r="D458" s="87" t="s">
        <v>1600</v>
      </c>
      <c r="E458" s="87" t="b">
        <v>0</v>
      </c>
      <c r="F458" s="87" t="b">
        <v>0</v>
      </c>
      <c r="G458" s="87" t="b">
        <v>0</v>
      </c>
    </row>
    <row r="459" spans="1:7" x14ac:dyDescent="0.25">
      <c r="A459" s="84" t="s">
        <v>1909</v>
      </c>
      <c r="B459" s="87">
        <v>2</v>
      </c>
      <c r="C459" s="111">
        <v>5.2359528569288251E-3</v>
      </c>
      <c r="D459" s="87" t="s">
        <v>1600</v>
      </c>
      <c r="E459" s="87" t="b">
        <v>0</v>
      </c>
      <c r="F459" s="87" t="b">
        <v>0</v>
      </c>
      <c r="G459" s="87" t="b">
        <v>0</v>
      </c>
    </row>
    <row r="460" spans="1:7" x14ac:dyDescent="0.25">
      <c r="A460" s="84" t="s">
        <v>268</v>
      </c>
      <c r="B460" s="87">
        <v>17</v>
      </c>
      <c r="C460" s="111">
        <v>1.0165334307357521E-2</v>
      </c>
      <c r="D460" s="87" t="s">
        <v>1601</v>
      </c>
      <c r="E460" s="87" t="b">
        <v>0</v>
      </c>
      <c r="F460" s="87" t="b">
        <v>0</v>
      </c>
      <c r="G460" s="87" t="b">
        <v>0</v>
      </c>
    </row>
    <row r="461" spans="1:7" x14ac:dyDescent="0.25">
      <c r="A461" s="84" t="s">
        <v>1643</v>
      </c>
      <c r="B461" s="87">
        <v>16</v>
      </c>
      <c r="C461" s="111">
        <v>1.0821132452526788E-2</v>
      </c>
      <c r="D461" s="87" t="s">
        <v>1601</v>
      </c>
      <c r="E461" s="87" t="b">
        <v>0</v>
      </c>
      <c r="F461" s="87" t="b">
        <v>0</v>
      </c>
      <c r="G461" s="87" t="b">
        <v>0</v>
      </c>
    </row>
    <row r="462" spans="1:7" x14ac:dyDescent="0.25">
      <c r="A462" s="84" t="s">
        <v>1642</v>
      </c>
      <c r="B462" s="87">
        <v>16</v>
      </c>
      <c r="C462" s="111">
        <v>1.0821132452526788E-2</v>
      </c>
      <c r="D462" s="87" t="s">
        <v>1601</v>
      </c>
      <c r="E462" s="87" t="b">
        <v>0</v>
      </c>
      <c r="F462" s="87" t="b">
        <v>0</v>
      </c>
      <c r="G462" s="87" t="b">
        <v>0</v>
      </c>
    </row>
    <row r="463" spans="1:7" x14ac:dyDescent="0.25">
      <c r="A463" s="84" t="s">
        <v>1652</v>
      </c>
      <c r="B463" s="87">
        <v>11</v>
      </c>
      <c r="C463" s="111">
        <v>1.2766910324429719E-2</v>
      </c>
      <c r="D463" s="87" t="s">
        <v>1601</v>
      </c>
      <c r="E463" s="87" t="b">
        <v>0</v>
      </c>
      <c r="F463" s="87" t="b">
        <v>0</v>
      </c>
      <c r="G463" s="87" t="b">
        <v>0</v>
      </c>
    </row>
    <row r="464" spans="1:7" x14ac:dyDescent="0.25">
      <c r="A464" s="84" t="s">
        <v>1640</v>
      </c>
      <c r="B464" s="87">
        <v>10</v>
      </c>
      <c r="C464" s="111">
        <v>1.4200037342847095E-2</v>
      </c>
      <c r="D464" s="87" t="s">
        <v>1601</v>
      </c>
      <c r="E464" s="87" t="b">
        <v>0</v>
      </c>
      <c r="F464" s="87" t="b">
        <v>0</v>
      </c>
      <c r="G464" s="87" t="b">
        <v>0</v>
      </c>
    </row>
    <row r="465" spans="1:7" x14ac:dyDescent="0.25">
      <c r="A465" s="84" t="s">
        <v>252</v>
      </c>
      <c r="B465" s="87">
        <v>9</v>
      </c>
      <c r="C465" s="111">
        <v>1.2780033608562386E-2</v>
      </c>
      <c r="D465" s="87" t="s">
        <v>1601</v>
      </c>
      <c r="E465" s="87" t="b">
        <v>0</v>
      </c>
      <c r="F465" s="87" t="b">
        <v>0</v>
      </c>
      <c r="G465" s="87" t="b">
        <v>0</v>
      </c>
    </row>
    <row r="466" spans="1:7" x14ac:dyDescent="0.25">
      <c r="A466" s="84" t="s">
        <v>1649</v>
      </c>
      <c r="B466" s="87">
        <v>7</v>
      </c>
      <c r="C466" s="111">
        <v>1.5258203329645177E-2</v>
      </c>
      <c r="D466" s="87" t="s">
        <v>1601</v>
      </c>
      <c r="E466" s="87" t="b">
        <v>0</v>
      </c>
      <c r="F466" s="87" t="b">
        <v>0</v>
      </c>
      <c r="G466" s="87" t="b">
        <v>0</v>
      </c>
    </row>
    <row r="467" spans="1:7" x14ac:dyDescent="0.25">
      <c r="A467" s="84" t="s">
        <v>1677</v>
      </c>
      <c r="B467" s="87">
        <v>7</v>
      </c>
      <c r="C467" s="111">
        <v>1.2213869253015217E-2</v>
      </c>
      <c r="D467" s="87" t="s">
        <v>1601</v>
      </c>
      <c r="E467" s="87" t="b">
        <v>0</v>
      </c>
      <c r="F467" s="87" t="b">
        <v>0</v>
      </c>
      <c r="G467" s="87" t="b">
        <v>0</v>
      </c>
    </row>
    <row r="468" spans="1:7" x14ac:dyDescent="0.25">
      <c r="A468" s="84" t="s">
        <v>1675</v>
      </c>
      <c r="B468" s="87">
        <v>6</v>
      </c>
      <c r="C468" s="111">
        <v>1.1664509174559709E-2</v>
      </c>
      <c r="D468" s="87" t="s">
        <v>1601</v>
      </c>
      <c r="E468" s="87" t="b">
        <v>0</v>
      </c>
      <c r="F468" s="87" t="b">
        <v>0</v>
      </c>
      <c r="G468" s="87" t="b">
        <v>0</v>
      </c>
    </row>
    <row r="469" spans="1:7" x14ac:dyDescent="0.25">
      <c r="A469" s="84" t="s">
        <v>1661</v>
      </c>
      <c r="B469" s="87">
        <v>6</v>
      </c>
      <c r="C469" s="111">
        <v>1.1664509174559709E-2</v>
      </c>
      <c r="D469" s="87" t="s">
        <v>1601</v>
      </c>
      <c r="E469" s="87" t="b">
        <v>0</v>
      </c>
      <c r="F469" s="87" t="b">
        <v>0</v>
      </c>
      <c r="G469" s="87" t="b">
        <v>0</v>
      </c>
    </row>
    <row r="470" spans="1:7" x14ac:dyDescent="0.25">
      <c r="A470" s="84" t="s">
        <v>312</v>
      </c>
      <c r="B470" s="87">
        <v>6</v>
      </c>
      <c r="C470" s="111">
        <v>1.1664509174559709E-2</v>
      </c>
      <c r="D470" s="87" t="s">
        <v>1601</v>
      </c>
      <c r="E470" s="87" t="b">
        <v>0</v>
      </c>
      <c r="F470" s="87" t="b">
        <v>0</v>
      </c>
      <c r="G470" s="87" t="b">
        <v>0</v>
      </c>
    </row>
    <row r="471" spans="1:7" x14ac:dyDescent="0.25">
      <c r="A471" s="84" t="s">
        <v>1670</v>
      </c>
      <c r="B471" s="87">
        <v>6</v>
      </c>
      <c r="C471" s="111">
        <v>1.1664509174559709E-2</v>
      </c>
      <c r="D471" s="87" t="s">
        <v>1601</v>
      </c>
      <c r="E471" s="87" t="b">
        <v>0</v>
      </c>
      <c r="F471" s="87" t="b">
        <v>0</v>
      </c>
      <c r="G471" s="87" t="b">
        <v>0</v>
      </c>
    </row>
    <row r="472" spans="1:7" x14ac:dyDescent="0.25">
      <c r="A472" s="84" t="s">
        <v>1651</v>
      </c>
      <c r="B472" s="87">
        <v>6</v>
      </c>
      <c r="C472" s="111">
        <v>1.480899594341116E-2</v>
      </c>
      <c r="D472" s="87" t="s">
        <v>1601</v>
      </c>
      <c r="E472" s="87" t="b">
        <v>0</v>
      </c>
      <c r="F472" s="87" t="b">
        <v>0</v>
      </c>
      <c r="G472" s="87" t="b">
        <v>0</v>
      </c>
    </row>
    <row r="473" spans="1:7" x14ac:dyDescent="0.25">
      <c r="A473" s="84" t="s">
        <v>1694</v>
      </c>
      <c r="B473" s="87">
        <v>6</v>
      </c>
      <c r="C473" s="111">
        <v>1.1664509174559709E-2</v>
      </c>
      <c r="D473" s="87" t="s">
        <v>1601</v>
      </c>
      <c r="E473" s="87" t="b">
        <v>0</v>
      </c>
      <c r="F473" s="87" t="b">
        <v>0</v>
      </c>
      <c r="G473" s="87" t="b">
        <v>0</v>
      </c>
    </row>
    <row r="474" spans="1:7" x14ac:dyDescent="0.25">
      <c r="A474" s="84" t="s">
        <v>1687</v>
      </c>
      <c r="B474" s="87">
        <v>6</v>
      </c>
      <c r="C474" s="111">
        <v>1.1664509174559709E-2</v>
      </c>
      <c r="D474" s="87" t="s">
        <v>1601</v>
      </c>
      <c r="E474" s="87" t="b">
        <v>0</v>
      </c>
      <c r="F474" s="87" t="b">
        <v>0</v>
      </c>
      <c r="G474" s="87" t="b">
        <v>0</v>
      </c>
    </row>
    <row r="475" spans="1:7" x14ac:dyDescent="0.25">
      <c r="A475" s="84" t="s">
        <v>1713</v>
      </c>
      <c r="B475" s="87">
        <v>5</v>
      </c>
      <c r="C475" s="111">
        <v>1.0898716664032269E-2</v>
      </c>
      <c r="D475" s="87" t="s">
        <v>1601</v>
      </c>
      <c r="E475" s="87" t="b">
        <v>0</v>
      </c>
      <c r="F475" s="87" t="b">
        <v>0</v>
      </c>
      <c r="G475" s="87" t="b">
        <v>0</v>
      </c>
    </row>
    <row r="476" spans="1:7" x14ac:dyDescent="0.25">
      <c r="A476" s="84" t="s">
        <v>1697</v>
      </c>
      <c r="B476" s="87">
        <v>5</v>
      </c>
      <c r="C476" s="111">
        <v>1.0898716664032269E-2</v>
      </c>
      <c r="D476" s="87" t="s">
        <v>1601</v>
      </c>
      <c r="E476" s="87" t="b">
        <v>0</v>
      </c>
      <c r="F476" s="87" t="b">
        <v>0</v>
      </c>
      <c r="G476" s="87" t="b">
        <v>0</v>
      </c>
    </row>
    <row r="477" spans="1:7" x14ac:dyDescent="0.25">
      <c r="A477" s="84" t="s">
        <v>1644</v>
      </c>
      <c r="B477" s="87">
        <v>5</v>
      </c>
      <c r="C477" s="111">
        <v>1.0898716664032269E-2</v>
      </c>
      <c r="D477" s="87" t="s">
        <v>1601</v>
      </c>
      <c r="E477" s="87" t="b">
        <v>0</v>
      </c>
      <c r="F477" s="87" t="b">
        <v>0</v>
      </c>
      <c r="G477" s="87" t="b">
        <v>0</v>
      </c>
    </row>
    <row r="478" spans="1:7" x14ac:dyDescent="0.25">
      <c r="A478" s="84" t="s">
        <v>261</v>
      </c>
      <c r="B478" s="87">
        <v>5</v>
      </c>
      <c r="C478" s="111">
        <v>1.0898716664032269E-2</v>
      </c>
      <c r="D478" s="87" t="s">
        <v>1601</v>
      </c>
      <c r="E478" s="87" t="b">
        <v>0</v>
      </c>
      <c r="F478" s="87" t="b">
        <v>0</v>
      </c>
      <c r="G478" s="87" t="b">
        <v>0</v>
      </c>
    </row>
    <row r="479" spans="1:7" x14ac:dyDescent="0.25">
      <c r="A479" s="84" t="s">
        <v>1692</v>
      </c>
      <c r="B479" s="87">
        <v>4</v>
      </c>
      <c r="C479" s="111">
        <v>9.8726639622741062E-3</v>
      </c>
      <c r="D479" s="87" t="s">
        <v>1601</v>
      </c>
      <c r="E479" s="87" t="b">
        <v>0</v>
      </c>
      <c r="F479" s="87" t="b">
        <v>0</v>
      </c>
      <c r="G479" s="87" t="b">
        <v>0</v>
      </c>
    </row>
    <row r="480" spans="1:7" x14ac:dyDescent="0.25">
      <c r="A480" s="84" t="s">
        <v>1745</v>
      </c>
      <c r="B480" s="87">
        <v>4</v>
      </c>
      <c r="C480" s="111">
        <v>9.8726639622741062E-3</v>
      </c>
      <c r="D480" s="87" t="s">
        <v>1601</v>
      </c>
      <c r="E480" s="87" t="b">
        <v>0</v>
      </c>
      <c r="F480" s="87" t="b">
        <v>0</v>
      </c>
      <c r="G480" s="87" t="b">
        <v>0</v>
      </c>
    </row>
    <row r="481" spans="1:7" x14ac:dyDescent="0.25">
      <c r="A481" s="84" t="s">
        <v>1647</v>
      </c>
      <c r="B481" s="87">
        <v>4</v>
      </c>
      <c r="C481" s="111">
        <v>1.1360029874277677E-2</v>
      </c>
      <c r="D481" s="87" t="s">
        <v>1601</v>
      </c>
      <c r="E481" s="87" t="b">
        <v>0</v>
      </c>
      <c r="F481" s="87" t="b">
        <v>0</v>
      </c>
      <c r="G481" s="87" t="b">
        <v>0</v>
      </c>
    </row>
    <row r="482" spans="1:7" x14ac:dyDescent="0.25">
      <c r="A482" s="84" t="s">
        <v>1760</v>
      </c>
      <c r="B482" s="87">
        <v>3</v>
      </c>
      <c r="C482" s="111">
        <v>8.5200224057082573E-3</v>
      </c>
      <c r="D482" s="87" t="s">
        <v>1601</v>
      </c>
      <c r="E482" s="87" t="b">
        <v>0</v>
      </c>
      <c r="F482" s="87" t="b">
        <v>0</v>
      </c>
      <c r="G482" s="87" t="b">
        <v>0</v>
      </c>
    </row>
    <row r="483" spans="1:7" x14ac:dyDescent="0.25">
      <c r="A483" s="84" t="s">
        <v>1774</v>
      </c>
      <c r="B483" s="87">
        <v>3</v>
      </c>
      <c r="C483" s="111">
        <v>8.5200224057082573E-3</v>
      </c>
      <c r="D483" s="87" t="s">
        <v>1601</v>
      </c>
      <c r="E483" s="87" t="b">
        <v>0</v>
      </c>
      <c r="F483" s="87" t="b">
        <v>0</v>
      </c>
      <c r="G483" s="87" t="b">
        <v>0</v>
      </c>
    </row>
    <row r="484" spans="1:7" x14ac:dyDescent="0.25">
      <c r="A484" s="84" t="s">
        <v>1676</v>
      </c>
      <c r="B484" s="87">
        <v>3</v>
      </c>
      <c r="C484" s="111">
        <v>8.5200224057082573E-3</v>
      </c>
      <c r="D484" s="87" t="s">
        <v>1601</v>
      </c>
      <c r="E484" s="87" t="b">
        <v>0</v>
      </c>
      <c r="F484" s="87" t="b">
        <v>0</v>
      </c>
      <c r="G484" s="87" t="b">
        <v>0</v>
      </c>
    </row>
    <row r="485" spans="1:7" x14ac:dyDescent="0.25">
      <c r="A485" s="84" t="s">
        <v>1768</v>
      </c>
      <c r="B485" s="87">
        <v>3</v>
      </c>
      <c r="C485" s="111">
        <v>8.5200224057082573E-3</v>
      </c>
      <c r="D485" s="87" t="s">
        <v>1601</v>
      </c>
      <c r="E485" s="87" t="b">
        <v>0</v>
      </c>
      <c r="F485" s="87" t="b">
        <v>0</v>
      </c>
      <c r="G485" s="87" t="b">
        <v>0</v>
      </c>
    </row>
    <row r="486" spans="1:7" x14ac:dyDescent="0.25">
      <c r="A486" s="84" t="s">
        <v>1680</v>
      </c>
      <c r="B486" s="87">
        <v>3</v>
      </c>
      <c r="C486" s="111">
        <v>8.5200224057082573E-3</v>
      </c>
      <c r="D486" s="87" t="s">
        <v>1601</v>
      </c>
      <c r="E486" s="87" t="b">
        <v>0</v>
      </c>
      <c r="F486" s="87" t="b">
        <v>0</v>
      </c>
      <c r="G486" s="87" t="b">
        <v>0</v>
      </c>
    </row>
    <row r="487" spans="1:7" x14ac:dyDescent="0.25">
      <c r="A487" s="84" t="s">
        <v>1718</v>
      </c>
      <c r="B487" s="87">
        <v>3</v>
      </c>
      <c r="C487" s="111">
        <v>8.5200224057082573E-3</v>
      </c>
      <c r="D487" s="87" t="s">
        <v>1601</v>
      </c>
      <c r="E487" s="87" t="b">
        <v>0</v>
      </c>
      <c r="F487" s="87" t="b">
        <v>0</v>
      </c>
      <c r="G487" s="87" t="b">
        <v>0</v>
      </c>
    </row>
    <row r="488" spans="1:7" x14ac:dyDescent="0.25">
      <c r="A488" s="84" t="s">
        <v>1723</v>
      </c>
      <c r="B488" s="87">
        <v>3</v>
      </c>
      <c r="C488" s="111">
        <v>8.5200224057082573E-3</v>
      </c>
      <c r="D488" s="87" t="s">
        <v>1601</v>
      </c>
      <c r="E488" s="87" t="b">
        <v>0</v>
      </c>
      <c r="F488" s="87" t="b">
        <v>0</v>
      </c>
      <c r="G488" s="87" t="b">
        <v>0</v>
      </c>
    </row>
    <row r="489" spans="1:7" x14ac:dyDescent="0.25">
      <c r="A489" s="84" t="s">
        <v>1808</v>
      </c>
      <c r="B489" s="87">
        <v>3</v>
      </c>
      <c r="C489" s="111">
        <v>8.5200224057082573E-3</v>
      </c>
      <c r="D489" s="87" t="s">
        <v>1601</v>
      </c>
      <c r="E489" s="87" t="b">
        <v>0</v>
      </c>
      <c r="F489" s="87" t="b">
        <v>0</v>
      </c>
      <c r="G489" s="87" t="b">
        <v>0</v>
      </c>
    </row>
    <row r="490" spans="1:7" x14ac:dyDescent="0.25">
      <c r="A490" s="84" t="s">
        <v>258</v>
      </c>
      <c r="B490" s="87">
        <v>3</v>
      </c>
      <c r="C490" s="111">
        <v>8.5200224057082573E-3</v>
      </c>
      <c r="D490" s="87" t="s">
        <v>1601</v>
      </c>
      <c r="E490" s="87" t="b">
        <v>0</v>
      </c>
      <c r="F490" s="87" t="b">
        <v>0</v>
      </c>
      <c r="G490" s="87" t="b">
        <v>0</v>
      </c>
    </row>
    <row r="491" spans="1:7" x14ac:dyDescent="0.25">
      <c r="A491" s="84" t="s">
        <v>320</v>
      </c>
      <c r="B491" s="87">
        <v>3</v>
      </c>
      <c r="C491" s="111">
        <v>8.5200224057082573E-3</v>
      </c>
      <c r="D491" s="87" t="s">
        <v>1601</v>
      </c>
      <c r="E491" s="87" t="b">
        <v>0</v>
      </c>
      <c r="F491" s="87" t="b">
        <v>0</v>
      </c>
      <c r="G491" s="87" t="b">
        <v>0</v>
      </c>
    </row>
    <row r="492" spans="1:7" x14ac:dyDescent="0.25">
      <c r="A492" s="84" t="s">
        <v>1654</v>
      </c>
      <c r="B492" s="87">
        <v>3</v>
      </c>
      <c r="C492" s="111">
        <v>8.5200224057082573E-3</v>
      </c>
      <c r="D492" s="87" t="s">
        <v>1601</v>
      </c>
      <c r="E492" s="87" t="b">
        <v>1</v>
      </c>
      <c r="F492" s="87" t="b">
        <v>0</v>
      </c>
      <c r="G492" s="87" t="b">
        <v>0</v>
      </c>
    </row>
    <row r="493" spans="1:7" x14ac:dyDescent="0.25">
      <c r="A493" s="84" t="s">
        <v>1688</v>
      </c>
      <c r="B493" s="87">
        <v>3</v>
      </c>
      <c r="C493" s="111">
        <v>8.5200224057082573E-3</v>
      </c>
      <c r="D493" s="87" t="s">
        <v>1601</v>
      </c>
      <c r="E493" s="87" t="b">
        <v>0</v>
      </c>
      <c r="F493" s="87" t="b">
        <v>0</v>
      </c>
      <c r="G493" s="87" t="b">
        <v>0</v>
      </c>
    </row>
    <row r="494" spans="1:7" x14ac:dyDescent="0.25">
      <c r="A494" s="84" t="s">
        <v>1766</v>
      </c>
      <c r="B494" s="87">
        <v>3</v>
      </c>
      <c r="C494" s="111">
        <v>8.5200224057082573E-3</v>
      </c>
      <c r="D494" s="87" t="s">
        <v>1601</v>
      </c>
      <c r="E494" s="87" t="b">
        <v>0</v>
      </c>
      <c r="F494" s="87" t="b">
        <v>0</v>
      </c>
      <c r="G494" s="87" t="b">
        <v>0</v>
      </c>
    </row>
    <row r="495" spans="1:7" x14ac:dyDescent="0.25">
      <c r="A495" s="84" t="s">
        <v>1800</v>
      </c>
      <c r="B495" s="87">
        <v>2</v>
      </c>
      <c r="C495" s="111">
        <v>6.7281771934226547E-3</v>
      </c>
      <c r="D495" s="87" t="s">
        <v>1601</v>
      </c>
      <c r="E495" s="87" t="b">
        <v>0</v>
      </c>
      <c r="F495" s="87" t="b">
        <v>0</v>
      </c>
      <c r="G495" s="87" t="b">
        <v>0</v>
      </c>
    </row>
    <row r="496" spans="1:7" x14ac:dyDescent="0.25">
      <c r="A496" s="84" t="s">
        <v>1865</v>
      </c>
      <c r="B496" s="87">
        <v>2</v>
      </c>
      <c r="C496" s="111">
        <v>6.7281771934226547E-3</v>
      </c>
      <c r="D496" s="87" t="s">
        <v>1601</v>
      </c>
      <c r="E496" s="87" t="b">
        <v>0</v>
      </c>
      <c r="F496" s="87" t="b">
        <v>0</v>
      </c>
      <c r="G496" s="87" t="b">
        <v>0</v>
      </c>
    </row>
    <row r="497" spans="1:7" x14ac:dyDescent="0.25">
      <c r="A497" s="84" t="s">
        <v>1771</v>
      </c>
      <c r="B497" s="87">
        <v>2</v>
      </c>
      <c r="C497" s="111">
        <v>6.7281771934226547E-3</v>
      </c>
      <c r="D497" s="87" t="s">
        <v>1601</v>
      </c>
      <c r="E497" s="87" t="b">
        <v>0</v>
      </c>
      <c r="F497" s="87" t="b">
        <v>0</v>
      </c>
      <c r="G497" s="87" t="b">
        <v>0</v>
      </c>
    </row>
    <row r="498" spans="1:7" x14ac:dyDescent="0.25">
      <c r="A498" s="84" t="s">
        <v>1937</v>
      </c>
      <c r="B498" s="87">
        <v>2</v>
      </c>
      <c r="C498" s="111">
        <v>6.7281771934226547E-3</v>
      </c>
      <c r="D498" s="87" t="s">
        <v>1601</v>
      </c>
      <c r="E498" s="87" t="b">
        <v>0</v>
      </c>
      <c r="F498" s="87" t="b">
        <v>0</v>
      </c>
      <c r="G498" s="87" t="b">
        <v>0</v>
      </c>
    </row>
    <row r="499" spans="1:7" x14ac:dyDescent="0.25">
      <c r="A499" s="84" t="s">
        <v>1918</v>
      </c>
      <c r="B499" s="87">
        <v>2</v>
      </c>
      <c r="C499" s="111">
        <v>6.7281771934226547E-3</v>
      </c>
      <c r="D499" s="87" t="s">
        <v>1601</v>
      </c>
      <c r="E499" s="87" t="b">
        <v>0</v>
      </c>
      <c r="F499" s="87" t="b">
        <v>0</v>
      </c>
      <c r="G499" s="87" t="b">
        <v>0</v>
      </c>
    </row>
    <row r="500" spans="1:7" x14ac:dyDescent="0.25">
      <c r="A500" s="84" t="s">
        <v>1646</v>
      </c>
      <c r="B500" s="87">
        <v>2</v>
      </c>
      <c r="C500" s="111">
        <v>6.7281771934226547E-3</v>
      </c>
      <c r="D500" s="87" t="s">
        <v>1601</v>
      </c>
      <c r="E500" s="87" t="b">
        <v>0</v>
      </c>
      <c r="F500" s="87" t="b">
        <v>0</v>
      </c>
      <c r="G500" s="87" t="b">
        <v>0</v>
      </c>
    </row>
    <row r="501" spans="1:7" x14ac:dyDescent="0.25">
      <c r="A501" s="84" t="s">
        <v>1659</v>
      </c>
      <c r="B501" s="87">
        <v>2</v>
      </c>
      <c r="C501" s="111">
        <v>6.7281771934226547E-3</v>
      </c>
      <c r="D501" s="87" t="s">
        <v>1601</v>
      </c>
      <c r="E501" s="87" t="b">
        <v>0</v>
      </c>
      <c r="F501" s="87" t="b">
        <v>0</v>
      </c>
      <c r="G501" s="87" t="b">
        <v>0</v>
      </c>
    </row>
    <row r="502" spans="1:7" x14ac:dyDescent="0.25">
      <c r="A502" s="84" t="s">
        <v>267</v>
      </c>
      <c r="B502" s="87">
        <v>2</v>
      </c>
      <c r="C502" s="111">
        <v>6.7281771934226547E-3</v>
      </c>
      <c r="D502" s="87" t="s">
        <v>1601</v>
      </c>
      <c r="E502" s="87" t="b">
        <v>0</v>
      </c>
      <c r="F502" s="87" t="b">
        <v>0</v>
      </c>
      <c r="G502" s="87" t="b">
        <v>0</v>
      </c>
    </row>
    <row r="503" spans="1:7" x14ac:dyDescent="0.25">
      <c r="A503" s="84" t="s">
        <v>257</v>
      </c>
      <c r="B503" s="87">
        <v>2</v>
      </c>
      <c r="C503" s="111">
        <v>6.7281771934226547E-3</v>
      </c>
      <c r="D503" s="87" t="s">
        <v>1601</v>
      </c>
      <c r="E503" s="87" t="b">
        <v>0</v>
      </c>
      <c r="F503" s="87" t="b">
        <v>0</v>
      </c>
      <c r="G503" s="87" t="b">
        <v>0</v>
      </c>
    </row>
    <row r="504" spans="1:7" x14ac:dyDescent="0.25">
      <c r="A504" s="84" t="s">
        <v>1822</v>
      </c>
      <c r="B504" s="87">
        <v>2</v>
      </c>
      <c r="C504" s="111">
        <v>8.5200224057082573E-3</v>
      </c>
      <c r="D504" s="87" t="s">
        <v>1601</v>
      </c>
      <c r="E504" s="87" t="b">
        <v>0</v>
      </c>
      <c r="F504" s="87" t="b">
        <v>0</v>
      </c>
      <c r="G504" s="87" t="b">
        <v>0</v>
      </c>
    </row>
    <row r="505" spans="1:7" x14ac:dyDescent="0.25">
      <c r="A505" s="84" t="s">
        <v>1938</v>
      </c>
      <c r="B505" s="87">
        <v>2</v>
      </c>
      <c r="C505" s="111">
        <v>8.5200224057082573E-3</v>
      </c>
      <c r="D505" s="87" t="s">
        <v>1601</v>
      </c>
      <c r="E505" s="87" t="b">
        <v>0</v>
      </c>
      <c r="F505" s="87" t="b">
        <v>0</v>
      </c>
      <c r="G505" s="87" t="b">
        <v>0</v>
      </c>
    </row>
    <row r="506" spans="1:7" x14ac:dyDescent="0.25">
      <c r="A506" s="84" t="s">
        <v>1819</v>
      </c>
      <c r="B506" s="87">
        <v>2</v>
      </c>
      <c r="C506" s="111">
        <v>6.7281771934226547E-3</v>
      </c>
      <c r="D506" s="87" t="s">
        <v>1601</v>
      </c>
      <c r="E506" s="87" t="b">
        <v>0</v>
      </c>
      <c r="F506" s="87" t="b">
        <v>0</v>
      </c>
      <c r="G506" s="87" t="b">
        <v>0</v>
      </c>
    </row>
    <row r="507" spans="1:7" x14ac:dyDescent="0.25">
      <c r="A507" s="84" t="s">
        <v>1815</v>
      </c>
      <c r="B507" s="87">
        <v>2</v>
      </c>
      <c r="C507" s="111">
        <v>8.5200224057082573E-3</v>
      </c>
      <c r="D507" s="87" t="s">
        <v>1601</v>
      </c>
      <c r="E507" s="87" t="b">
        <v>0</v>
      </c>
      <c r="F507" s="87" t="b">
        <v>0</v>
      </c>
      <c r="G507" s="87" t="b">
        <v>0</v>
      </c>
    </row>
    <row r="508" spans="1:7" x14ac:dyDescent="0.25">
      <c r="A508" s="84" t="s">
        <v>1812</v>
      </c>
      <c r="B508" s="87">
        <v>2</v>
      </c>
      <c r="C508" s="111">
        <v>6.7281771934226547E-3</v>
      </c>
      <c r="D508" s="87" t="s">
        <v>1601</v>
      </c>
      <c r="E508" s="87" t="b">
        <v>0</v>
      </c>
      <c r="F508" s="87" t="b">
        <v>0</v>
      </c>
      <c r="G508" s="87" t="b">
        <v>0</v>
      </c>
    </row>
    <row r="509" spans="1:7" x14ac:dyDescent="0.25">
      <c r="A509" s="84" t="s">
        <v>1660</v>
      </c>
      <c r="B509" s="87">
        <v>2</v>
      </c>
      <c r="C509" s="111">
        <v>6.7281771934226547E-3</v>
      </c>
      <c r="D509" s="87" t="s">
        <v>1601</v>
      </c>
      <c r="E509" s="87" t="b">
        <v>0</v>
      </c>
      <c r="F509" s="87" t="b">
        <v>0</v>
      </c>
      <c r="G509" s="87" t="b">
        <v>0</v>
      </c>
    </row>
    <row r="510" spans="1:7" x14ac:dyDescent="0.25">
      <c r="A510" s="84" t="s">
        <v>1915</v>
      </c>
      <c r="B510" s="87">
        <v>2</v>
      </c>
      <c r="C510" s="111">
        <v>6.7281771934226547E-3</v>
      </c>
      <c r="D510" s="87" t="s">
        <v>1601</v>
      </c>
      <c r="E510" s="87" t="b">
        <v>0</v>
      </c>
      <c r="F510" s="87" t="b">
        <v>0</v>
      </c>
      <c r="G510" s="87" t="b">
        <v>0</v>
      </c>
    </row>
    <row r="511" spans="1:7" x14ac:dyDescent="0.25">
      <c r="A511" s="84" t="s">
        <v>1863</v>
      </c>
      <c r="B511" s="87">
        <v>2</v>
      </c>
      <c r="C511" s="111">
        <v>6.7281771934226547E-3</v>
      </c>
      <c r="D511" s="87" t="s">
        <v>1601</v>
      </c>
      <c r="E511" s="87" t="b">
        <v>0</v>
      </c>
      <c r="F511" s="87" t="b">
        <v>0</v>
      </c>
      <c r="G511" s="87" t="b">
        <v>0</v>
      </c>
    </row>
    <row r="512" spans="1:7" x14ac:dyDescent="0.25">
      <c r="A512" s="84" t="s">
        <v>1830</v>
      </c>
      <c r="B512" s="87">
        <v>2</v>
      </c>
      <c r="C512" s="111">
        <v>6.7281771934226547E-3</v>
      </c>
      <c r="D512" s="87" t="s">
        <v>1601</v>
      </c>
      <c r="E512" s="87" t="b">
        <v>0</v>
      </c>
      <c r="F512" s="87" t="b">
        <v>0</v>
      </c>
      <c r="G512" s="87" t="b">
        <v>0</v>
      </c>
    </row>
    <row r="513" spans="1:7" x14ac:dyDescent="0.25">
      <c r="A513" s="84" t="s">
        <v>1767</v>
      </c>
      <c r="B513" s="87">
        <v>2</v>
      </c>
      <c r="C513" s="111">
        <v>6.7281771934226547E-3</v>
      </c>
      <c r="D513" s="87" t="s">
        <v>1601</v>
      </c>
      <c r="E513" s="87" t="b">
        <v>0</v>
      </c>
      <c r="F513" s="87" t="b">
        <v>0</v>
      </c>
      <c r="G513" s="87" t="b">
        <v>0</v>
      </c>
    </row>
    <row r="514" spans="1:7" x14ac:dyDescent="0.25">
      <c r="A514" s="84" t="s">
        <v>1798</v>
      </c>
      <c r="B514" s="87">
        <v>2</v>
      </c>
      <c r="C514" s="111">
        <v>6.7281771934226547E-3</v>
      </c>
      <c r="D514" s="87" t="s">
        <v>1601</v>
      </c>
      <c r="E514" s="87" t="b">
        <v>0</v>
      </c>
      <c r="F514" s="87" t="b">
        <v>0</v>
      </c>
      <c r="G514" s="87" t="b">
        <v>0</v>
      </c>
    </row>
    <row r="515" spans="1:7" x14ac:dyDescent="0.25">
      <c r="A515" s="84" t="s">
        <v>1689</v>
      </c>
      <c r="B515" s="87">
        <v>2</v>
      </c>
      <c r="C515" s="111">
        <v>6.7281771934226547E-3</v>
      </c>
      <c r="D515" s="87" t="s">
        <v>1601</v>
      </c>
      <c r="E515" s="87" t="b">
        <v>0</v>
      </c>
      <c r="F515" s="87" t="b">
        <v>0</v>
      </c>
      <c r="G515" s="87" t="b">
        <v>0</v>
      </c>
    </row>
    <row r="516" spans="1:7" x14ac:dyDescent="0.25">
      <c r="A516" s="84" t="s">
        <v>1663</v>
      </c>
      <c r="B516" s="87">
        <v>2</v>
      </c>
      <c r="C516" s="111">
        <v>6.7281771934226547E-3</v>
      </c>
      <c r="D516" s="87" t="s">
        <v>1601</v>
      </c>
      <c r="E516" s="87" t="b">
        <v>0</v>
      </c>
      <c r="F516" s="87" t="b">
        <v>0</v>
      </c>
      <c r="G516" s="87" t="b">
        <v>0</v>
      </c>
    </row>
    <row r="517" spans="1:7" x14ac:dyDescent="0.25">
      <c r="A517" s="84" t="s">
        <v>249</v>
      </c>
      <c r="B517" s="87">
        <v>21</v>
      </c>
      <c r="C517" s="111">
        <v>1.3394406884743125E-2</v>
      </c>
      <c r="D517" s="87" t="s">
        <v>1602</v>
      </c>
      <c r="E517" s="87" t="b">
        <v>0</v>
      </c>
      <c r="F517" s="87" t="b">
        <v>0</v>
      </c>
      <c r="G517" s="87" t="b">
        <v>0</v>
      </c>
    </row>
    <row r="518" spans="1:7" x14ac:dyDescent="0.25">
      <c r="A518" s="84" t="s">
        <v>275</v>
      </c>
      <c r="B518" s="87">
        <v>12</v>
      </c>
      <c r="C518" s="111">
        <v>9.8429426375143715E-3</v>
      </c>
      <c r="D518" s="87" t="s">
        <v>1602</v>
      </c>
      <c r="E518" s="87" t="b">
        <v>0</v>
      </c>
      <c r="F518" s="87" t="b">
        <v>0</v>
      </c>
      <c r="G518" s="87" t="b">
        <v>0</v>
      </c>
    </row>
    <row r="519" spans="1:7" x14ac:dyDescent="0.25">
      <c r="A519" s="84" t="s">
        <v>1650</v>
      </c>
      <c r="B519" s="87">
        <v>10</v>
      </c>
      <c r="C519" s="111">
        <v>1.0359979338190901E-2</v>
      </c>
      <c r="D519" s="87" t="s">
        <v>1602</v>
      </c>
      <c r="E519" s="87" t="b">
        <v>0</v>
      </c>
      <c r="F519" s="87" t="b">
        <v>0</v>
      </c>
      <c r="G519" s="87" t="b">
        <v>0</v>
      </c>
    </row>
    <row r="520" spans="1:7" x14ac:dyDescent="0.25">
      <c r="A520" s="84" t="s">
        <v>1645</v>
      </c>
      <c r="B520" s="87">
        <v>9</v>
      </c>
      <c r="C520" s="111">
        <v>1.0446099701500082E-2</v>
      </c>
      <c r="D520" s="87" t="s">
        <v>1602</v>
      </c>
      <c r="E520" s="87" t="b">
        <v>0</v>
      </c>
      <c r="F520" s="87" t="b">
        <v>0</v>
      </c>
      <c r="G520" s="87" t="b">
        <v>0</v>
      </c>
    </row>
    <row r="521" spans="1:7" x14ac:dyDescent="0.25">
      <c r="A521" s="84" t="s">
        <v>1644</v>
      </c>
      <c r="B521" s="87">
        <v>9</v>
      </c>
      <c r="C521" s="111">
        <v>1.4764413956271559E-2</v>
      </c>
      <c r="D521" s="87" t="s">
        <v>1602</v>
      </c>
      <c r="E521" s="87" t="b">
        <v>0</v>
      </c>
      <c r="F521" s="87" t="b">
        <v>0</v>
      </c>
      <c r="G521" s="87" t="b">
        <v>0</v>
      </c>
    </row>
    <row r="522" spans="1:7" x14ac:dyDescent="0.25">
      <c r="A522" s="84" t="s">
        <v>1656</v>
      </c>
      <c r="B522" s="87">
        <v>8</v>
      </c>
      <c r="C522" s="111">
        <v>1.0400463318139781E-2</v>
      </c>
      <c r="D522" s="87" t="s">
        <v>1602</v>
      </c>
      <c r="E522" s="87" t="b">
        <v>0</v>
      </c>
      <c r="F522" s="87" t="b">
        <v>0</v>
      </c>
      <c r="G522" s="87" t="b">
        <v>0</v>
      </c>
    </row>
    <row r="523" spans="1:7" x14ac:dyDescent="0.25">
      <c r="A523" s="84" t="s">
        <v>268</v>
      </c>
      <c r="B523" s="87">
        <v>7</v>
      </c>
      <c r="C523" s="111">
        <v>1.14834330771001E-2</v>
      </c>
      <c r="D523" s="87" t="s">
        <v>1602</v>
      </c>
      <c r="E523" s="87" t="b">
        <v>0</v>
      </c>
      <c r="F523" s="87" t="b">
        <v>0</v>
      </c>
      <c r="G523" s="87" t="b">
        <v>0</v>
      </c>
    </row>
    <row r="524" spans="1:7" x14ac:dyDescent="0.25">
      <c r="A524" s="84" t="s">
        <v>1664</v>
      </c>
      <c r="B524" s="87">
        <v>6</v>
      </c>
      <c r="C524" s="111">
        <v>9.8429426375143715E-3</v>
      </c>
      <c r="D524" s="87" t="s">
        <v>1602</v>
      </c>
      <c r="E524" s="87" t="b">
        <v>0</v>
      </c>
      <c r="F524" s="87" t="b">
        <v>0</v>
      </c>
      <c r="G524" s="87" t="b">
        <v>0</v>
      </c>
    </row>
    <row r="525" spans="1:7" x14ac:dyDescent="0.25">
      <c r="A525" s="84" t="s">
        <v>1693</v>
      </c>
      <c r="B525" s="87">
        <v>4</v>
      </c>
      <c r="C525" s="111">
        <v>8.4812125382413475E-3</v>
      </c>
      <c r="D525" s="87" t="s">
        <v>1602</v>
      </c>
      <c r="E525" s="87" t="b">
        <v>0</v>
      </c>
      <c r="F525" s="87" t="b">
        <v>0</v>
      </c>
      <c r="G525" s="87" t="b">
        <v>0</v>
      </c>
    </row>
    <row r="526" spans="1:7" x14ac:dyDescent="0.25">
      <c r="A526" s="84" t="s">
        <v>1666</v>
      </c>
      <c r="B526" s="87">
        <v>4</v>
      </c>
      <c r="C526" s="111">
        <v>8.4812125382413475E-3</v>
      </c>
      <c r="D526" s="87" t="s">
        <v>1602</v>
      </c>
      <c r="E526" s="87" t="b">
        <v>1</v>
      </c>
      <c r="F526" s="87" t="b">
        <v>0</v>
      </c>
      <c r="G526" s="87" t="b">
        <v>0</v>
      </c>
    </row>
    <row r="527" spans="1:7" x14ac:dyDescent="0.25">
      <c r="A527" s="84" t="s">
        <v>1716</v>
      </c>
      <c r="B527" s="87">
        <v>4</v>
      </c>
      <c r="C527" s="111">
        <v>8.4812125382413475E-3</v>
      </c>
      <c r="D527" s="87" t="s">
        <v>1602</v>
      </c>
      <c r="E527" s="87" t="b">
        <v>0</v>
      </c>
      <c r="F527" s="87" t="b">
        <v>0</v>
      </c>
      <c r="G527" s="87" t="b">
        <v>0</v>
      </c>
    </row>
    <row r="528" spans="1:7" x14ac:dyDescent="0.25">
      <c r="A528" s="84" t="s">
        <v>1719</v>
      </c>
      <c r="B528" s="87">
        <v>4</v>
      </c>
      <c r="C528" s="111">
        <v>8.4812125382413475E-3</v>
      </c>
      <c r="D528" s="87" t="s">
        <v>1602</v>
      </c>
      <c r="E528" s="87" t="b">
        <v>0</v>
      </c>
      <c r="F528" s="87" t="b">
        <v>0</v>
      </c>
      <c r="G528" s="87" t="b">
        <v>0</v>
      </c>
    </row>
    <row r="529" spans="1:7" x14ac:dyDescent="0.25">
      <c r="A529" s="84" t="s">
        <v>1672</v>
      </c>
      <c r="B529" s="87">
        <v>4</v>
      </c>
      <c r="C529" s="111">
        <v>8.4812125382413475E-3</v>
      </c>
      <c r="D529" s="87" t="s">
        <v>1602</v>
      </c>
      <c r="E529" s="87" t="b">
        <v>0</v>
      </c>
      <c r="F529" s="87" t="b">
        <v>0</v>
      </c>
      <c r="G529" s="87" t="b">
        <v>0</v>
      </c>
    </row>
    <row r="530" spans="1:7" x14ac:dyDescent="0.25">
      <c r="A530" s="84" t="s">
        <v>1720</v>
      </c>
      <c r="B530" s="87">
        <v>4</v>
      </c>
      <c r="C530" s="111">
        <v>8.4812125382413475E-3</v>
      </c>
      <c r="D530" s="87" t="s">
        <v>1602</v>
      </c>
      <c r="E530" s="87" t="b">
        <v>0</v>
      </c>
      <c r="F530" s="87" t="b">
        <v>0</v>
      </c>
      <c r="G530" s="87" t="b">
        <v>0</v>
      </c>
    </row>
    <row r="531" spans="1:7" x14ac:dyDescent="0.25">
      <c r="A531" s="84" t="s">
        <v>1668</v>
      </c>
      <c r="B531" s="87">
        <v>4</v>
      </c>
      <c r="C531" s="111">
        <v>8.4812125382413475E-3</v>
      </c>
      <c r="D531" s="87" t="s">
        <v>1602</v>
      </c>
      <c r="E531" s="87" t="b">
        <v>0</v>
      </c>
      <c r="F531" s="87" t="b">
        <v>0</v>
      </c>
      <c r="G531" s="87" t="b">
        <v>0</v>
      </c>
    </row>
    <row r="532" spans="1:7" x14ac:dyDescent="0.25">
      <c r="A532" s="84" t="s">
        <v>1684</v>
      </c>
      <c r="B532" s="87">
        <v>4</v>
      </c>
      <c r="C532" s="111">
        <v>8.4812125382413475E-3</v>
      </c>
      <c r="D532" s="87" t="s">
        <v>1602</v>
      </c>
      <c r="E532" s="87" t="b">
        <v>1</v>
      </c>
      <c r="F532" s="87" t="b">
        <v>0</v>
      </c>
      <c r="G532" s="87" t="b">
        <v>0</v>
      </c>
    </row>
    <row r="533" spans="1:7" x14ac:dyDescent="0.25">
      <c r="A533" s="84" t="s">
        <v>1702</v>
      </c>
      <c r="B533" s="87">
        <v>4</v>
      </c>
      <c r="C533" s="111">
        <v>8.4812125382413475E-3</v>
      </c>
      <c r="D533" s="87" t="s">
        <v>1602</v>
      </c>
      <c r="E533" s="87" t="b">
        <v>0</v>
      </c>
      <c r="F533" s="87" t="b">
        <v>0</v>
      </c>
      <c r="G533" s="87" t="b">
        <v>0</v>
      </c>
    </row>
    <row r="534" spans="1:7" x14ac:dyDescent="0.25">
      <c r="A534" s="84" t="s">
        <v>1707</v>
      </c>
      <c r="B534" s="87">
        <v>4</v>
      </c>
      <c r="C534" s="111">
        <v>8.4812125382413475E-3</v>
      </c>
      <c r="D534" s="87" t="s">
        <v>1602</v>
      </c>
      <c r="E534" s="87" t="b">
        <v>0</v>
      </c>
      <c r="F534" s="87" t="b">
        <v>0</v>
      </c>
      <c r="G534" s="87" t="b">
        <v>0</v>
      </c>
    </row>
    <row r="535" spans="1:7" x14ac:dyDescent="0.25">
      <c r="A535" s="84" t="s">
        <v>1699</v>
      </c>
      <c r="B535" s="87">
        <v>4</v>
      </c>
      <c r="C535" s="111">
        <v>9.8429426375143698E-3</v>
      </c>
      <c r="D535" s="87" t="s">
        <v>1602</v>
      </c>
      <c r="E535" s="87" t="b">
        <v>0</v>
      </c>
      <c r="F535" s="87" t="b">
        <v>0</v>
      </c>
      <c r="G535" s="87" t="b">
        <v>0</v>
      </c>
    </row>
    <row r="536" spans="1:7" x14ac:dyDescent="0.25">
      <c r="A536" s="84" t="s">
        <v>1759</v>
      </c>
      <c r="B536" s="87">
        <v>3</v>
      </c>
      <c r="C536" s="111">
        <v>7.3822069781357778E-3</v>
      </c>
      <c r="D536" s="87" t="s">
        <v>1602</v>
      </c>
      <c r="E536" s="87" t="b">
        <v>0</v>
      </c>
      <c r="F536" s="87" t="b">
        <v>0</v>
      </c>
      <c r="G536" s="87" t="b">
        <v>0</v>
      </c>
    </row>
    <row r="537" spans="1:7" x14ac:dyDescent="0.25">
      <c r="A537" s="84" t="s">
        <v>1740</v>
      </c>
      <c r="B537" s="87">
        <v>3</v>
      </c>
      <c r="C537" s="111">
        <v>8.8216450630596039E-3</v>
      </c>
      <c r="D537" s="87" t="s">
        <v>1602</v>
      </c>
      <c r="E537" s="87" t="b">
        <v>1</v>
      </c>
      <c r="F537" s="87" t="b">
        <v>0</v>
      </c>
      <c r="G537" s="87" t="b">
        <v>0</v>
      </c>
    </row>
    <row r="538" spans="1:7" x14ac:dyDescent="0.25">
      <c r="A538" s="84" t="s">
        <v>1738</v>
      </c>
      <c r="B538" s="87">
        <v>3</v>
      </c>
      <c r="C538" s="111">
        <v>8.8216450630596039E-3</v>
      </c>
      <c r="D538" s="87" t="s">
        <v>1602</v>
      </c>
      <c r="E538" s="87" t="b">
        <v>0</v>
      </c>
      <c r="F538" s="87" t="b">
        <v>0</v>
      </c>
      <c r="G538" s="87" t="b">
        <v>0</v>
      </c>
    </row>
    <row r="539" spans="1:7" x14ac:dyDescent="0.25">
      <c r="A539" s="84" t="s">
        <v>1733</v>
      </c>
      <c r="B539" s="87">
        <v>3</v>
      </c>
      <c r="C539" s="111">
        <v>7.3822069781357778E-3</v>
      </c>
      <c r="D539" s="87" t="s">
        <v>1602</v>
      </c>
      <c r="E539" s="87" t="b">
        <v>0</v>
      </c>
      <c r="F539" s="87" t="b">
        <v>0</v>
      </c>
      <c r="G539" s="87" t="b">
        <v>0</v>
      </c>
    </row>
    <row r="540" spans="1:7" x14ac:dyDescent="0.25">
      <c r="A540" s="84" t="s">
        <v>1685</v>
      </c>
      <c r="B540" s="87">
        <v>2</v>
      </c>
      <c r="C540" s="111">
        <v>5.8810967087064023E-3</v>
      </c>
      <c r="D540" s="87" t="s">
        <v>1602</v>
      </c>
      <c r="E540" s="87" t="b">
        <v>0</v>
      </c>
      <c r="F540" s="87" t="b">
        <v>0</v>
      </c>
      <c r="G540" s="87" t="b">
        <v>0</v>
      </c>
    </row>
    <row r="541" spans="1:7" x14ac:dyDescent="0.25">
      <c r="A541" s="84" t="s">
        <v>1781</v>
      </c>
      <c r="B541" s="87">
        <v>2</v>
      </c>
      <c r="C541" s="111">
        <v>5.8810967087064023E-3</v>
      </c>
      <c r="D541" s="87" t="s">
        <v>1602</v>
      </c>
      <c r="E541" s="87" t="b">
        <v>0</v>
      </c>
      <c r="F541" s="87" t="b">
        <v>0</v>
      </c>
      <c r="G541" s="87" t="b">
        <v>0</v>
      </c>
    </row>
    <row r="542" spans="1:7" x14ac:dyDescent="0.25">
      <c r="A542" s="84" t="s">
        <v>1704</v>
      </c>
      <c r="B542" s="87">
        <v>2</v>
      </c>
      <c r="C542" s="111">
        <v>5.8810967087064023E-3</v>
      </c>
      <c r="D542" s="87" t="s">
        <v>1602</v>
      </c>
      <c r="E542" s="87" t="b">
        <v>0</v>
      </c>
      <c r="F542" s="87" t="b">
        <v>0</v>
      </c>
      <c r="G542" s="87" t="b">
        <v>0</v>
      </c>
    </row>
    <row r="543" spans="1:7" x14ac:dyDescent="0.25">
      <c r="A543" s="84" t="s">
        <v>1788</v>
      </c>
      <c r="B543" s="87">
        <v>2</v>
      </c>
      <c r="C543" s="111">
        <v>5.8810967087064023E-3</v>
      </c>
      <c r="D543" s="87" t="s">
        <v>1602</v>
      </c>
      <c r="E543" s="87" t="b">
        <v>1</v>
      </c>
      <c r="F543" s="87" t="b">
        <v>0</v>
      </c>
      <c r="G543" s="87" t="b">
        <v>0</v>
      </c>
    </row>
    <row r="544" spans="1:7" x14ac:dyDescent="0.25">
      <c r="A544" s="84" t="s">
        <v>1927</v>
      </c>
      <c r="B544" s="87">
        <v>2</v>
      </c>
      <c r="C544" s="111">
        <v>5.8810967087064023E-3</v>
      </c>
      <c r="D544" s="87" t="s">
        <v>1602</v>
      </c>
      <c r="E544" s="87" t="b">
        <v>0</v>
      </c>
      <c r="F544" s="87" t="b">
        <v>0</v>
      </c>
      <c r="G544" s="87" t="b">
        <v>0</v>
      </c>
    </row>
    <row r="545" spans="1:7" x14ac:dyDescent="0.25">
      <c r="A545" s="84" t="s">
        <v>1640</v>
      </c>
      <c r="B545" s="87">
        <v>2</v>
      </c>
      <c r="C545" s="111">
        <v>5.8810967087064023E-3</v>
      </c>
      <c r="D545" s="87" t="s">
        <v>1602</v>
      </c>
      <c r="E545" s="87" t="b">
        <v>0</v>
      </c>
      <c r="F545" s="87" t="b">
        <v>0</v>
      </c>
      <c r="G545" s="87" t="b">
        <v>0</v>
      </c>
    </row>
    <row r="546" spans="1:7" x14ac:dyDescent="0.25">
      <c r="A546" s="84" t="s">
        <v>1828</v>
      </c>
      <c r="B546" s="87">
        <v>2</v>
      </c>
      <c r="C546" s="111">
        <v>5.8810967087064023E-3</v>
      </c>
      <c r="D546" s="87" t="s">
        <v>1602</v>
      </c>
      <c r="E546" s="87" t="b">
        <v>0</v>
      </c>
      <c r="F546" s="87" t="b">
        <v>0</v>
      </c>
      <c r="G546" s="87" t="b">
        <v>0</v>
      </c>
    </row>
    <row r="547" spans="1:7" x14ac:dyDescent="0.25">
      <c r="A547" s="84" t="s">
        <v>1818</v>
      </c>
      <c r="B547" s="87">
        <v>2</v>
      </c>
      <c r="C547" s="111">
        <v>5.8810967087064023E-3</v>
      </c>
      <c r="D547" s="87" t="s">
        <v>1602</v>
      </c>
      <c r="E547" s="87" t="b">
        <v>0</v>
      </c>
      <c r="F547" s="87" t="b">
        <v>0</v>
      </c>
      <c r="G547" s="87" t="b">
        <v>0</v>
      </c>
    </row>
    <row r="548" spans="1:7" x14ac:dyDescent="0.25">
      <c r="A548" s="84" t="s">
        <v>317</v>
      </c>
      <c r="B548" s="87">
        <v>2</v>
      </c>
      <c r="C548" s="111">
        <v>5.8810967087064023E-3</v>
      </c>
      <c r="D548" s="87" t="s">
        <v>1602</v>
      </c>
      <c r="E548" s="87" t="b">
        <v>0</v>
      </c>
      <c r="F548" s="87" t="b">
        <v>0</v>
      </c>
      <c r="G548" s="87" t="b">
        <v>0</v>
      </c>
    </row>
    <row r="549" spans="1:7" x14ac:dyDescent="0.25">
      <c r="A549" s="84" t="s">
        <v>1703</v>
      </c>
      <c r="B549" s="87">
        <v>2</v>
      </c>
      <c r="C549" s="111">
        <v>5.8810967087064023E-3</v>
      </c>
      <c r="D549" s="87" t="s">
        <v>1602</v>
      </c>
      <c r="E549" s="87" t="b">
        <v>0</v>
      </c>
      <c r="F549" s="87" t="b">
        <v>0</v>
      </c>
      <c r="G549" s="87" t="b">
        <v>0</v>
      </c>
    </row>
    <row r="550" spans="1:7" x14ac:dyDescent="0.25">
      <c r="A550" s="84" t="s">
        <v>1942</v>
      </c>
      <c r="B550" s="87">
        <v>2</v>
      </c>
      <c r="C550" s="111">
        <v>5.8810967087064023E-3</v>
      </c>
      <c r="D550" s="87" t="s">
        <v>1602</v>
      </c>
      <c r="E550" s="87" t="b">
        <v>0</v>
      </c>
      <c r="F550" s="87" t="b">
        <v>0</v>
      </c>
      <c r="G550" s="87" t="b">
        <v>0</v>
      </c>
    </row>
    <row r="551" spans="1:7" x14ac:dyDescent="0.25">
      <c r="A551" s="84" t="s">
        <v>1857</v>
      </c>
      <c r="B551" s="87">
        <v>2</v>
      </c>
      <c r="C551" s="111">
        <v>5.8810967087064023E-3</v>
      </c>
      <c r="D551" s="87" t="s">
        <v>1602</v>
      </c>
      <c r="E551" s="87" t="b">
        <v>0</v>
      </c>
      <c r="F551" s="87" t="b">
        <v>0</v>
      </c>
      <c r="G551" s="87" t="b">
        <v>0</v>
      </c>
    </row>
    <row r="552" spans="1:7" x14ac:dyDescent="0.25">
      <c r="A552" s="84" t="s">
        <v>1845</v>
      </c>
      <c r="B552" s="87">
        <v>2</v>
      </c>
      <c r="C552" s="111">
        <v>5.8810967087064023E-3</v>
      </c>
      <c r="D552" s="87" t="s">
        <v>1602</v>
      </c>
      <c r="E552" s="87" t="b">
        <v>0</v>
      </c>
      <c r="F552" s="87" t="b">
        <v>0</v>
      </c>
      <c r="G552" s="87" t="b">
        <v>0</v>
      </c>
    </row>
    <row r="553" spans="1:7" x14ac:dyDescent="0.25">
      <c r="A553" s="84" t="s">
        <v>1878</v>
      </c>
      <c r="B553" s="87">
        <v>2</v>
      </c>
      <c r="C553" s="111">
        <v>5.8810967087064023E-3</v>
      </c>
      <c r="D553" s="87" t="s">
        <v>1602</v>
      </c>
      <c r="E553" s="87" t="b">
        <v>0</v>
      </c>
      <c r="F553" s="87" t="b">
        <v>0</v>
      </c>
      <c r="G553" s="87" t="b">
        <v>0</v>
      </c>
    </row>
    <row r="554" spans="1:7" x14ac:dyDescent="0.25">
      <c r="A554" s="84" t="s">
        <v>1667</v>
      </c>
      <c r="B554" s="87">
        <v>2</v>
      </c>
      <c r="C554" s="111">
        <v>5.8810967087064023E-3</v>
      </c>
      <c r="D554" s="87" t="s">
        <v>1602</v>
      </c>
      <c r="E554" s="87" t="b">
        <v>0</v>
      </c>
      <c r="F554" s="87" t="b">
        <v>0</v>
      </c>
      <c r="G554" s="87" t="b">
        <v>0</v>
      </c>
    </row>
    <row r="555" spans="1:7" x14ac:dyDescent="0.25">
      <c r="A555" s="84" t="s">
        <v>1833</v>
      </c>
      <c r="B555" s="87">
        <v>2</v>
      </c>
      <c r="C555" s="111">
        <v>5.8810967087064023E-3</v>
      </c>
      <c r="D555" s="87" t="s">
        <v>1602</v>
      </c>
      <c r="E555" s="87" t="b">
        <v>0</v>
      </c>
      <c r="F555" s="87" t="b">
        <v>0</v>
      </c>
      <c r="G555" s="87" t="b">
        <v>0</v>
      </c>
    </row>
    <row r="556" spans="1:7" x14ac:dyDescent="0.25">
      <c r="A556" s="84" t="s">
        <v>1796</v>
      </c>
      <c r="B556" s="87">
        <v>2</v>
      </c>
      <c r="C556" s="111">
        <v>5.8810967087064023E-3</v>
      </c>
      <c r="D556" s="87" t="s">
        <v>1602</v>
      </c>
      <c r="E556" s="87" t="b">
        <v>0</v>
      </c>
      <c r="F556" s="87" t="b">
        <v>0</v>
      </c>
      <c r="G556" s="87" t="b">
        <v>0</v>
      </c>
    </row>
    <row r="557" spans="1:7" x14ac:dyDescent="0.25">
      <c r="A557" s="84" t="s">
        <v>1802</v>
      </c>
      <c r="B557" s="87">
        <v>2</v>
      </c>
      <c r="C557" s="111">
        <v>5.8810967087064023E-3</v>
      </c>
      <c r="D557" s="87" t="s">
        <v>1602</v>
      </c>
      <c r="E557" s="87" t="b">
        <v>0</v>
      </c>
      <c r="F557" s="87" t="b">
        <v>0</v>
      </c>
      <c r="G557" s="87" t="b">
        <v>0</v>
      </c>
    </row>
    <row r="558" spans="1:7" x14ac:dyDescent="0.25">
      <c r="A558" s="84" t="s">
        <v>1708</v>
      </c>
      <c r="B558" s="87">
        <v>2</v>
      </c>
      <c r="C558" s="111">
        <v>5.8810967087064023E-3</v>
      </c>
      <c r="D558" s="87" t="s">
        <v>1602</v>
      </c>
      <c r="E558" s="87" t="b">
        <v>0</v>
      </c>
      <c r="F558" s="87" t="b">
        <v>0</v>
      </c>
      <c r="G558" s="87" t="b">
        <v>0</v>
      </c>
    </row>
    <row r="559" spans="1:7" x14ac:dyDescent="0.25">
      <c r="A559" s="84" t="s">
        <v>1735</v>
      </c>
      <c r="B559" s="87">
        <v>2</v>
      </c>
      <c r="C559" s="111">
        <v>5.8810967087064023E-3</v>
      </c>
      <c r="D559" s="87" t="s">
        <v>1602</v>
      </c>
      <c r="E559" s="87" t="b">
        <v>0</v>
      </c>
      <c r="F559" s="87" t="b">
        <v>0</v>
      </c>
      <c r="G559" s="87" t="b">
        <v>0</v>
      </c>
    </row>
    <row r="560" spans="1:7" x14ac:dyDescent="0.25">
      <c r="A560" s="84" t="s">
        <v>1678</v>
      </c>
      <c r="B560" s="87">
        <v>2</v>
      </c>
      <c r="C560" s="111">
        <v>5.8810967087064023E-3</v>
      </c>
      <c r="D560" s="87" t="s">
        <v>1602</v>
      </c>
      <c r="E560" s="87" t="b">
        <v>0</v>
      </c>
      <c r="F560" s="87" t="b">
        <v>0</v>
      </c>
      <c r="G560" s="87" t="b">
        <v>0</v>
      </c>
    </row>
    <row r="561" spans="1:7" x14ac:dyDescent="0.25">
      <c r="A561" s="84" t="s">
        <v>1674</v>
      </c>
      <c r="B561" s="87">
        <v>2</v>
      </c>
      <c r="C561" s="111">
        <v>5.8810967087064023E-3</v>
      </c>
      <c r="D561" s="87" t="s">
        <v>1602</v>
      </c>
      <c r="E561" s="87" t="b">
        <v>0</v>
      </c>
      <c r="F561" s="87" t="b">
        <v>0</v>
      </c>
      <c r="G561" s="87" t="b">
        <v>0</v>
      </c>
    </row>
    <row r="562" spans="1:7" x14ac:dyDescent="0.25">
      <c r="A562" s="84" t="s">
        <v>1922</v>
      </c>
      <c r="B562" s="87">
        <v>2</v>
      </c>
      <c r="C562" s="111">
        <v>5.8810967087064023E-3</v>
      </c>
      <c r="D562" s="87" t="s">
        <v>1602</v>
      </c>
      <c r="E562" s="87" t="b">
        <v>1</v>
      </c>
      <c r="F562" s="87" t="b">
        <v>0</v>
      </c>
      <c r="G562" s="87" t="b">
        <v>0</v>
      </c>
    </row>
    <row r="563" spans="1:7" x14ac:dyDescent="0.25">
      <c r="A563" s="84" t="s">
        <v>1705</v>
      </c>
      <c r="B563" s="87">
        <v>2</v>
      </c>
      <c r="C563" s="111">
        <v>5.8810967087064023E-3</v>
      </c>
      <c r="D563" s="87" t="s">
        <v>1602</v>
      </c>
      <c r="E563" s="87" t="b">
        <v>0</v>
      </c>
      <c r="F563" s="87" t="b">
        <v>0</v>
      </c>
      <c r="G563" s="87" t="b">
        <v>0</v>
      </c>
    </row>
    <row r="564" spans="1:7" x14ac:dyDescent="0.25">
      <c r="A564" s="84" t="s">
        <v>1901</v>
      </c>
      <c r="B564" s="87">
        <v>2</v>
      </c>
      <c r="C564" s="111">
        <v>5.8810967087064023E-3</v>
      </c>
      <c r="D564" s="87" t="s">
        <v>1602</v>
      </c>
      <c r="E564" s="87" t="b">
        <v>0</v>
      </c>
      <c r="F564" s="87" t="b">
        <v>0</v>
      </c>
      <c r="G564" s="87" t="b">
        <v>0</v>
      </c>
    </row>
    <row r="565" spans="1:7" x14ac:dyDescent="0.25">
      <c r="A565" s="84" t="s">
        <v>1682</v>
      </c>
      <c r="B565" s="87">
        <v>2</v>
      </c>
      <c r="C565" s="111">
        <v>5.8810967087064023E-3</v>
      </c>
      <c r="D565" s="87" t="s">
        <v>1602</v>
      </c>
      <c r="E565" s="87" t="b">
        <v>1</v>
      </c>
      <c r="F565" s="87" t="b">
        <v>0</v>
      </c>
      <c r="G565" s="87" t="b">
        <v>0</v>
      </c>
    </row>
    <row r="566" spans="1:7" x14ac:dyDescent="0.25">
      <c r="A566" s="84" t="s">
        <v>1690</v>
      </c>
      <c r="B566" s="87">
        <v>2</v>
      </c>
      <c r="C566" s="111">
        <v>5.8810967087064023E-3</v>
      </c>
      <c r="D566" s="87" t="s">
        <v>1602</v>
      </c>
      <c r="E566" s="87" t="b">
        <v>1</v>
      </c>
      <c r="F566" s="87" t="b">
        <v>0</v>
      </c>
      <c r="G566" s="87" t="b">
        <v>0</v>
      </c>
    </row>
    <row r="567" spans="1:7" x14ac:dyDescent="0.25">
      <c r="A567" s="84" t="s">
        <v>277</v>
      </c>
      <c r="B567" s="87">
        <v>2</v>
      </c>
      <c r="C567" s="111">
        <v>5.8810967087064023E-3</v>
      </c>
      <c r="D567" s="87" t="s">
        <v>1602</v>
      </c>
      <c r="E567" s="87" t="b">
        <v>0</v>
      </c>
      <c r="F567" s="87" t="b">
        <v>0</v>
      </c>
      <c r="G567" s="87" t="b">
        <v>0</v>
      </c>
    </row>
    <row r="568" spans="1:7" x14ac:dyDescent="0.25">
      <c r="A568" s="84" t="s">
        <v>1777</v>
      </c>
      <c r="B568" s="87">
        <v>2</v>
      </c>
      <c r="C568" s="111">
        <v>5.8810967087064023E-3</v>
      </c>
      <c r="D568" s="87" t="s">
        <v>1602</v>
      </c>
      <c r="E568" s="87" t="b">
        <v>0</v>
      </c>
      <c r="F568" s="87" t="b">
        <v>0</v>
      </c>
      <c r="G568" s="87" t="b">
        <v>0</v>
      </c>
    </row>
    <row r="569" spans="1:7" x14ac:dyDescent="0.25">
      <c r="A569" s="84" t="s">
        <v>1834</v>
      </c>
      <c r="B569" s="87">
        <v>2</v>
      </c>
      <c r="C569" s="111">
        <v>5.8810967087064023E-3</v>
      </c>
      <c r="D569" s="87" t="s">
        <v>1602</v>
      </c>
      <c r="E569" s="87" t="b">
        <v>0</v>
      </c>
      <c r="F569" s="87" t="b">
        <v>0</v>
      </c>
      <c r="G569" s="87" t="b">
        <v>0</v>
      </c>
    </row>
    <row r="570" spans="1:7" x14ac:dyDescent="0.25">
      <c r="A570" s="84" t="s">
        <v>1724</v>
      </c>
      <c r="B570" s="87">
        <v>2</v>
      </c>
      <c r="C570" s="111">
        <v>5.8810967087064023E-3</v>
      </c>
      <c r="D570" s="87" t="s">
        <v>1602</v>
      </c>
      <c r="E570" s="87" t="b">
        <v>0</v>
      </c>
      <c r="F570" s="87" t="b">
        <v>0</v>
      </c>
      <c r="G570" s="87" t="b">
        <v>0</v>
      </c>
    </row>
    <row r="571" spans="1:7" x14ac:dyDescent="0.25">
      <c r="A571" s="84" t="s">
        <v>1946</v>
      </c>
      <c r="B571" s="87">
        <v>2</v>
      </c>
      <c r="C571" s="111">
        <v>5.8810967087064023E-3</v>
      </c>
      <c r="D571" s="87" t="s">
        <v>1602</v>
      </c>
      <c r="E571" s="87" t="b">
        <v>1</v>
      </c>
      <c r="F571" s="87" t="b">
        <v>0</v>
      </c>
      <c r="G571" s="87" t="b">
        <v>0</v>
      </c>
    </row>
    <row r="572" spans="1:7" x14ac:dyDescent="0.25">
      <c r="A572" s="84" t="s">
        <v>1653</v>
      </c>
      <c r="B572" s="87">
        <v>2</v>
      </c>
      <c r="C572" s="111">
        <v>5.8810967087064023E-3</v>
      </c>
      <c r="D572" s="87" t="s">
        <v>1602</v>
      </c>
      <c r="E572" s="87" t="b">
        <v>0</v>
      </c>
      <c r="F572" s="87" t="b">
        <v>0</v>
      </c>
      <c r="G572" s="87" t="b">
        <v>0</v>
      </c>
    </row>
    <row r="573" spans="1:7" x14ac:dyDescent="0.25">
      <c r="A573" s="84" t="s">
        <v>488</v>
      </c>
      <c r="B573" s="87">
        <v>2</v>
      </c>
      <c r="C573" s="111">
        <v>7.52158714829213E-3</v>
      </c>
      <c r="D573" s="87" t="s">
        <v>1602</v>
      </c>
      <c r="E573" s="87" t="b">
        <v>0</v>
      </c>
      <c r="F573" s="87" t="b">
        <v>0</v>
      </c>
      <c r="G573" s="87" t="b">
        <v>0</v>
      </c>
    </row>
    <row r="574" spans="1:7" x14ac:dyDescent="0.25">
      <c r="A574" s="84" t="s">
        <v>1941</v>
      </c>
      <c r="B574" s="87">
        <v>2</v>
      </c>
      <c r="C574" s="111">
        <v>5.8810967087064023E-3</v>
      </c>
      <c r="D574" s="87" t="s">
        <v>1602</v>
      </c>
      <c r="E574" s="87" t="b">
        <v>0</v>
      </c>
      <c r="F574" s="87" t="b">
        <v>0</v>
      </c>
      <c r="G574" s="87" t="b">
        <v>0</v>
      </c>
    </row>
    <row r="575" spans="1:7" x14ac:dyDescent="0.25">
      <c r="A575" s="84" t="s">
        <v>1905</v>
      </c>
      <c r="B575" s="87">
        <v>2</v>
      </c>
      <c r="C575" s="111">
        <v>5.8810967087064023E-3</v>
      </c>
      <c r="D575" s="87" t="s">
        <v>1602</v>
      </c>
      <c r="E575" s="87" t="b">
        <v>0</v>
      </c>
      <c r="F575" s="87" t="b">
        <v>0</v>
      </c>
      <c r="G575" s="87" t="b">
        <v>0</v>
      </c>
    </row>
    <row r="576" spans="1:7" x14ac:dyDescent="0.25">
      <c r="A576" s="84" t="s">
        <v>1801</v>
      </c>
      <c r="B576" s="87">
        <v>2</v>
      </c>
      <c r="C576" s="111">
        <v>5.8810967087064023E-3</v>
      </c>
      <c r="D576" s="87" t="s">
        <v>1602</v>
      </c>
      <c r="E576" s="87" t="b">
        <v>0</v>
      </c>
      <c r="F576" s="87" t="b">
        <v>0</v>
      </c>
      <c r="G576" s="87" t="b">
        <v>0</v>
      </c>
    </row>
    <row r="577" spans="1:7" x14ac:dyDescent="0.25">
      <c r="A577" s="84" t="s">
        <v>1939</v>
      </c>
      <c r="B577" s="87">
        <v>2</v>
      </c>
      <c r="C577" s="111">
        <v>5.8810967087064023E-3</v>
      </c>
      <c r="D577" s="87" t="s">
        <v>1602</v>
      </c>
      <c r="E577" s="87" t="b">
        <v>0</v>
      </c>
      <c r="F577" s="87" t="b">
        <v>0</v>
      </c>
      <c r="G577" s="87" t="b">
        <v>0</v>
      </c>
    </row>
    <row r="578" spans="1:7" x14ac:dyDescent="0.25">
      <c r="A578" s="84" t="s">
        <v>1654</v>
      </c>
      <c r="B578" s="87">
        <v>2</v>
      </c>
      <c r="C578" s="111">
        <v>5.8810967087064023E-3</v>
      </c>
      <c r="D578" s="87" t="s">
        <v>1602</v>
      </c>
      <c r="E578" s="87" t="b">
        <v>1</v>
      </c>
      <c r="F578" s="87" t="b">
        <v>0</v>
      </c>
      <c r="G578" s="87" t="b">
        <v>0</v>
      </c>
    </row>
    <row r="579" spans="1:7" x14ac:dyDescent="0.25">
      <c r="A579" s="84" t="s">
        <v>1869</v>
      </c>
      <c r="B579" s="87">
        <v>2</v>
      </c>
      <c r="C579" s="111">
        <v>5.8810967087064023E-3</v>
      </c>
      <c r="D579" s="87" t="s">
        <v>1602</v>
      </c>
      <c r="E579" s="87" t="b">
        <v>0</v>
      </c>
      <c r="F579" s="87" t="b">
        <v>0</v>
      </c>
      <c r="G579" s="87" t="b">
        <v>0</v>
      </c>
    </row>
    <row r="580" spans="1:7" x14ac:dyDescent="0.25">
      <c r="A580" s="84" t="s">
        <v>1797</v>
      </c>
      <c r="B580" s="87">
        <v>2</v>
      </c>
      <c r="C580" s="111">
        <v>5.8810967087064023E-3</v>
      </c>
      <c r="D580" s="87" t="s">
        <v>1602</v>
      </c>
      <c r="E580" s="87" t="b">
        <v>0</v>
      </c>
      <c r="F580" s="87" t="b">
        <v>0</v>
      </c>
      <c r="G580" s="87" t="b">
        <v>0</v>
      </c>
    </row>
    <row r="581" spans="1:7" x14ac:dyDescent="0.25">
      <c r="A581" s="84" t="s">
        <v>1813</v>
      </c>
      <c r="B581" s="87">
        <v>2</v>
      </c>
      <c r="C581" s="111">
        <v>5.8810967087064023E-3</v>
      </c>
      <c r="D581" s="87" t="s">
        <v>1602</v>
      </c>
      <c r="E581" s="87" t="b">
        <v>0</v>
      </c>
      <c r="F581" s="87" t="b">
        <v>1</v>
      </c>
      <c r="G581" s="87" t="b">
        <v>0</v>
      </c>
    </row>
    <row r="582" spans="1:7" x14ac:dyDescent="0.25">
      <c r="A582" s="84" t="s">
        <v>1881</v>
      </c>
      <c r="B582" s="87">
        <v>2</v>
      </c>
      <c r="C582" s="111">
        <v>5.8810967087064023E-3</v>
      </c>
      <c r="D582" s="87" t="s">
        <v>1602</v>
      </c>
      <c r="E582" s="87" t="b">
        <v>0</v>
      </c>
      <c r="F582" s="87" t="b">
        <v>0</v>
      </c>
      <c r="G582" s="87" t="b">
        <v>0</v>
      </c>
    </row>
    <row r="583" spans="1:7" x14ac:dyDescent="0.25">
      <c r="A583" s="84" t="s">
        <v>1737</v>
      </c>
      <c r="B583" s="87">
        <v>2</v>
      </c>
      <c r="C583" s="111">
        <v>5.8810967087064023E-3</v>
      </c>
      <c r="D583" s="87" t="s">
        <v>1602</v>
      </c>
      <c r="E583" s="87" t="b">
        <v>0</v>
      </c>
      <c r="F583" s="87" t="b">
        <v>0</v>
      </c>
      <c r="G583" s="87" t="b">
        <v>0</v>
      </c>
    </row>
    <row r="584" spans="1:7" x14ac:dyDescent="0.25">
      <c r="A584" s="84" t="s">
        <v>1789</v>
      </c>
      <c r="B584" s="87">
        <v>2</v>
      </c>
      <c r="C584" s="111">
        <v>5.8810967087064023E-3</v>
      </c>
      <c r="D584" s="87" t="s">
        <v>1602</v>
      </c>
      <c r="E584" s="87" t="b">
        <v>0</v>
      </c>
      <c r="F584" s="87" t="b">
        <v>0</v>
      </c>
      <c r="G584" s="87" t="b">
        <v>0</v>
      </c>
    </row>
    <row r="585" spans="1:7" x14ac:dyDescent="0.25">
      <c r="A585" s="84" t="s">
        <v>1908</v>
      </c>
      <c r="B585" s="87">
        <v>2</v>
      </c>
      <c r="C585" s="111">
        <v>5.8810967087064023E-3</v>
      </c>
      <c r="D585" s="87" t="s">
        <v>1602</v>
      </c>
      <c r="E585" s="87" t="b">
        <v>0</v>
      </c>
      <c r="F585" s="87" t="b">
        <v>0</v>
      </c>
      <c r="G585" s="87" t="b">
        <v>0</v>
      </c>
    </row>
    <row r="586" spans="1:7" x14ac:dyDescent="0.25">
      <c r="A586" s="84" t="s">
        <v>1843</v>
      </c>
      <c r="B586" s="87">
        <v>2</v>
      </c>
      <c r="C586" s="111">
        <v>5.8810967087064023E-3</v>
      </c>
      <c r="D586" s="87" t="s">
        <v>1602</v>
      </c>
      <c r="E586" s="87" t="b">
        <v>0</v>
      </c>
      <c r="F586" s="87" t="b">
        <v>0</v>
      </c>
      <c r="G586" s="87" t="b">
        <v>0</v>
      </c>
    </row>
    <row r="587" spans="1:7" x14ac:dyDescent="0.25">
      <c r="A587" s="84" t="s">
        <v>1820</v>
      </c>
      <c r="B587" s="87">
        <v>2</v>
      </c>
      <c r="C587" s="111">
        <v>5.8810967087064023E-3</v>
      </c>
      <c r="D587" s="87" t="s">
        <v>1602</v>
      </c>
      <c r="E587" s="87" t="b">
        <v>0</v>
      </c>
      <c r="F587" s="87" t="b">
        <v>0</v>
      </c>
      <c r="G587" s="87" t="b">
        <v>0</v>
      </c>
    </row>
    <row r="588" spans="1:7" x14ac:dyDescent="0.25">
      <c r="A588" s="84" t="s">
        <v>1657</v>
      </c>
      <c r="B588" s="87">
        <v>2</v>
      </c>
      <c r="C588" s="111">
        <v>5.8810967087064023E-3</v>
      </c>
      <c r="D588" s="87" t="s">
        <v>1602</v>
      </c>
      <c r="E588" s="87" t="b">
        <v>0</v>
      </c>
      <c r="F588" s="87" t="b">
        <v>0</v>
      </c>
      <c r="G588" s="87" t="b">
        <v>0</v>
      </c>
    </row>
    <row r="589" spans="1:7" x14ac:dyDescent="0.25">
      <c r="A589" s="84" t="s">
        <v>1898</v>
      </c>
      <c r="B589" s="87">
        <v>2</v>
      </c>
      <c r="C589" s="111">
        <v>5.8810967087064023E-3</v>
      </c>
      <c r="D589" s="87" t="s">
        <v>1602</v>
      </c>
      <c r="E589" s="87" t="b">
        <v>1</v>
      </c>
      <c r="F589" s="87" t="b">
        <v>0</v>
      </c>
      <c r="G589" s="87" t="b">
        <v>0</v>
      </c>
    </row>
    <row r="590" spans="1:7" x14ac:dyDescent="0.25">
      <c r="A590" s="84" t="s">
        <v>1885</v>
      </c>
      <c r="B590" s="87">
        <v>2</v>
      </c>
      <c r="C590" s="111">
        <v>5.8810967087064023E-3</v>
      </c>
      <c r="D590" s="87" t="s">
        <v>1602</v>
      </c>
      <c r="E590" s="87" t="b">
        <v>0</v>
      </c>
      <c r="F590" s="87" t="b">
        <v>0</v>
      </c>
      <c r="G590" s="87" t="b">
        <v>0</v>
      </c>
    </row>
    <row r="591" spans="1:7" x14ac:dyDescent="0.25">
      <c r="A591" s="84" t="s">
        <v>1810</v>
      </c>
      <c r="B591" s="87">
        <v>2</v>
      </c>
      <c r="C591" s="111">
        <v>5.8810967087064023E-3</v>
      </c>
      <c r="D591" s="87" t="s">
        <v>1602</v>
      </c>
      <c r="E591" s="87" t="b">
        <v>0</v>
      </c>
      <c r="F591" s="87" t="b">
        <v>1</v>
      </c>
      <c r="G591" s="87" t="b">
        <v>0</v>
      </c>
    </row>
    <row r="592" spans="1:7" x14ac:dyDescent="0.25">
      <c r="A592" s="84" t="s">
        <v>1940</v>
      </c>
      <c r="B592" s="87">
        <v>2</v>
      </c>
      <c r="C592" s="111">
        <v>5.8810967087064023E-3</v>
      </c>
      <c r="D592" s="87" t="s">
        <v>1602</v>
      </c>
      <c r="E592" s="87" t="b">
        <v>0</v>
      </c>
      <c r="F592" s="87" t="b">
        <v>0</v>
      </c>
      <c r="G592" s="87" t="b">
        <v>0</v>
      </c>
    </row>
    <row r="593" spans="1:7" x14ac:dyDescent="0.25">
      <c r="A593" s="84" t="s">
        <v>1866</v>
      </c>
      <c r="B593" s="87">
        <v>2</v>
      </c>
      <c r="C593" s="111">
        <v>5.8810967087064023E-3</v>
      </c>
      <c r="D593" s="87" t="s">
        <v>1602</v>
      </c>
      <c r="E593" s="87" t="b">
        <v>0</v>
      </c>
      <c r="F593" s="87" t="b">
        <v>0</v>
      </c>
      <c r="G593" s="87" t="b">
        <v>0</v>
      </c>
    </row>
    <row r="594" spans="1:7" x14ac:dyDescent="0.25">
      <c r="A594" s="84" t="s">
        <v>280</v>
      </c>
      <c r="B594" s="87">
        <v>5</v>
      </c>
      <c r="C594" s="111">
        <v>4.167434002506569E-3</v>
      </c>
      <c r="D594" s="87" t="s">
        <v>1603</v>
      </c>
      <c r="E594" s="87" t="b">
        <v>0</v>
      </c>
      <c r="F594" s="87" t="b">
        <v>0</v>
      </c>
      <c r="G594" s="87" t="b">
        <v>0</v>
      </c>
    </row>
    <row r="595" spans="1:7" x14ac:dyDescent="0.25">
      <c r="A595" s="84" t="s">
        <v>1709</v>
      </c>
      <c r="B595" s="87">
        <v>4</v>
      </c>
      <c r="C595" s="111">
        <v>7.4143688023444732E-3</v>
      </c>
      <c r="D595" s="87" t="s">
        <v>1603</v>
      </c>
      <c r="E595" s="87" t="b">
        <v>0</v>
      </c>
      <c r="F595" s="87" t="b">
        <v>0</v>
      </c>
      <c r="G595" s="87" t="b">
        <v>0</v>
      </c>
    </row>
    <row r="596" spans="1:7" x14ac:dyDescent="0.25">
      <c r="A596" s="84" t="s">
        <v>1722</v>
      </c>
      <c r="B596" s="87">
        <v>4</v>
      </c>
      <c r="C596" s="111">
        <v>7.4143688023444732E-3</v>
      </c>
      <c r="D596" s="87" t="s">
        <v>1603</v>
      </c>
      <c r="E596" s="87" t="b">
        <v>0</v>
      </c>
      <c r="F596" s="87" t="b">
        <v>0</v>
      </c>
      <c r="G596" s="87" t="b">
        <v>0</v>
      </c>
    </row>
    <row r="597" spans="1:7" x14ac:dyDescent="0.25">
      <c r="A597" s="84" t="s">
        <v>1758</v>
      </c>
      <c r="B597" s="87">
        <v>3</v>
      </c>
      <c r="C597" s="111">
        <v>9.5062103893888798E-3</v>
      </c>
      <c r="D597" s="87" t="s">
        <v>1603</v>
      </c>
      <c r="E597" s="87" t="b">
        <v>0</v>
      </c>
      <c r="F597" s="87" t="b">
        <v>0</v>
      </c>
      <c r="G597" s="87" t="b">
        <v>0</v>
      </c>
    </row>
    <row r="598" spans="1:7" x14ac:dyDescent="0.25">
      <c r="A598" s="84" t="s">
        <v>1696</v>
      </c>
      <c r="B598" s="87">
        <v>3</v>
      </c>
      <c r="C598" s="111">
        <v>9.5062103893888798E-3</v>
      </c>
      <c r="D598" s="87" t="s">
        <v>1603</v>
      </c>
      <c r="E598" s="87" t="b">
        <v>0</v>
      </c>
      <c r="F598" s="87" t="b">
        <v>0</v>
      </c>
      <c r="G598" s="87" t="b">
        <v>0</v>
      </c>
    </row>
    <row r="599" spans="1:7" x14ac:dyDescent="0.25">
      <c r="A599" s="84" t="s">
        <v>1651</v>
      </c>
      <c r="B599" s="87">
        <v>3</v>
      </c>
      <c r="C599" s="111">
        <v>9.5062103893888798E-3</v>
      </c>
      <c r="D599" s="87" t="s">
        <v>1603</v>
      </c>
      <c r="E599" s="87" t="b">
        <v>0</v>
      </c>
      <c r="F599" s="87" t="b">
        <v>0</v>
      </c>
      <c r="G599" s="87" t="b">
        <v>0</v>
      </c>
    </row>
    <row r="600" spans="1:7" x14ac:dyDescent="0.25">
      <c r="A600" s="84" t="s">
        <v>1647</v>
      </c>
      <c r="B600" s="87">
        <v>3</v>
      </c>
      <c r="C600" s="111">
        <v>9.5062103893888798E-3</v>
      </c>
      <c r="D600" s="87" t="s">
        <v>1603</v>
      </c>
      <c r="E600" s="87" t="b">
        <v>0</v>
      </c>
      <c r="F600" s="87" t="b">
        <v>0</v>
      </c>
      <c r="G600" s="87" t="b">
        <v>0</v>
      </c>
    </row>
    <row r="601" spans="1:7" x14ac:dyDescent="0.25">
      <c r="A601" s="84" t="s">
        <v>330</v>
      </c>
      <c r="B601" s="87">
        <v>2</v>
      </c>
      <c r="C601" s="111">
        <v>1.0044657994098156E-2</v>
      </c>
      <c r="D601" s="87" t="s">
        <v>1603</v>
      </c>
      <c r="E601" s="87" t="b">
        <v>0</v>
      </c>
      <c r="F601" s="87" t="b">
        <v>0</v>
      </c>
      <c r="G601" s="87" t="b">
        <v>0</v>
      </c>
    </row>
    <row r="602" spans="1:7" x14ac:dyDescent="0.25">
      <c r="A602" s="84" t="s">
        <v>328</v>
      </c>
      <c r="B602" s="87">
        <v>2</v>
      </c>
      <c r="C602" s="111">
        <v>1.0044657994098156E-2</v>
      </c>
      <c r="D602" s="87" t="s">
        <v>1603</v>
      </c>
      <c r="E602" s="87" t="b">
        <v>0</v>
      </c>
      <c r="F602" s="87" t="b">
        <v>0</v>
      </c>
      <c r="G602" s="87" t="b">
        <v>0</v>
      </c>
    </row>
    <row r="603" spans="1:7" x14ac:dyDescent="0.25">
      <c r="A603" s="84" t="s">
        <v>1837</v>
      </c>
      <c r="B603" s="87">
        <v>2</v>
      </c>
      <c r="C603" s="111">
        <v>1.0044657994098156E-2</v>
      </c>
      <c r="D603" s="87" t="s">
        <v>1603</v>
      </c>
      <c r="E603" s="87" t="b">
        <v>0</v>
      </c>
      <c r="F603" s="87" t="b">
        <v>0</v>
      </c>
      <c r="G603" s="87" t="b">
        <v>0</v>
      </c>
    </row>
    <row r="604" spans="1:7" x14ac:dyDescent="0.25">
      <c r="A604" s="84" t="s">
        <v>1794</v>
      </c>
      <c r="B604" s="87">
        <v>2</v>
      </c>
      <c r="C604" s="111">
        <v>1.0044657994098156E-2</v>
      </c>
      <c r="D604" s="87" t="s">
        <v>1603</v>
      </c>
      <c r="E604" s="87" t="b">
        <v>0</v>
      </c>
      <c r="F604" s="87" t="b">
        <v>0</v>
      </c>
      <c r="G604" s="87" t="b">
        <v>0</v>
      </c>
    </row>
    <row r="605" spans="1:7" x14ac:dyDescent="0.25">
      <c r="A605" s="84" t="s">
        <v>1751</v>
      </c>
      <c r="B605" s="87">
        <v>2</v>
      </c>
      <c r="C605" s="111">
        <v>1.0044657994098156E-2</v>
      </c>
      <c r="D605" s="87" t="s">
        <v>1603</v>
      </c>
      <c r="E605" s="87" t="b">
        <v>0</v>
      </c>
      <c r="F605" s="87" t="b">
        <v>0</v>
      </c>
      <c r="G605" s="87" t="b">
        <v>0</v>
      </c>
    </row>
    <row r="606" spans="1:7" x14ac:dyDescent="0.25">
      <c r="A606" s="84" t="s">
        <v>1844</v>
      </c>
      <c r="B606" s="87">
        <v>2</v>
      </c>
      <c r="C606" s="111">
        <v>1.0044657994098156E-2</v>
      </c>
      <c r="D606" s="87" t="s">
        <v>1603</v>
      </c>
      <c r="E606" s="87" t="b">
        <v>0</v>
      </c>
      <c r="F606" s="87" t="b">
        <v>0</v>
      </c>
      <c r="G606" s="87" t="b">
        <v>0</v>
      </c>
    </row>
    <row r="607" spans="1:7" x14ac:dyDescent="0.25">
      <c r="A607" s="84" t="s">
        <v>1667</v>
      </c>
      <c r="B607" s="87">
        <v>2</v>
      </c>
      <c r="C607" s="111">
        <v>1.0044657994098156E-2</v>
      </c>
      <c r="D607" s="87" t="s">
        <v>1603</v>
      </c>
      <c r="E607" s="87" t="b">
        <v>0</v>
      </c>
      <c r="F607" s="87" t="b">
        <v>0</v>
      </c>
      <c r="G607" s="87" t="b">
        <v>0</v>
      </c>
    </row>
    <row r="608" spans="1:7" x14ac:dyDescent="0.25">
      <c r="A608" s="84" t="s">
        <v>1669</v>
      </c>
      <c r="B608" s="87">
        <v>2</v>
      </c>
      <c r="C608" s="111">
        <v>1.0044657994098156E-2</v>
      </c>
      <c r="D608" s="87" t="s">
        <v>1603</v>
      </c>
      <c r="E608" s="87" t="b">
        <v>0</v>
      </c>
      <c r="F608" s="87" t="b">
        <v>0</v>
      </c>
      <c r="G608" s="87" t="b">
        <v>0</v>
      </c>
    </row>
    <row r="609" spans="1:7" x14ac:dyDescent="0.25">
      <c r="A609" s="84" t="s">
        <v>1921</v>
      </c>
      <c r="B609" s="87">
        <v>2</v>
      </c>
      <c r="C609" s="111">
        <v>1.0044657994098156E-2</v>
      </c>
      <c r="D609" s="87" t="s">
        <v>1603</v>
      </c>
      <c r="E609" s="87" t="b">
        <v>0</v>
      </c>
      <c r="F609" s="87" t="b">
        <v>0</v>
      </c>
      <c r="G609" s="87" t="b">
        <v>0</v>
      </c>
    </row>
    <row r="610" spans="1:7" x14ac:dyDescent="0.25">
      <c r="A610" s="84" t="s">
        <v>1889</v>
      </c>
      <c r="B610" s="87">
        <v>2</v>
      </c>
      <c r="C610" s="111">
        <v>1.0044657994098156E-2</v>
      </c>
      <c r="D610" s="87" t="s">
        <v>1603</v>
      </c>
      <c r="E610" s="87" t="b">
        <v>0</v>
      </c>
      <c r="F610" s="87" t="b">
        <v>0</v>
      </c>
      <c r="G610" s="87" t="b">
        <v>0</v>
      </c>
    </row>
    <row r="611" spans="1:7" x14ac:dyDescent="0.25">
      <c r="A611" s="84" t="s">
        <v>1899</v>
      </c>
      <c r="B611" s="87">
        <v>2</v>
      </c>
      <c r="C611" s="111">
        <v>1.0044657994098156E-2</v>
      </c>
      <c r="D611" s="87" t="s">
        <v>1603</v>
      </c>
      <c r="E611" s="87" t="b">
        <v>0</v>
      </c>
      <c r="F611" s="87" t="b">
        <v>0</v>
      </c>
      <c r="G611" s="87" t="b">
        <v>0</v>
      </c>
    </row>
    <row r="612" spans="1:7" x14ac:dyDescent="0.25">
      <c r="A612" s="84" t="s">
        <v>332</v>
      </c>
      <c r="B612" s="87">
        <v>2</v>
      </c>
      <c r="C612" s="111">
        <v>1.0044657994098156E-2</v>
      </c>
      <c r="D612" s="87" t="s">
        <v>1603</v>
      </c>
      <c r="E612" s="87" t="b">
        <v>0</v>
      </c>
      <c r="F612" s="87" t="b">
        <v>0</v>
      </c>
      <c r="G612" s="87" t="b">
        <v>0</v>
      </c>
    </row>
    <row r="613" spans="1:7" x14ac:dyDescent="0.25">
      <c r="A613" s="84" t="s">
        <v>1752</v>
      </c>
      <c r="B613" s="87">
        <v>2</v>
      </c>
      <c r="C613" s="111">
        <v>1.0044657994098156E-2</v>
      </c>
      <c r="D613" s="87" t="s">
        <v>1603</v>
      </c>
      <c r="E613" s="87" t="b">
        <v>0</v>
      </c>
      <c r="F613" s="87" t="b">
        <v>0</v>
      </c>
      <c r="G613" s="87" t="b">
        <v>0</v>
      </c>
    </row>
    <row r="614" spans="1:7" x14ac:dyDescent="0.25">
      <c r="A614" s="84" t="s">
        <v>1903</v>
      </c>
      <c r="B614" s="87">
        <v>2</v>
      </c>
      <c r="C614" s="111">
        <v>1.0044657994098156E-2</v>
      </c>
      <c r="D614" s="87" t="s">
        <v>1603</v>
      </c>
      <c r="E614" s="87" t="b">
        <v>0</v>
      </c>
      <c r="F614" s="87" t="b">
        <v>0</v>
      </c>
      <c r="G614" s="87" t="b">
        <v>0</v>
      </c>
    </row>
    <row r="615" spans="1:7" x14ac:dyDescent="0.25">
      <c r="A615" s="84" t="s">
        <v>333</v>
      </c>
      <c r="B615" s="87">
        <v>2</v>
      </c>
      <c r="C615" s="111">
        <v>1.0044657994098156E-2</v>
      </c>
      <c r="D615" s="87" t="s">
        <v>1603</v>
      </c>
      <c r="E615" s="87" t="b">
        <v>0</v>
      </c>
      <c r="F615" s="87" t="b">
        <v>0</v>
      </c>
      <c r="G615" s="87" t="b">
        <v>0</v>
      </c>
    </row>
    <row r="616" spans="1:7" x14ac:dyDescent="0.25">
      <c r="A616" s="84" t="s">
        <v>1772</v>
      </c>
      <c r="B616" s="87">
        <v>2</v>
      </c>
      <c r="C616" s="111">
        <v>1.0044657994098156E-2</v>
      </c>
      <c r="D616" s="87" t="s">
        <v>1603</v>
      </c>
      <c r="E616" s="87" t="b">
        <v>0</v>
      </c>
      <c r="F616" s="87" t="b">
        <v>0</v>
      </c>
      <c r="G616" s="87" t="b">
        <v>0</v>
      </c>
    </row>
    <row r="617" spans="1:7" x14ac:dyDescent="0.25">
      <c r="A617" s="84" t="s">
        <v>331</v>
      </c>
      <c r="B617" s="87">
        <v>2</v>
      </c>
      <c r="C617" s="111">
        <v>1.0044657994098156E-2</v>
      </c>
      <c r="D617" s="87" t="s">
        <v>1603</v>
      </c>
      <c r="E617" s="87" t="b">
        <v>0</v>
      </c>
      <c r="F617" s="87" t="b">
        <v>0</v>
      </c>
      <c r="G617" s="87" t="b">
        <v>0</v>
      </c>
    </row>
    <row r="618" spans="1:7" x14ac:dyDescent="0.25">
      <c r="A618" s="84" t="s">
        <v>329</v>
      </c>
      <c r="B618" s="87">
        <v>2</v>
      </c>
      <c r="C618" s="111">
        <v>1.0044657994098156E-2</v>
      </c>
      <c r="D618" s="87" t="s">
        <v>1603</v>
      </c>
      <c r="E618" s="87" t="b">
        <v>0</v>
      </c>
      <c r="F618" s="87" t="b">
        <v>0</v>
      </c>
      <c r="G618" s="87" t="b">
        <v>0</v>
      </c>
    </row>
    <row r="619" spans="1:7" x14ac:dyDescent="0.25">
      <c r="A619" s="84" t="s">
        <v>1874</v>
      </c>
      <c r="B619" s="87">
        <v>2</v>
      </c>
      <c r="C619" s="111">
        <v>1.0044657994098156E-2</v>
      </c>
      <c r="D619" s="87" t="s">
        <v>1603</v>
      </c>
      <c r="E619" s="87" t="b">
        <v>0</v>
      </c>
      <c r="F619" s="87" t="b">
        <v>0</v>
      </c>
      <c r="G619" s="87" t="b">
        <v>0</v>
      </c>
    </row>
    <row r="620" spans="1:7" x14ac:dyDescent="0.25">
      <c r="A620" s="84" t="s">
        <v>1747</v>
      </c>
      <c r="B620" s="87">
        <v>2</v>
      </c>
      <c r="C620" s="111">
        <v>1.0044657994098156E-2</v>
      </c>
      <c r="D620" s="87" t="s">
        <v>1603</v>
      </c>
      <c r="E620" s="87" t="b">
        <v>0</v>
      </c>
      <c r="F620" s="87" t="b">
        <v>0</v>
      </c>
      <c r="G620" s="87" t="b">
        <v>0</v>
      </c>
    </row>
    <row r="621" spans="1:7" x14ac:dyDescent="0.25">
      <c r="A621" s="84" t="s">
        <v>1712</v>
      </c>
      <c r="B621" s="87">
        <v>2</v>
      </c>
      <c r="C621" s="111">
        <v>1.0044657994098156E-2</v>
      </c>
      <c r="D621" s="87" t="s">
        <v>1603</v>
      </c>
      <c r="E621" s="87" t="b">
        <v>0</v>
      </c>
      <c r="F621" s="87" t="b">
        <v>1</v>
      </c>
      <c r="G621" s="87" t="b">
        <v>0</v>
      </c>
    </row>
    <row r="622" spans="1:7" x14ac:dyDescent="0.25">
      <c r="A622" s="84" t="s">
        <v>1765</v>
      </c>
      <c r="B622" s="87">
        <v>2</v>
      </c>
      <c r="C622" s="111">
        <v>1.0044657994098156E-2</v>
      </c>
      <c r="D622" s="87" t="s">
        <v>1603</v>
      </c>
      <c r="E622" s="87" t="b">
        <v>0</v>
      </c>
      <c r="F622" s="87" t="b">
        <v>0</v>
      </c>
      <c r="G622" s="87" t="b">
        <v>0</v>
      </c>
    </row>
    <row r="623" spans="1:7" x14ac:dyDescent="0.25">
      <c r="A623" s="84" t="s">
        <v>1854</v>
      </c>
      <c r="B623" s="87">
        <v>2</v>
      </c>
      <c r="C623" s="111">
        <v>1.0044657994098156E-2</v>
      </c>
      <c r="D623" s="87" t="s">
        <v>1603</v>
      </c>
      <c r="E623" s="87" t="b">
        <v>0</v>
      </c>
      <c r="F623" s="87" t="b">
        <v>0</v>
      </c>
      <c r="G623" s="87" t="b">
        <v>0</v>
      </c>
    </row>
    <row r="624" spans="1:7" x14ac:dyDescent="0.25">
      <c r="A624" s="84" t="s">
        <v>334</v>
      </c>
      <c r="B624" s="87">
        <v>2</v>
      </c>
      <c r="C624" s="111">
        <v>1.0044657994098156E-2</v>
      </c>
      <c r="D624" s="87" t="s">
        <v>1603</v>
      </c>
      <c r="E624" s="87" t="b">
        <v>0</v>
      </c>
      <c r="F624" s="87" t="b">
        <v>0</v>
      </c>
      <c r="G624" s="87" t="b">
        <v>0</v>
      </c>
    </row>
    <row r="625" spans="1:7" x14ac:dyDescent="0.25">
      <c r="A625" s="84" t="s">
        <v>301</v>
      </c>
      <c r="B625" s="87">
        <v>3</v>
      </c>
      <c r="C625" s="111">
        <v>1.7039433716829123E-2</v>
      </c>
      <c r="D625" s="87" t="s">
        <v>1604</v>
      </c>
      <c r="E625" s="87" t="b">
        <v>0</v>
      </c>
      <c r="F625" s="87" t="b">
        <v>0</v>
      </c>
      <c r="G625" s="87" t="b">
        <v>0</v>
      </c>
    </row>
    <row r="626" spans="1:7" x14ac:dyDescent="0.25">
      <c r="A626" s="84" t="s">
        <v>1858</v>
      </c>
      <c r="B626" s="87">
        <v>2</v>
      </c>
      <c r="C626" s="111">
        <v>1.1359622477886083E-2</v>
      </c>
      <c r="D626" s="87" t="s">
        <v>1604</v>
      </c>
      <c r="E626" s="87" t="b">
        <v>1</v>
      </c>
      <c r="F626" s="87" t="b">
        <v>0</v>
      </c>
      <c r="G626" s="87" t="b">
        <v>0</v>
      </c>
    </row>
    <row r="627" spans="1:7" x14ac:dyDescent="0.25">
      <c r="A627" s="84" t="s">
        <v>298</v>
      </c>
      <c r="B627" s="87">
        <v>2</v>
      </c>
      <c r="C627" s="111">
        <v>1.1359622477886083E-2</v>
      </c>
      <c r="D627" s="87" t="s">
        <v>1604</v>
      </c>
      <c r="E627" s="87" t="b">
        <v>0</v>
      </c>
      <c r="F627" s="87" t="b">
        <v>0</v>
      </c>
      <c r="G627" s="87" t="b">
        <v>0</v>
      </c>
    </row>
    <row r="628" spans="1:7" x14ac:dyDescent="0.25">
      <c r="A628" s="84" t="s">
        <v>351</v>
      </c>
      <c r="B628" s="87">
        <v>2</v>
      </c>
      <c r="C628" s="111">
        <v>1.1359622477886083E-2</v>
      </c>
      <c r="D628" s="87" t="s">
        <v>1604</v>
      </c>
      <c r="E628" s="87" t="b">
        <v>0</v>
      </c>
      <c r="F628" s="87" t="b">
        <v>0</v>
      </c>
      <c r="G628" s="87" t="b">
        <v>0</v>
      </c>
    </row>
    <row r="629" spans="1:7" x14ac:dyDescent="0.25">
      <c r="A629" s="84" t="s">
        <v>1867</v>
      </c>
      <c r="B629" s="87">
        <v>2</v>
      </c>
      <c r="C629" s="111">
        <v>1.1359622477886083E-2</v>
      </c>
      <c r="D629" s="87" t="s">
        <v>1604</v>
      </c>
      <c r="E629" s="87" t="b">
        <v>0</v>
      </c>
      <c r="F629" s="87" t="b">
        <v>0</v>
      </c>
      <c r="G629" s="87" t="b">
        <v>0</v>
      </c>
    </row>
    <row r="630" spans="1:7" x14ac:dyDescent="0.25">
      <c r="A630" s="84" t="s">
        <v>355</v>
      </c>
      <c r="B630" s="87">
        <v>2</v>
      </c>
      <c r="C630" s="111">
        <v>1.1359622477886083E-2</v>
      </c>
      <c r="D630" s="87" t="s">
        <v>1604</v>
      </c>
      <c r="E630" s="87" t="b">
        <v>0</v>
      </c>
      <c r="F630" s="87" t="b">
        <v>0</v>
      </c>
      <c r="G630" s="87" t="b">
        <v>0</v>
      </c>
    </row>
    <row r="631" spans="1:7" x14ac:dyDescent="0.25">
      <c r="A631" s="84" t="s">
        <v>357</v>
      </c>
      <c r="B631" s="87">
        <v>2</v>
      </c>
      <c r="C631" s="111">
        <v>1.1359622477886083E-2</v>
      </c>
      <c r="D631" s="87" t="s">
        <v>1604</v>
      </c>
      <c r="E631" s="87" t="b">
        <v>0</v>
      </c>
      <c r="F631" s="87" t="b">
        <v>0</v>
      </c>
      <c r="G631" s="87" t="b">
        <v>0</v>
      </c>
    </row>
    <row r="632" spans="1:7" x14ac:dyDescent="0.25">
      <c r="A632" s="84" t="s">
        <v>1879</v>
      </c>
      <c r="B632" s="87">
        <v>2</v>
      </c>
      <c r="C632" s="111">
        <v>1.1359622477886083E-2</v>
      </c>
      <c r="D632" s="87" t="s">
        <v>1604</v>
      </c>
      <c r="E632" s="87" t="b">
        <v>0</v>
      </c>
      <c r="F632" s="87" t="b">
        <v>0</v>
      </c>
      <c r="G632" s="87" t="b">
        <v>0</v>
      </c>
    </row>
    <row r="633" spans="1:7" x14ac:dyDescent="0.25">
      <c r="A633" s="84" t="s">
        <v>354</v>
      </c>
      <c r="B633" s="87">
        <v>2</v>
      </c>
      <c r="C633" s="111">
        <v>1.1359622477886083E-2</v>
      </c>
      <c r="D633" s="87" t="s">
        <v>1604</v>
      </c>
      <c r="E633" s="87" t="b">
        <v>0</v>
      </c>
      <c r="F633" s="87" t="b">
        <v>0</v>
      </c>
      <c r="G633" s="87" t="b">
        <v>0</v>
      </c>
    </row>
    <row r="634" spans="1:7" x14ac:dyDescent="0.25">
      <c r="A634" s="84" t="s">
        <v>268</v>
      </c>
      <c r="B634" s="87">
        <v>2</v>
      </c>
      <c r="C634" s="111">
        <v>1.1359622477886083E-2</v>
      </c>
      <c r="D634" s="87" t="s">
        <v>1604</v>
      </c>
      <c r="E634" s="87" t="b">
        <v>0</v>
      </c>
      <c r="F634" s="87" t="b">
        <v>0</v>
      </c>
      <c r="G634" s="87" t="b">
        <v>0</v>
      </c>
    </row>
    <row r="635" spans="1:7" x14ac:dyDescent="0.25">
      <c r="A635" s="84" t="s">
        <v>1945</v>
      </c>
      <c r="B635" s="87">
        <v>2</v>
      </c>
      <c r="C635" s="111">
        <v>1.1359622477886083E-2</v>
      </c>
      <c r="D635" s="87" t="s">
        <v>1604</v>
      </c>
      <c r="E635" s="87" t="b">
        <v>1</v>
      </c>
      <c r="F635" s="87" t="b">
        <v>0</v>
      </c>
      <c r="G635" s="87" t="b">
        <v>0</v>
      </c>
    </row>
    <row r="636" spans="1:7" x14ac:dyDescent="0.25">
      <c r="A636" s="84" t="s">
        <v>1764</v>
      </c>
      <c r="B636" s="87">
        <v>2</v>
      </c>
      <c r="C636" s="111">
        <v>1.1359622477886083E-2</v>
      </c>
      <c r="D636" s="87" t="s">
        <v>1604</v>
      </c>
      <c r="E636" s="87" t="b">
        <v>0</v>
      </c>
      <c r="F636" s="87" t="b">
        <v>0</v>
      </c>
      <c r="G636" s="87" t="b">
        <v>0</v>
      </c>
    </row>
    <row r="637" spans="1:7" x14ac:dyDescent="0.25">
      <c r="A637" s="84" t="s">
        <v>356</v>
      </c>
      <c r="B637" s="87">
        <v>2</v>
      </c>
      <c r="C637" s="111">
        <v>1.1359622477886083E-2</v>
      </c>
      <c r="D637" s="87" t="s">
        <v>1604</v>
      </c>
      <c r="E637" s="87" t="b">
        <v>0</v>
      </c>
      <c r="F637" s="87" t="b">
        <v>0</v>
      </c>
      <c r="G637" s="87" t="b">
        <v>0</v>
      </c>
    </row>
    <row r="638" spans="1:7" x14ac:dyDescent="0.25">
      <c r="A638" s="84" t="s">
        <v>268</v>
      </c>
      <c r="B638" s="87">
        <v>12</v>
      </c>
      <c r="C638" s="111">
        <v>8.0758344173380344E-3</v>
      </c>
      <c r="D638" s="87" t="s">
        <v>1605</v>
      </c>
      <c r="E638" s="87" t="b">
        <v>0</v>
      </c>
      <c r="F638" s="87" t="b">
        <v>0</v>
      </c>
      <c r="G638" s="87" t="b">
        <v>0</v>
      </c>
    </row>
    <row r="639" spans="1:7" x14ac:dyDescent="0.25">
      <c r="A639" s="84" t="s">
        <v>1646</v>
      </c>
      <c r="B639" s="87">
        <v>6</v>
      </c>
      <c r="C639" s="111">
        <v>1.6580833694668232E-2</v>
      </c>
      <c r="D639" s="87" t="s">
        <v>1605</v>
      </c>
      <c r="E639" s="87" t="b">
        <v>0</v>
      </c>
      <c r="F639" s="87" t="b">
        <v>0</v>
      </c>
      <c r="G639" s="87" t="b">
        <v>0</v>
      </c>
    </row>
    <row r="640" spans="1:7" x14ac:dyDescent="0.25">
      <c r="A640" s="84" t="s">
        <v>1641</v>
      </c>
      <c r="B640" s="87">
        <v>6</v>
      </c>
      <c r="C640" s="111">
        <v>1.6580833694668232E-2</v>
      </c>
      <c r="D640" s="87" t="s">
        <v>1605</v>
      </c>
      <c r="E640" s="87" t="b">
        <v>1</v>
      </c>
      <c r="F640" s="87" t="b">
        <v>0</v>
      </c>
      <c r="G640" s="87" t="b">
        <v>0</v>
      </c>
    </row>
    <row r="641" spans="1:7" x14ac:dyDescent="0.25">
      <c r="A641" s="84" t="s">
        <v>1649</v>
      </c>
      <c r="B641" s="87">
        <v>4</v>
      </c>
      <c r="C641" s="111">
        <v>1.1053889129778822E-2</v>
      </c>
      <c r="D641" s="87" t="s">
        <v>1605</v>
      </c>
      <c r="E641" s="87" t="b">
        <v>0</v>
      </c>
      <c r="F641" s="87" t="b">
        <v>0</v>
      </c>
      <c r="G641" s="87" t="b">
        <v>0</v>
      </c>
    </row>
    <row r="642" spans="1:7" x14ac:dyDescent="0.25">
      <c r="A642" s="84" t="s">
        <v>249</v>
      </c>
      <c r="B642" s="87">
        <v>4</v>
      </c>
      <c r="C642" s="111">
        <v>1.1053889129778822E-2</v>
      </c>
      <c r="D642" s="87" t="s">
        <v>1605</v>
      </c>
      <c r="E642" s="87" t="b">
        <v>0</v>
      </c>
      <c r="F642" s="87" t="b">
        <v>0</v>
      </c>
      <c r="G642" s="87" t="b">
        <v>0</v>
      </c>
    </row>
    <row r="643" spans="1:7" x14ac:dyDescent="0.25">
      <c r="A643" s="84" t="s">
        <v>1671</v>
      </c>
      <c r="B643" s="87">
        <v>4</v>
      </c>
      <c r="C643" s="111">
        <v>1.1053889129778822E-2</v>
      </c>
      <c r="D643" s="87" t="s">
        <v>1605</v>
      </c>
      <c r="E643" s="87" t="b">
        <v>0</v>
      </c>
      <c r="F643" s="87" t="b">
        <v>0</v>
      </c>
      <c r="G643" s="87" t="b">
        <v>0</v>
      </c>
    </row>
    <row r="644" spans="1:7" x14ac:dyDescent="0.25">
      <c r="A644" s="84" t="s">
        <v>1663</v>
      </c>
      <c r="B644" s="87">
        <v>4</v>
      </c>
      <c r="C644" s="111">
        <v>1.1053889129778822E-2</v>
      </c>
      <c r="D644" s="87" t="s">
        <v>1605</v>
      </c>
      <c r="E644" s="87" t="b">
        <v>0</v>
      </c>
      <c r="F644" s="87" t="b">
        <v>0</v>
      </c>
      <c r="G644" s="87" t="b">
        <v>0</v>
      </c>
    </row>
    <row r="645" spans="1:7" x14ac:dyDescent="0.25">
      <c r="A645" s="84" t="s">
        <v>1882</v>
      </c>
      <c r="B645" s="87">
        <v>2</v>
      </c>
      <c r="C645" s="111">
        <v>1.3888888888888888E-2</v>
      </c>
      <c r="D645" s="87" t="s">
        <v>1605</v>
      </c>
      <c r="E645" s="87" t="b">
        <v>0</v>
      </c>
      <c r="F645" s="87" t="b">
        <v>0</v>
      </c>
      <c r="G645" s="87" t="b">
        <v>0</v>
      </c>
    </row>
    <row r="646" spans="1:7" x14ac:dyDescent="0.25">
      <c r="A646" s="84" t="s">
        <v>1779</v>
      </c>
      <c r="B646" s="87">
        <v>2</v>
      </c>
      <c r="C646" s="111">
        <v>9.70791672688915E-3</v>
      </c>
      <c r="D646" s="87" t="s">
        <v>1605</v>
      </c>
      <c r="E646" s="87" t="b">
        <v>0</v>
      </c>
      <c r="F646" s="87" t="b">
        <v>0</v>
      </c>
      <c r="G646" s="87" t="b">
        <v>0</v>
      </c>
    </row>
    <row r="647" spans="1:7" x14ac:dyDescent="0.25">
      <c r="A647" s="84" t="s">
        <v>1700</v>
      </c>
      <c r="B647" s="87">
        <v>2</v>
      </c>
      <c r="C647" s="111">
        <v>9.70791672688915E-3</v>
      </c>
      <c r="D647" s="87" t="s">
        <v>1605</v>
      </c>
      <c r="E647" s="87" t="b">
        <v>0</v>
      </c>
      <c r="F647" s="87" t="b">
        <v>0</v>
      </c>
      <c r="G647" s="87" t="b">
        <v>0</v>
      </c>
    </row>
    <row r="648" spans="1:7" x14ac:dyDescent="0.25">
      <c r="A648" s="84" t="s">
        <v>1732</v>
      </c>
      <c r="B648" s="87">
        <v>2</v>
      </c>
      <c r="C648" s="111">
        <v>9.70791672688915E-3</v>
      </c>
      <c r="D648" s="87" t="s">
        <v>1605</v>
      </c>
      <c r="E648" s="87" t="b">
        <v>0</v>
      </c>
      <c r="F648" s="87" t="b">
        <v>0</v>
      </c>
      <c r="G648" s="87" t="b">
        <v>0</v>
      </c>
    </row>
    <row r="649" spans="1:7" x14ac:dyDescent="0.25">
      <c r="A649" s="84" t="s">
        <v>1708</v>
      </c>
      <c r="B649" s="87">
        <v>2</v>
      </c>
      <c r="C649" s="111">
        <v>9.70791672688915E-3</v>
      </c>
      <c r="D649" s="87" t="s">
        <v>1605</v>
      </c>
      <c r="E649" s="87" t="b">
        <v>0</v>
      </c>
      <c r="F649" s="87" t="b">
        <v>0</v>
      </c>
      <c r="G649" s="87" t="b">
        <v>0</v>
      </c>
    </row>
    <row r="650" spans="1:7" x14ac:dyDescent="0.25">
      <c r="A650" s="84" t="s">
        <v>1806</v>
      </c>
      <c r="B650" s="87">
        <v>2</v>
      </c>
      <c r="C650" s="111">
        <v>9.70791672688915E-3</v>
      </c>
      <c r="D650" s="87" t="s">
        <v>1605</v>
      </c>
      <c r="E650" s="87" t="b">
        <v>0</v>
      </c>
      <c r="F650" s="87" t="b">
        <v>0</v>
      </c>
      <c r="G650" s="87" t="b">
        <v>0</v>
      </c>
    </row>
    <row r="651" spans="1:7" x14ac:dyDescent="0.25">
      <c r="A651" s="84" t="s">
        <v>1944</v>
      </c>
      <c r="B651" s="87">
        <v>2</v>
      </c>
      <c r="C651" s="111">
        <v>9.70791672688915E-3</v>
      </c>
      <c r="D651" s="87" t="s">
        <v>1605</v>
      </c>
      <c r="E651" s="87" t="b">
        <v>0</v>
      </c>
      <c r="F651" s="87" t="b">
        <v>0</v>
      </c>
      <c r="G651" s="87" t="b">
        <v>0</v>
      </c>
    </row>
    <row r="652" spans="1:7" x14ac:dyDescent="0.25">
      <c r="A652" s="84" t="s">
        <v>1763</v>
      </c>
      <c r="B652" s="87">
        <v>2</v>
      </c>
      <c r="C652" s="111">
        <v>9.70791672688915E-3</v>
      </c>
      <c r="D652" s="87" t="s">
        <v>1605</v>
      </c>
      <c r="E652" s="87" t="b">
        <v>0</v>
      </c>
      <c r="F652" s="87" t="b">
        <v>0</v>
      </c>
      <c r="G652" s="87" t="b">
        <v>0</v>
      </c>
    </row>
    <row r="653" spans="1:7" x14ac:dyDescent="0.25">
      <c r="A653" s="84" t="s">
        <v>1696</v>
      </c>
      <c r="B653" s="87">
        <v>2</v>
      </c>
      <c r="C653" s="111">
        <v>9.70791672688915E-3</v>
      </c>
      <c r="D653" s="87" t="s">
        <v>1605</v>
      </c>
      <c r="E653" s="87" t="b">
        <v>0</v>
      </c>
      <c r="F653" s="87" t="b">
        <v>0</v>
      </c>
      <c r="G653" s="87" t="b">
        <v>0</v>
      </c>
    </row>
    <row r="654" spans="1:7" x14ac:dyDescent="0.25">
      <c r="A654" s="84" t="s">
        <v>1827</v>
      </c>
      <c r="B654" s="87">
        <v>2</v>
      </c>
      <c r="C654" s="111">
        <v>9.70791672688915E-3</v>
      </c>
      <c r="D654" s="87" t="s">
        <v>1605</v>
      </c>
      <c r="E654" s="87" t="b">
        <v>0</v>
      </c>
      <c r="F654" s="87" t="b">
        <v>0</v>
      </c>
      <c r="G654" s="87" t="b">
        <v>0</v>
      </c>
    </row>
    <row r="655" spans="1:7" x14ac:dyDescent="0.25">
      <c r="A655" s="84" t="s">
        <v>1682</v>
      </c>
      <c r="B655" s="87">
        <v>2</v>
      </c>
      <c r="C655" s="111">
        <v>9.70791672688915E-3</v>
      </c>
      <c r="D655" s="87" t="s">
        <v>1605</v>
      </c>
      <c r="E655" s="87" t="b">
        <v>1</v>
      </c>
      <c r="F655" s="87" t="b">
        <v>0</v>
      </c>
      <c r="G655" s="87" t="b">
        <v>0</v>
      </c>
    </row>
    <row r="656" spans="1:7" x14ac:dyDescent="0.25">
      <c r="A656" s="84" t="s">
        <v>1943</v>
      </c>
      <c r="B656" s="87">
        <v>2</v>
      </c>
      <c r="C656" s="111">
        <v>9.70791672688915E-3</v>
      </c>
      <c r="D656" s="87" t="s">
        <v>1605</v>
      </c>
      <c r="E656" s="87" t="b">
        <v>0</v>
      </c>
      <c r="F656" s="87" t="b">
        <v>0</v>
      </c>
      <c r="G656" s="87" t="b">
        <v>0</v>
      </c>
    </row>
    <row r="657" spans="1:7" x14ac:dyDescent="0.25">
      <c r="A657" s="84" t="s">
        <v>1667</v>
      </c>
      <c r="B657" s="87">
        <v>2</v>
      </c>
      <c r="C657" s="111">
        <v>9.70791672688915E-3</v>
      </c>
      <c r="D657" s="87" t="s">
        <v>1605</v>
      </c>
      <c r="E657" s="87" t="b">
        <v>0</v>
      </c>
      <c r="F657" s="87" t="b">
        <v>0</v>
      </c>
      <c r="G657" s="87" t="b">
        <v>0</v>
      </c>
    </row>
    <row r="658" spans="1:7" x14ac:dyDescent="0.25">
      <c r="A658" s="84" t="s">
        <v>1750</v>
      </c>
      <c r="B658" s="87">
        <v>2</v>
      </c>
      <c r="C658" s="111">
        <v>9.70791672688915E-3</v>
      </c>
      <c r="D658" s="87" t="s">
        <v>1605</v>
      </c>
      <c r="E658" s="87" t="b">
        <v>0</v>
      </c>
      <c r="F658" s="87" t="b">
        <v>0</v>
      </c>
      <c r="G658" s="87" t="b">
        <v>0</v>
      </c>
    </row>
    <row r="659" spans="1:7" x14ac:dyDescent="0.25">
      <c r="A659" s="84" t="s">
        <v>1875</v>
      </c>
      <c r="B659" s="87">
        <v>2</v>
      </c>
      <c r="C659" s="111">
        <v>9.70791672688915E-3</v>
      </c>
      <c r="D659" s="87" t="s">
        <v>1605</v>
      </c>
      <c r="E659" s="87" t="b">
        <v>0</v>
      </c>
      <c r="F659" s="87" t="b">
        <v>0</v>
      </c>
      <c r="G659" s="87" t="b">
        <v>0</v>
      </c>
    </row>
    <row r="660" spans="1:7" x14ac:dyDescent="0.25">
      <c r="A660" s="84" t="s">
        <v>1728</v>
      </c>
      <c r="B660" s="87">
        <v>2</v>
      </c>
      <c r="C660" s="111">
        <v>9.70791672688915E-3</v>
      </c>
      <c r="D660" s="87" t="s">
        <v>1605</v>
      </c>
      <c r="E660" s="87" t="b">
        <v>0</v>
      </c>
      <c r="F660" s="87" t="b">
        <v>0</v>
      </c>
      <c r="G660" s="87" t="b">
        <v>0</v>
      </c>
    </row>
    <row r="661" spans="1:7" x14ac:dyDescent="0.25">
      <c r="A661" s="84" t="s">
        <v>1757</v>
      </c>
      <c r="B661" s="87">
        <v>2</v>
      </c>
      <c r="C661" s="111">
        <v>9.70791672688915E-3</v>
      </c>
      <c r="D661" s="87" t="s">
        <v>1605</v>
      </c>
      <c r="E661" s="87" t="b">
        <v>0</v>
      </c>
      <c r="F661" s="87" t="b">
        <v>0</v>
      </c>
      <c r="G661" s="87" t="b">
        <v>0</v>
      </c>
    </row>
    <row r="662" spans="1:7" x14ac:dyDescent="0.25">
      <c r="A662" s="84" t="s">
        <v>1786</v>
      </c>
      <c r="B662" s="87">
        <v>2</v>
      </c>
      <c r="C662" s="111">
        <v>9.70791672688915E-3</v>
      </c>
      <c r="D662" s="87" t="s">
        <v>1605</v>
      </c>
      <c r="E662" s="87" t="b">
        <v>0</v>
      </c>
      <c r="F662" s="87" t="b">
        <v>0</v>
      </c>
      <c r="G662" s="87" t="b">
        <v>0</v>
      </c>
    </row>
    <row r="663" spans="1:7" x14ac:dyDescent="0.25">
      <c r="A663" s="84" t="s">
        <v>336</v>
      </c>
      <c r="B663" s="87">
        <v>2</v>
      </c>
      <c r="C663" s="111">
        <v>9.70791672688915E-3</v>
      </c>
      <c r="D663" s="87" t="s">
        <v>1605</v>
      </c>
      <c r="E663" s="87" t="b">
        <v>0</v>
      </c>
      <c r="F663" s="87" t="b">
        <v>0</v>
      </c>
      <c r="G663" s="87" t="b">
        <v>0</v>
      </c>
    </row>
    <row r="664" spans="1:7" x14ac:dyDescent="0.25">
      <c r="A664" s="84" t="s">
        <v>1914</v>
      </c>
      <c r="B664" s="87">
        <v>2</v>
      </c>
      <c r="C664" s="111">
        <v>9.70791672688915E-3</v>
      </c>
      <c r="D664" s="87" t="s">
        <v>1605</v>
      </c>
      <c r="E664" s="87" t="b">
        <v>0</v>
      </c>
      <c r="F664" s="87" t="b">
        <v>0</v>
      </c>
      <c r="G664" s="87" t="b">
        <v>0</v>
      </c>
    </row>
    <row r="665" spans="1:7" x14ac:dyDescent="0.25">
      <c r="A665" s="84" t="s">
        <v>1783</v>
      </c>
      <c r="B665" s="87">
        <v>2</v>
      </c>
      <c r="C665" s="111">
        <v>9.70791672688915E-3</v>
      </c>
      <c r="D665" s="87" t="s">
        <v>1605</v>
      </c>
      <c r="E665" s="87" t="b">
        <v>0</v>
      </c>
      <c r="F665" s="87" t="b">
        <v>0</v>
      </c>
      <c r="G665" s="87" t="b">
        <v>0</v>
      </c>
    </row>
    <row r="666" spans="1:7" x14ac:dyDescent="0.25">
      <c r="A666" s="84" t="s">
        <v>1805</v>
      </c>
      <c r="B666" s="87">
        <v>2</v>
      </c>
      <c r="C666" s="111">
        <v>9.70791672688915E-3</v>
      </c>
      <c r="D666" s="87" t="s">
        <v>1605</v>
      </c>
      <c r="E666" s="87" t="b">
        <v>0</v>
      </c>
      <c r="F666" s="87" t="b">
        <v>0</v>
      </c>
      <c r="G666" s="87" t="b">
        <v>0</v>
      </c>
    </row>
    <row r="667" spans="1:7" x14ac:dyDescent="0.25">
      <c r="A667" s="84" t="s">
        <v>1654</v>
      </c>
      <c r="B667" s="87">
        <v>2</v>
      </c>
      <c r="C667" s="111">
        <v>9.70791672688915E-3</v>
      </c>
      <c r="D667" s="87" t="s">
        <v>1605</v>
      </c>
      <c r="E667" s="87" t="b">
        <v>1</v>
      </c>
      <c r="F667" s="87" t="b">
        <v>0</v>
      </c>
      <c r="G667" s="87" t="b">
        <v>0</v>
      </c>
    </row>
    <row r="668" spans="1:7" x14ac:dyDescent="0.25">
      <c r="A668" s="84" t="s">
        <v>1704</v>
      </c>
      <c r="B668" s="87">
        <v>2</v>
      </c>
      <c r="C668" s="111">
        <v>9.70791672688915E-3</v>
      </c>
      <c r="D668" s="87" t="s">
        <v>1605</v>
      </c>
      <c r="E668" s="87" t="b">
        <v>0</v>
      </c>
      <c r="F668" s="87" t="b">
        <v>0</v>
      </c>
      <c r="G668" s="87" t="b">
        <v>0</v>
      </c>
    </row>
    <row r="669" spans="1:7" x14ac:dyDescent="0.25">
      <c r="A669" s="84" t="s">
        <v>1690</v>
      </c>
      <c r="B669" s="87">
        <v>2</v>
      </c>
      <c r="C669" s="111">
        <v>9.70791672688915E-3</v>
      </c>
      <c r="D669" s="87" t="s">
        <v>1605</v>
      </c>
      <c r="E669" s="87" t="b">
        <v>1</v>
      </c>
      <c r="F669" s="87" t="b">
        <v>0</v>
      </c>
      <c r="G669" s="87" t="b">
        <v>0</v>
      </c>
    </row>
    <row r="670" spans="1:7" x14ac:dyDescent="0.25">
      <c r="A670" s="84" t="s">
        <v>1743</v>
      </c>
      <c r="B670" s="87">
        <v>2</v>
      </c>
      <c r="C670" s="111">
        <v>9.70791672688915E-3</v>
      </c>
      <c r="D670" s="87" t="s">
        <v>1605</v>
      </c>
      <c r="E670" s="87" t="b">
        <v>0</v>
      </c>
      <c r="F670" s="87" t="b">
        <v>0</v>
      </c>
      <c r="G670" s="87" t="b">
        <v>0</v>
      </c>
    </row>
    <row r="671" spans="1:7" x14ac:dyDescent="0.25">
      <c r="A671" s="84" t="s">
        <v>1724</v>
      </c>
      <c r="B671" s="87">
        <v>2</v>
      </c>
      <c r="C671" s="111">
        <v>9.70791672688915E-3</v>
      </c>
      <c r="D671" s="87" t="s">
        <v>1605</v>
      </c>
      <c r="E671" s="87" t="b">
        <v>0</v>
      </c>
      <c r="F671" s="87" t="b">
        <v>0</v>
      </c>
      <c r="G671" s="87" t="b">
        <v>0</v>
      </c>
    </row>
    <row r="672" spans="1:7" x14ac:dyDescent="0.25">
      <c r="A672" s="84" t="s">
        <v>322</v>
      </c>
      <c r="B672" s="87">
        <v>2</v>
      </c>
      <c r="C672" s="111">
        <v>9.70791672688915E-3</v>
      </c>
      <c r="D672" s="87" t="s">
        <v>1605</v>
      </c>
      <c r="E672" s="87" t="b">
        <v>0</v>
      </c>
      <c r="F672" s="87" t="b">
        <v>0</v>
      </c>
      <c r="G672" s="87" t="b">
        <v>0</v>
      </c>
    </row>
    <row r="673" spans="1:7" x14ac:dyDescent="0.25">
      <c r="A673" s="84" t="s">
        <v>1734</v>
      </c>
      <c r="B673" s="87">
        <v>2</v>
      </c>
      <c r="C673" s="111">
        <v>9.70791672688915E-3</v>
      </c>
      <c r="D673" s="87" t="s">
        <v>1605</v>
      </c>
      <c r="E673" s="87" t="b">
        <v>0</v>
      </c>
      <c r="F673" s="87" t="b">
        <v>0</v>
      </c>
      <c r="G673" s="87" t="b">
        <v>0</v>
      </c>
    </row>
    <row r="674" spans="1:7" x14ac:dyDescent="0.25">
      <c r="A674" s="84" t="s">
        <v>1703</v>
      </c>
      <c r="B674" s="87">
        <v>2</v>
      </c>
      <c r="C674" s="111">
        <v>9.70791672688915E-3</v>
      </c>
      <c r="D674" s="87" t="s">
        <v>1605</v>
      </c>
      <c r="E674" s="87" t="b">
        <v>0</v>
      </c>
      <c r="F674" s="87" t="b">
        <v>0</v>
      </c>
      <c r="G674" s="87" t="b">
        <v>0</v>
      </c>
    </row>
    <row r="675" spans="1:7" x14ac:dyDescent="0.25">
      <c r="A675" s="84" t="s">
        <v>1836</v>
      </c>
      <c r="B675" s="87">
        <v>2</v>
      </c>
      <c r="C675" s="111">
        <v>9.70791672688915E-3</v>
      </c>
      <c r="D675" s="87" t="s">
        <v>1605</v>
      </c>
      <c r="E675" s="87" t="b">
        <v>0</v>
      </c>
      <c r="F675" s="87" t="b">
        <v>0</v>
      </c>
      <c r="G675" s="87" t="b">
        <v>0</v>
      </c>
    </row>
    <row r="676" spans="1:7" x14ac:dyDescent="0.25">
      <c r="A676" s="84" t="s">
        <v>1753</v>
      </c>
      <c r="B676" s="87">
        <v>2</v>
      </c>
      <c r="C676" s="111">
        <v>9.70791672688915E-3</v>
      </c>
      <c r="D676" s="87" t="s">
        <v>1605</v>
      </c>
      <c r="E676" s="87" t="b">
        <v>0</v>
      </c>
      <c r="F676" s="87" t="b">
        <v>0</v>
      </c>
      <c r="G676" s="87" t="b">
        <v>0</v>
      </c>
    </row>
    <row r="677" spans="1:7" x14ac:dyDescent="0.25">
      <c r="A677" s="84" t="s">
        <v>1647</v>
      </c>
      <c r="B677" s="87">
        <v>2</v>
      </c>
      <c r="C677" s="111">
        <v>9.70791672688915E-3</v>
      </c>
      <c r="D677" s="87" t="s">
        <v>1605</v>
      </c>
      <c r="E677" s="87" t="b">
        <v>0</v>
      </c>
      <c r="F677" s="87" t="b">
        <v>0</v>
      </c>
      <c r="G677" s="87" t="b">
        <v>0</v>
      </c>
    </row>
    <row r="678" spans="1:7" x14ac:dyDescent="0.25">
      <c r="A678" s="84" t="s">
        <v>1645</v>
      </c>
      <c r="B678" s="87">
        <v>2</v>
      </c>
      <c r="C678" s="111">
        <v>9.70791672688915E-3</v>
      </c>
      <c r="D678" s="87" t="s">
        <v>1605</v>
      </c>
      <c r="E678" s="87" t="b">
        <v>0</v>
      </c>
      <c r="F678" s="87" t="b">
        <v>0</v>
      </c>
      <c r="G678" s="87" t="b">
        <v>0</v>
      </c>
    </row>
    <row r="679" spans="1:7" x14ac:dyDescent="0.25">
      <c r="A679" s="84" t="s">
        <v>1685</v>
      </c>
      <c r="B679" s="87">
        <v>2</v>
      </c>
      <c r="C679" s="111">
        <v>9.70791672688915E-3</v>
      </c>
      <c r="D679" s="87" t="s">
        <v>1605</v>
      </c>
      <c r="E679" s="87" t="b">
        <v>0</v>
      </c>
      <c r="F679" s="87" t="b">
        <v>0</v>
      </c>
      <c r="G679" s="87" t="b">
        <v>0</v>
      </c>
    </row>
    <row r="680" spans="1:7" x14ac:dyDescent="0.25">
      <c r="A680" s="84" t="s">
        <v>1739</v>
      </c>
      <c r="B680" s="87">
        <v>2</v>
      </c>
      <c r="C680" s="111">
        <v>9.70791672688915E-3</v>
      </c>
      <c r="D680" s="87" t="s">
        <v>1605</v>
      </c>
      <c r="E680" s="87" t="b">
        <v>0</v>
      </c>
      <c r="F680" s="87" t="b">
        <v>0</v>
      </c>
      <c r="G680" s="87" t="b">
        <v>0</v>
      </c>
    </row>
    <row r="681" spans="1:7" x14ac:dyDescent="0.25">
      <c r="A681" s="84" t="s">
        <v>1655</v>
      </c>
      <c r="B681" s="87">
        <v>10</v>
      </c>
      <c r="C681" s="111">
        <v>0</v>
      </c>
      <c r="D681" s="87" t="s">
        <v>1606</v>
      </c>
      <c r="E681" s="87" t="b">
        <v>0</v>
      </c>
      <c r="F681" s="87" t="b">
        <v>0</v>
      </c>
      <c r="G681" s="87" t="b">
        <v>0</v>
      </c>
    </row>
    <row r="682" spans="1:7" x14ac:dyDescent="0.25">
      <c r="A682" s="84" t="s">
        <v>1721</v>
      </c>
      <c r="B682" s="87">
        <v>5</v>
      </c>
      <c r="C682" s="111">
        <v>0</v>
      </c>
      <c r="D682" s="87" t="s">
        <v>1606</v>
      </c>
      <c r="E682" s="87" t="b">
        <v>1</v>
      </c>
      <c r="F682" s="87" t="b">
        <v>0</v>
      </c>
      <c r="G682" s="87" t="b">
        <v>0</v>
      </c>
    </row>
    <row r="683" spans="1:7" x14ac:dyDescent="0.25">
      <c r="A683" s="84" t="s">
        <v>1648</v>
      </c>
      <c r="B683" s="87">
        <v>5</v>
      </c>
      <c r="C683" s="111">
        <v>0</v>
      </c>
      <c r="D683" s="87" t="s">
        <v>1606</v>
      </c>
      <c r="E683" s="87" t="b">
        <v>0</v>
      </c>
      <c r="F683" s="87" t="b">
        <v>0</v>
      </c>
      <c r="G683" s="87" t="b">
        <v>0</v>
      </c>
    </row>
    <row r="684" spans="1:7" x14ac:dyDescent="0.25">
      <c r="A684" s="84" t="s">
        <v>1710</v>
      </c>
      <c r="B684" s="87">
        <v>5</v>
      </c>
      <c r="C684" s="111">
        <v>0</v>
      </c>
      <c r="D684" s="87" t="s">
        <v>1606</v>
      </c>
      <c r="E684" s="87" t="b">
        <v>0</v>
      </c>
      <c r="F684" s="87" t="b">
        <v>0</v>
      </c>
      <c r="G684" s="87" t="b">
        <v>0</v>
      </c>
    </row>
    <row r="685" spans="1:7" x14ac:dyDescent="0.25">
      <c r="A685" s="84" t="s">
        <v>1714</v>
      </c>
      <c r="B685" s="87">
        <v>5</v>
      </c>
      <c r="C685" s="111">
        <v>0</v>
      </c>
      <c r="D685" s="87" t="s">
        <v>1606</v>
      </c>
      <c r="E685" s="87" t="b">
        <v>0</v>
      </c>
      <c r="F685" s="87" t="b">
        <v>0</v>
      </c>
      <c r="G685" s="87" t="b">
        <v>0</v>
      </c>
    </row>
    <row r="686" spans="1:7" x14ac:dyDescent="0.25">
      <c r="A686" s="84" t="s">
        <v>1647</v>
      </c>
      <c r="B686" s="87">
        <v>5</v>
      </c>
      <c r="C686" s="111">
        <v>0</v>
      </c>
      <c r="D686" s="87" t="s">
        <v>1606</v>
      </c>
      <c r="E686" s="87" t="b">
        <v>0</v>
      </c>
      <c r="F686" s="87" t="b">
        <v>0</v>
      </c>
      <c r="G686" s="87" t="b">
        <v>0</v>
      </c>
    </row>
    <row r="687" spans="1:7" x14ac:dyDescent="0.25">
      <c r="A687" s="84" t="s">
        <v>1711</v>
      </c>
      <c r="B687" s="87">
        <v>5</v>
      </c>
      <c r="C687" s="111">
        <v>0</v>
      </c>
      <c r="D687" s="87" t="s">
        <v>1606</v>
      </c>
      <c r="E687" s="87" t="b">
        <v>0</v>
      </c>
      <c r="F687" s="87" t="b">
        <v>0</v>
      </c>
      <c r="G687" s="87" t="b">
        <v>0</v>
      </c>
    </row>
    <row r="688" spans="1:7" x14ac:dyDescent="0.25">
      <c r="A688" s="84" t="s">
        <v>1717</v>
      </c>
      <c r="B688" s="87">
        <v>5</v>
      </c>
      <c r="C688" s="111">
        <v>0</v>
      </c>
      <c r="D688" s="87" t="s">
        <v>1606</v>
      </c>
      <c r="E688" s="87" t="b">
        <v>0</v>
      </c>
      <c r="F688" s="87" t="b">
        <v>0</v>
      </c>
      <c r="G688" s="87" t="b">
        <v>0</v>
      </c>
    </row>
    <row r="689" spans="1:7" x14ac:dyDescent="0.25">
      <c r="A689" s="84" t="s">
        <v>1715</v>
      </c>
      <c r="B689" s="87">
        <v>5</v>
      </c>
      <c r="C689" s="111">
        <v>0</v>
      </c>
      <c r="D689" s="87" t="s">
        <v>1606</v>
      </c>
      <c r="E689" s="87" t="b">
        <v>0</v>
      </c>
      <c r="F689" s="87" t="b">
        <v>0</v>
      </c>
      <c r="G689" s="87" t="b">
        <v>0</v>
      </c>
    </row>
    <row r="690" spans="1:7" x14ac:dyDescent="0.25">
      <c r="A690" s="84" t="s">
        <v>1640</v>
      </c>
      <c r="B690" s="87">
        <v>5</v>
      </c>
      <c r="C690" s="111">
        <v>0</v>
      </c>
      <c r="D690" s="87" t="s">
        <v>1606</v>
      </c>
      <c r="E690" s="87" t="b">
        <v>0</v>
      </c>
      <c r="F690" s="87" t="b">
        <v>0</v>
      </c>
      <c r="G690" s="87" t="b">
        <v>0</v>
      </c>
    </row>
    <row r="691" spans="1:7" x14ac:dyDescent="0.25">
      <c r="A691" s="84" t="s">
        <v>1698</v>
      </c>
      <c r="B691" s="87">
        <v>5</v>
      </c>
      <c r="C691" s="111">
        <v>0</v>
      </c>
      <c r="D691" s="87" t="s">
        <v>1606</v>
      </c>
      <c r="E691" s="87" t="b">
        <v>0</v>
      </c>
      <c r="F691" s="87" t="b">
        <v>0</v>
      </c>
      <c r="G691" s="87" t="b">
        <v>0</v>
      </c>
    </row>
    <row r="692" spans="1:7" x14ac:dyDescent="0.25">
      <c r="A692" s="84" t="s">
        <v>1701</v>
      </c>
      <c r="B692" s="87">
        <v>5</v>
      </c>
      <c r="C692" s="111">
        <v>0</v>
      </c>
      <c r="D692" s="87" t="s">
        <v>1606</v>
      </c>
      <c r="E692" s="87" t="b">
        <v>0</v>
      </c>
      <c r="F692" s="87" t="b">
        <v>0</v>
      </c>
      <c r="G692" s="87" t="b">
        <v>0</v>
      </c>
    </row>
    <row r="693" spans="1:7" x14ac:dyDescent="0.25">
      <c r="A693" s="84" t="s">
        <v>1741</v>
      </c>
      <c r="B693" s="87">
        <v>4</v>
      </c>
      <c r="C693" s="111">
        <v>4.6703620726774179E-3</v>
      </c>
      <c r="D693" s="87" t="s">
        <v>1606</v>
      </c>
      <c r="E693" s="87" t="b">
        <v>0</v>
      </c>
      <c r="F693" s="87" t="b">
        <v>0</v>
      </c>
      <c r="G693" s="87" t="b">
        <v>0</v>
      </c>
    </row>
    <row r="694" spans="1:7" x14ac:dyDescent="0.25">
      <c r="A694" s="84" t="s">
        <v>306</v>
      </c>
      <c r="B694" s="87">
        <v>4</v>
      </c>
      <c r="C694" s="111">
        <v>4.6703620726774179E-3</v>
      </c>
      <c r="D694" s="87" t="s">
        <v>1606</v>
      </c>
      <c r="E694" s="87" t="b">
        <v>0</v>
      </c>
      <c r="F694" s="87" t="b">
        <v>0</v>
      </c>
      <c r="G694" s="87" t="b">
        <v>0</v>
      </c>
    </row>
    <row r="695" spans="1:7" x14ac:dyDescent="0.25">
      <c r="A695" s="84" t="s">
        <v>1725</v>
      </c>
      <c r="B695" s="87">
        <v>4</v>
      </c>
      <c r="C695" s="111">
        <v>0</v>
      </c>
      <c r="D695" s="87" t="s">
        <v>1607</v>
      </c>
      <c r="E695" s="87" t="b">
        <v>0</v>
      </c>
      <c r="F695" s="87" t="b">
        <v>0</v>
      </c>
      <c r="G695" s="87" t="b">
        <v>0</v>
      </c>
    </row>
    <row r="696" spans="1:7" x14ac:dyDescent="0.25">
      <c r="A696" s="84" t="s">
        <v>1730</v>
      </c>
      <c r="B696" s="87">
        <v>4</v>
      </c>
      <c r="C696" s="111">
        <v>0</v>
      </c>
      <c r="D696" s="87" t="s">
        <v>1607</v>
      </c>
      <c r="E696" s="87" t="b">
        <v>1</v>
      </c>
      <c r="F696" s="87" t="b">
        <v>0</v>
      </c>
      <c r="G696" s="87" t="b">
        <v>0</v>
      </c>
    </row>
    <row r="697" spans="1:7" x14ac:dyDescent="0.25">
      <c r="A697" s="84" t="s">
        <v>1731</v>
      </c>
      <c r="B697" s="87">
        <v>4</v>
      </c>
      <c r="C697" s="111">
        <v>0</v>
      </c>
      <c r="D697" s="87" t="s">
        <v>1607</v>
      </c>
      <c r="E697" s="87" t="b">
        <v>0</v>
      </c>
      <c r="F697" s="87" t="b">
        <v>0</v>
      </c>
      <c r="G697" s="87" t="b">
        <v>0</v>
      </c>
    </row>
    <row r="698" spans="1:7" x14ac:dyDescent="0.25">
      <c r="A698" s="84" t="s">
        <v>1641</v>
      </c>
      <c r="B698" s="87">
        <v>4</v>
      </c>
      <c r="C698" s="111">
        <v>0</v>
      </c>
      <c r="D698" s="87" t="s">
        <v>1607</v>
      </c>
      <c r="E698" s="87" t="b">
        <v>1</v>
      </c>
      <c r="F698" s="87" t="b">
        <v>0</v>
      </c>
      <c r="G698" s="87" t="b">
        <v>0</v>
      </c>
    </row>
    <row r="699" spans="1:7" x14ac:dyDescent="0.25">
      <c r="A699" s="84" t="s">
        <v>1736</v>
      </c>
      <c r="B699" s="87">
        <v>4</v>
      </c>
      <c r="C699" s="111">
        <v>0</v>
      </c>
      <c r="D699" s="87" t="s">
        <v>1607</v>
      </c>
      <c r="E699" s="87" t="b">
        <v>0</v>
      </c>
      <c r="F699" s="87" t="b">
        <v>0</v>
      </c>
      <c r="G699" s="87" t="b">
        <v>0</v>
      </c>
    </row>
    <row r="700" spans="1:7" x14ac:dyDescent="0.25">
      <c r="A700" s="84" t="s">
        <v>1727</v>
      </c>
      <c r="B700" s="87">
        <v>4</v>
      </c>
      <c r="C700" s="111">
        <v>0</v>
      </c>
      <c r="D700" s="87" t="s">
        <v>1607</v>
      </c>
      <c r="E700" s="87" t="b">
        <v>0</v>
      </c>
      <c r="F700" s="87" t="b">
        <v>0</v>
      </c>
      <c r="G700" s="87" t="b">
        <v>0</v>
      </c>
    </row>
    <row r="701" spans="1:7" x14ac:dyDescent="0.25">
      <c r="A701" s="84" t="s">
        <v>1754</v>
      </c>
      <c r="B701" s="87">
        <v>4</v>
      </c>
      <c r="C701" s="111">
        <v>0</v>
      </c>
      <c r="D701" s="87" t="s">
        <v>1607</v>
      </c>
      <c r="E701" s="87" t="b">
        <v>0</v>
      </c>
      <c r="F701" s="87" t="b">
        <v>0</v>
      </c>
      <c r="G701" s="87" t="b">
        <v>0</v>
      </c>
    </row>
    <row r="702" spans="1:7" x14ac:dyDescent="0.25">
      <c r="A702" s="84" t="s">
        <v>1726</v>
      </c>
      <c r="B702" s="87">
        <v>4</v>
      </c>
      <c r="C702" s="111">
        <v>0</v>
      </c>
      <c r="D702" s="87" t="s">
        <v>1607</v>
      </c>
      <c r="E702" s="87" t="b">
        <v>0</v>
      </c>
      <c r="F702" s="87" t="b">
        <v>0</v>
      </c>
      <c r="G702" s="87" t="b">
        <v>0</v>
      </c>
    </row>
    <row r="703" spans="1:7" x14ac:dyDescent="0.25">
      <c r="A703" s="84" t="s">
        <v>304</v>
      </c>
      <c r="B703" s="87">
        <v>4</v>
      </c>
      <c r="C703" s="111">
        <v>0</v>
      </c>
      <c r="D703" s="87" t="s">
        <v>1607</v>
      </c>
      <c r="E703" s="87" t="b">
        <v>0</v>
      </c>
      <c r="F703" s="87" t="b">
        <v>0</v>
      </c>
      <c r="G703" s="87" t="b">
        <v>0</v>
      </c>
    </row>
    <row r="704" spans="1:7" x14ac:dyDescent="0.25">
      <c r="A704" s="84" t="s">
        <v>1746</v>
      </c>
      <c r="B704" s="87">
        <v>4</v>
      </c>
      <c r="C704" s="111">
        <v>0</v>
      </c>
      <c r="D704" s="87" t="s">
        <v>1607</v>
      </c>
      <c r="E704" s="87" t="b">
        <v>0</v>
      </c>
      <c r="F704" s="87" t="b">
        <v>0</v>
      </c>
      <c r="G704" s="87" t="b">
        <v>0</v>
      </c>
    </row>
    <row r="705" spans="1:7" x14ac:dyDescent="0.25">
      <c r="A705" s="84" t="s">
        <v>1748</v>
      </c>
      <c r="B705" s="87">
        <v>4</v>
      </c>
      <c r="C705" s="111">
        <v>0</v>
      </c>
      <c r="D705" s="87" t="s">
        <v>1607</v>
      </c>
      <c r="E705" s="87" t="b">
        <v>0</v>
      </c>
      <c r="F705" s="87" t="b">
        <v>0</v>
      </c>
      <c r="G705" s="87" t="b">
        <v>0</v>
      </c>
    </row>
    <row r="706" spans="1:7" x14ac:dyDescent="0.25">
      <c r="A706" s="84" t="s">
        <v>1744</v>
      </c>
      <c r="B706" s="87">
        <v>4</v>
      </c>
      <c r="C706" s="111">
        <v>0</v>
      </c>
      <c r="D706" s="87" t="s">
        <v>1607</v>
      </c>
      <c r="E706" s="87" t="b">
        <v>0</v>
      </c>
      <c r="F706" s="87" t="b">
        <v>0</v>
      </c>
      <c r="G706" s="87" t="b">
        <v>0</v>
      </c>
    </row>
    <row r="707" spans="1:7" x14ac:dyDescent="0.25">
      <c r="A707" s="84" t="s">
        <v>1729</v>
      </c>
      <c r="B707" s="87">
        <v>4</v>
      </c>
      <c r="C707" s="111">
        <v>0</v>
      </c>
      <c r="D707" s="87" t="s">
        <v>1607</v>
      </c>
      <c r="E707" s="87" t="b">
        <v>0</v>
      </c>
      <c r="F707" s="87" t="b">
        <v>0</v>
      </c>
      <c r="G707" s="87" t="b">
        <v>0</v>
      </c>
    </row>
    <row r="708" spans="1:7" x14ac:dyDescent="0.25">
      <c r="A708" s="84" t="s">
        <v>302</v>
      </c>
      <c r="B708" s="87">
        <v>3</v>
      </c>
      <c r="C708" s="111">
        <v>5.5942717884313398E-3</v>
      </c>
      <c r="D708" s="87" t="s">
        <v>1607</v>
      </c>
      <c r="E708" s="87" t="b">
        <v>0</v>
      </c>
      <c r="F708" s="87" t="b">
        <v>0</v>
      </c>
      <c r="G708" s="87" t="b">
        <v>0</v>
      </c>
    </row>
    <row r="709" spans="1:7" x14ac:dyDescent="0.25">
      <c r="A709" s="84" t="s">
        <v>338</v>
      </c>
      <c r="B709" s="87">
        <v>3</v>
      </c>
      <c r="C709" s="111">
        <v>0</v>
      </c>
      <c r="D709" s="87" t="s">
        <v>1608</v>
      </c>
      <c r="E709" s="87" t="b">
        <v>1</v>
      </c>
      <c r="F709" s="87" t="b">
        <v>0</v>
      </c>
      <c r="G709" s="87" t="b">
        <v>0</v>
      </c>
    </row>
    <row r="710" spans="1:7" x14ac:dyDescent="0.25">
      <c r="A710" s="84" t="s">
        <v>1824</v>
      </c>
      <c r="B710" s="87">
        <v>2</v>
      </c>
      <c r="C710" s="111">
        <v>0</v>
      </c>
      <c r="D710" s="87" t="s">
        <v>1608</v>
      </c>
      <c r="E710" s="87" t="b">
        <v>0</v>
      </c>
      <c r="F710" s="87" t="b">
        <v>0</v>
      </c>
      <c r="G710" s="87" t="b">
        <v>0</v>
      </c>
    </row>
    <row r="711" spans="1:7" x14ac:dyDescent="0.25">
      <c r="A711" s="84" t="s">
        <v>1784</v>
      </c>
      <c r="B711" s="87">
        <v>2</v>
      </c>
      <c r="C711" s="111">
        <v>0</v>
      </c>
      <c r="D711" s="87" t="s">
        <v>1608</v>
      </c>
      <c r="E711" s="87" t="b">
        <v>0</v>
      </c>
      <c r="F711" s="87" t="b">
        <v>0</v>
      </c>
      <c r="G711" s="87" t="b">
        <v>0</v>
      </c>
    </row>
    <row r="712" spans="1:7" x14ac:dyDescent="0.25">
      <c r="A712" s="84" t="s">
        <v>1906</v>
      </c>
      <c r="B712" s="87">
        <v>2</v>
      </c>
      <c r="C712" s="111">
        <v>0</v>
      </c>
      <c r="D712" s="87" t="s">
        <v>1608</v>
      </c>
      <c r="E712" s="87" t="b">
        <v>0</v>
      </c>
      <c r="F712" s="87" t="b">
        <v>0</v>
      </c>
      <c r="G712" s="87" t="b">
        <v>0</v>
      </c>
    </row>
    <row r="713" spans="1:7" x14ac:dyDescent="0.25">
      <c r="A713" s="84" t="s">
        <v>1761</v>
      </c>
      <c r="B713" s="87">
        <v>2</v>
      </c>
      <c r="C713" s="111">
        <v>0</v>
      </c>
      <c r="D713" s="87" t="s">
        <v>1608</v>
      </c>
      <c r="E713" s="87" t="b">
        <v>0</v>
      </c>
      <c r="F713" s="87" t="b">
        <v>0</v>
      </c>
      <c r="G713" s="87" t="b">
        <v>0</v>
      </c>
    </row>
    <row r="714" spans="1:7" x14ac:dyDescent="0.25">
      <c r="A714" s="84" t="s">
        <v>1892</v>
      </c>
      <c r="B714" s="87">
        <v>2</v>
      </c>
      <c r="C714" s="111">
        <v>0</v>
      </c>
      <c r="D714" s="87" t="s">
        <v>1608</v>
      </c>
      <c r="E714" s="87" t="b">
        <v>0</v>
      </c>
      <c r="F714" s="87" t="b">
        <v>0</v>
      </c>
      <c r="G714" s="87" t="b">
        <v>0</v>
      </c>
    </row>
    <row r="715" spans="1:7" x14ac:dyDescent="0.25">
      <c r="A715" s="84" t="s">
        <v>1868</v>
      </c>
      <c r="B715" s="87">
        <v>2</v>
      </c>
      <c r="C715" s="111">
        <v>0</v>
      </c>
      <c r="D715" s="87" t="s">
        <v>1608</v>
      </c>
      <c r="E715" s="87" t="b">
        <v>0</v>
      </c>
      <c r="F715" s="87" t="b">
        <v>0</v>
      </c>
      <c r="G715" s="87" t="b">
        <v>0</v>
      </c>
    </row>
    <row r="716" spans="1:7" x14ac:dyDescent="0.25">
      <c r="A716" s="84" t="s">
        <v>1689</v>
      </c>
      <c r="B716" s="87">
        <v>2</v>
      </c>
      <c r="C716" s="111">
        <v>0</v>
      </c>
      <c r="D716" s="87" t="s">
        <v>1608</v>
      </c>
      <c r="E716" s="87" t="b">
        <v>0</v>
      </c>
      <c r="F716" s="87" t="b">
        <v>0</v>
      </c>
      <c r="G716" s="87" t="b">
        <v>0</v>
      </c>
    </row>
    <row r="717" spans="1:7" x14ac:dyDescent="0.25">
      <c r="A717" s="84" t="s">
        <v>1648</v>
      </c>
      <c r="B717" s="87">
        <v>4</v>
      </c>
      <c r="C717" s="111">
        <v>5.8733341217003894E-3</v>
      </c>
      <c r="D717" s="87" t="s">
        <v>1609</v>
      </c>
      <c r="E717" s="87" t="b">
        <v>0</v>
      </c>
      <c r="F717" s="87" t="b">
        <v>0</v>
      </c>
      <c r="G717" s="87" t="b">
        <v>0</v>
      </c>
    </row>
    <row r="718" spans="1:7" x14ac:dyDescent="0.25">
      <c r="A718" s="84" t="s">
        <v>1645</v>
      </c>
      <c r="B718" s="87">
        <v>4</v>
      </c>
      <c r="C718" s="111">
        <v>5.8733341217003894E-3</v>
      </c>
      <c r="D718" s="87" t="s">
        <v>1609</v>
      </c>
      <c r="E718" s="87" t="b">
        <v>0</v>
      </c>
      <c r="F718" s="87" t="b">
        <v>0</v>
      </c>
      <c r="G718" s="87" t="b">
        <v>0</v>
      </c>
    </row>
    <row r="719" spans="1:7" x14ac:dyDescent="0.25">
      <c r="A719" s="84" t="s">
        <v>1658</v>
      </c>
      <c r="B719" s="87">
        <v>4</v>
      </c>
      <c r="C719" s="111">
        <v>5.8733341217003894E-3</v>
      </c>
      <c r="D719" s="87" t="s">
        <v>1609</v>
      </c>
      <c r="E719" s="87" t="b">
        <v>0</v>
      </c>
      <c r="F719" s="87" t="b">
        <v>0</v>
      </c>
      <c r="G719" s="87" t="b">
        <v>0</v>
      </c>
    </row>
    <row r="720" spans="1:7" x14ac:dyDescent="0.25">
      <c r="A720" s="84" t="s">
        <v>1660</v>
      </c>
      <c r="B720" s="87">
        <v>4</v>
      </c>
      <c r="C720" s="111">
        <v>5.8733341217003894E-3</v>
      </c>
      <c r="D720" s="87" t="s">
        <v>1609</v>
      </c>
      <c r="E720" s="87" t="b">
        <v>0</v>
      </c>
      <c r="F720" s="87" t="b">
        <v>0</v>
      </c>
      <c r="G720" s="87" t="b">
        <v>0</v>
      </c>
    </row>
    <row r="721" spans="1:7" x14ac:dyDescent="0.25">
      <c r="A721" s="84" t="s">
        <v>1678</v>
      </c>
      <c r="B721" s="87">
        <v>4</v>
      </c>
      <c r="C721" s="111">
        <v>5.8733341217003894E-3</v>
      </c>
      <c r="D721" s="87" t="s">
        <v>1609</v>
      </c>
      <c r="E721" s="87" t="b">
        <v>0</v>
      </c>
      <c r="F721" s="87" t="b">
        <v>0</v>
      </c>
      <c r="G721" s="87" t="b">
        <v>0</v>
      </c>
    </row>
    <row r="722" spans="1:7" x14ac:dyDescent="0.25">
      <c r="A722" s="84" t="s">
        <v>1653</v>
      </c>
      <c r="B722" s="87">
        <v>4</v>
      </c>
      <c r="C722" s="111">
        <v>5.8733341217003894E-3</v>
      </c>
      <c r="D722" s="87" t="s">
        <v>1609</v>
      </c>
      <c r="E722" s="87" t="b">
        <v>0</v>
      </c>
      <c r="F722" s="87" t="b">
        <v>0</v>
      </c>
      <c r="G722" s="87" t="b">
        <v>0</v>
      </c>
    </row>
    <row r="723" spans="1:7" x14ac:dyDescent="0.25">
      <c r="A723" s="84" t="s">
        <v>1691</v>
      </c>
      <c r="B723" s="87">
        <v>4</v>
      </c>
      <c r="C723" s="111">
        <v>5.8733341217003894E-3</v>
      </c>
      <c r="D723" s="87" t="s">
        <v>1609</v>
      </c>
      <c r="E723" s="87" t="b">
        <v>0</v>
      </c>
      <c r="F723" s="87" t="b">
        <v>0</v>
      </c>
      <c r="G723" s="87" t="b">
        <v>0</v>
      </c>
    </row>
    <row r="724" spans="1:7" x14ac:dyDescent="0.25">
      <c r="A724" s="84" t="s">
        <v>268</v>
      </c>
      <c r="B724" s="87">
        <v>4</v>
      </c>
      <c r="C724" s="111">
        <v>5.8733341217003894E-3</v>
      </c>
      <c r="D724" s="87" t="s">
        <v>1609</v>
      </c>
      <c r="E724" s="87" t="b">
        <v>0</v>
      </c>
      <c r="F724" s="87" t="b">
        <v>0</v>
      </c>
      <c r="G724" s="87" t="b">
        <v>0</v>
      </c>
    </row>
    <row r="725" spans="1:7" x14ac:dyDescent="0.25">
      <c r="A725" s="84" t="s">
        <v>1683</v>
      </c>
      <c r="B725" s="87">
        <v>4</v>
      </c>
      <c r="C725" s="111">
        <v>5.8733341217003894E-3</v>
      </c>
      <c r="D725" s="87" t="s">
        <v>1609</v>
      </c>
      <c r="E725" s="87" t="b">
        <v>0</v>
      </c>
      <c r="F725" s="87" t="b">
        <v>0</v>
      </c>
      <c r="G725" s="87" t="b">
        <v>0</v>
      </c>
    </row>
    <row r="726" spans="1:7" x14ac:dyDescent="0.25">
      <c r="A726" s="84" t="s">
        <v>1679</v>
      </c>
      <c r="B726" s="87">
        <v>4</v>
      </c>
      <c r="C726" s="111">
        <v>5.8733341217003894E-3</v>
      </c>
      <c r="D726" s="87" t="s">
        <v>1609</v>
      </c>
      <c r="E726" s="87" t="b">
        <v>0</v>
      </c>
      <c r="F726" s="87" t="b">
        <v>0</v>
      </c>
      <c r="G726" s="87" t="b">
        <v>0</v>
      </c>
    </row>
    <row r="727" spans="1:7" x14ac:dyDescent="0.25">
      <c r="A727" s="84" t="s">
        <v>1681</v>
      </c>
      <c r="B727" s="87">
        <v>4</v>
      </c>
      <c r="C727" s="111">
        <v>5.8733341217003894E-3</v>
      </c>
      <c r="D727" s="87" t="s">
        <v>1609</v>
      </c>
      <c r="E727" s="87" t="b">
        <v>0</v>
      </c>
      <c r="F727" s="87" t="b">
        <v>0</v>
      </c>
      <c r="G727" s="87" t="b">
        <v>0</v>
      </c>
    </row>
    <row r="728" spans="1:7" x14ac:dyDescent="0.25">
      <c r="A728" s="84" t="s">
        <v>1662</v>
      </c>
      <c r="B728" s="87">
        <v>4</v>
      </c>
      <c r="C728" s="111">
        <v>5.8733341217003894E-3</v>
      </c>
      <c r="D728" s="87" t="s">
        <v>1609</v>
      </c>
      <c r="E728" s="87" t="b">
        <v>0</v>
      </c>
      <c r="F728" s="87" t="b">
        <v>0</v>
      </c>
      <c r="G728" s="87" t="b">
        <v>0</v>
      </c>
    </row>
    <row r="729" spans="1:7" x14ac:dyDescent="0.25">
      <c r="A729" s="84" t="s">
        <v>289</v>
      </c>
      <c r="B729" s="87">
        <v>3</v>
      </c>
      <c r="C729" s="111">
        <v>1.0084034073470746E-2</v>
      </c>
      <c r="D729" s="87" t="s">
        <v>1609</v>
      </c>
      <c r="E729" s="87" t="b">
        <v>0</v>
      </c>
      <c r="F729" s="87" t="b">
        <v>0</v>
      </c>
      <c r="G729" s="87" t="b">
        <v>0</v>
      </c>
    </row>
    <row r="730" spans="1:7" x14ac:dyDescent="0.25">
      <c r="A730" s="84" t="s">
        <v>261</v>
      </c>
      <c r="B730" s="87">
        <v>2</v>
      </c>
      <c r="C730" s="111">
        <v>2.1180909222303604E-2</v>
      </c>
      <c r="D730" s="87" t="s">
        <v>1609</v>
      </c>
      <c r="E730" s="87" t="b">
        <v>0</v>
      </c>
      <c r="F730" s="87" t="b">
        <v>0</v>
      </c>
      <c r="G730" s="87" t="b">
        <v>0</v>
      </c>
    </row>
    <row r="731" spans="1:7" x14ac:dyDescent="0.25">
      <c r="A731" s="84" t="s">
        <v>311</v>
      </c>
      <c r="B731" s="87">
        <v>2</v>
      </c>
      <c r="C731" s="111">
        <v>0</v>
      </c>
      <c r="D731" s="87" t="s">
        <v>1611</v>
      </c>
      <c r="E731" s="87" t="b">
        <v>0</v>
      </c>
      <c r="F731" s="87" t="b">
        <v>0</v>
      </c>
      <c r="G731" s="87" t="b">
        <v>0</v>
      </c>
    </row>
    <row r="732" spans="1:7" x14ac:dyDescent="0.25">
      <c r="A732" s="84" t="s">
        <v>494</v>
      </c>
      <c r="B732" s="87">
        <v>3</v>
      </c>
      <c r="C732" s="111">
        <v>7.6561416980730967E-3</v>
      </c>
      <c r="D732" s="87" t="s">
        <v>1612</v>
      </c>
      <c r="E732" s="87" t="b">
        <v>0</v>
      </c>
      <c r="F732" s="87" t="b">
        <v>0</v>
      </c>
      <c r="G732" s="87" t="b">
        <v>0</v>
      </c>
    </row>
    <row r="733" spans="1:7" x14ac:dyDescent="0.25">
      <c r="A733" s="84" t="s">
        <v>1791</v>
      </c>
      <c r="B733" s="87">
        <v>3</v>
      </c>
      <c r="C733" s="111">
        <v>2.0744402379115758E-2</v>
      </c>
      <c r="D733" s="87" t="s">
        <v>1612</v>
      </c>
      <c r="E733" s="87" t="b">
        <v>0</v>
      </c>
      <c r="F733" s="87" t="b">
        <v>0</v>
      </c>
      <c r="G733" s="87" t="b">
        <v>0</v>
      </c>
    </row>
    <row r="734" spans="1:7" x14ac:dyDescent="0.25">
      <c r="A734" s="84" t="s">
        <v>1640</v>
      </c>
      <c r="B734" s="87">
        <v>3</v>
      </c>
      <c r="C734" s="111">
        <v>7.6561416980730967E-3</v>
      </c>
      <c r="D734" s="87" t="s">
        <v>1612</v>
      </c>
      <c r="E734" s="87" t="b">
        <v>0</v>
      </c>
      <c r="F734" s="87" t="b">
        <v>0</v>
      </c>
      <c r="G734" s="87" t="b">
        <v>0</v>
      </c>
    </row>
    <row r="735" spans="1:7" x14ac:dyDescent="0.25">
      <c r="A735" s="84" t="s">
        <v>268</v>
      </c>
      <c r="B735" s="87">
        <v>3</v>
      </c>
      <c r="C735" s="111">
        <v>7.6561416980730967E-3</v>
      </c>
      <c r="D735" s="87" t="s">
        <v>1612</v>
      </c>
      <c r="E735" s="87" t="b">
        <v>0</v>
      </c>
      <c r="F735" s="87" t="b">
        <v>0</v>
      </c>
      <c r="G735" s="87" t="b">
        <v>0</v>
      </c>
    </row>
    <row r="736" spans="1:7" x14ac:dyDescent="0.25">
      <c r="A736" s="84" t="s">
        <v>1659</v>
      </c>
      <c r="B736" s="87">
        <v>2</v>
      </c>
      <c r="C736" s="111">
        <v>5.1040944653820653E-3</v>
      </c>
      <c r="D736" s="87" t="s">
        <v>1612</v>
      </c>
      <c r="E736" s="87" t="b">
        <v>0</v>
      </c>
      <c r="F736" s="87" t="b">
        <v>0</v>
      </c>
      <c r="G736" s="87" t="b">
        <v>0</v>
      </c>
    </row>
    <row r="737" spans="1:7" x14ac:dyDescent="0.25">
      <c r="A737" s="84" t="s">
        <v>1642</v>
      </c>
      <c r="B737" s="87">
        <v>2</v>
      </c>
      <c r="C737" s="111">
        <v>5.1040944653820653E-3</v>
      </c>
      <c r="D737" s="87" t="s">
        <v>1612</v>
      </c>
      <c r="E737" s="87" t="b">
        <v>0</v>
      </c>
      <c r="F737" s="87" t="b">
        <v>0</v>
      </c>
      <c r="G737" s="87" t="b">
        <v>0</v>
      </c>
    </row>
    <row r="738" spans="1:7" x14ac:dyDescent="0.25">
      <c r="A738" s="84" t="s">
        <v>1752</v>
      </c>
      <c r="B738" s="87">
        <v>2</v>
      </c>
      <c r="C738" s="111">
        <v>1.3829601586077172E-2</v>
      </c>
      <c r="D738" s="87" t="s">
        <v>1612</v>
      </c>
      <c r="E738" s="87" t="b">
        <v>0</v>
      </c>
      <c r="F738" s="87" t="b">
        <v>0</v>
      </c>
      <c r="G738" s="87" t="b">
        <v>0</v>
      </c>
    </row>
    <row r="739" spans="1:7" x14ac:dyDescent="0.25">
      <c r="A739" s="84" t="s">
        <v>1848</v>
      </c>
      <c r="B739" s="87">
        <v>2</v>
      </c>
      <c r="C739" s="111">
        <v>1.3829601586077172E-2</v>
      </c>
      <c r="D739" s="87" t="s">
        <v>1612</v>
      </c>
      <c r="E739" s="87" t="b">
        <v>0</v>
      </c>
      <c r="F739" s="87" t="b">
        <v>0</v>
      </c>
      <c r="G739" s="87" t="b">
        <v>0</v>
      </c>
    </row>
    <row r="740" spans="1:7" x14ac:dyDescent="0.25">
      <c r="A740" s="84" t="s">
        <v>1787</v>
      </c>
      <c r="B740" s="87">
        <v>2</v>
      </c>
      <c r="C740" s="111">
        <v>1.3829601586077172E-2</v>
      </c>
      <c r="D740" s="87" t="s">
        <v>1612</v>
      </c>
      <c r="E740" s="87" t="b">
        <v>0</v>
      </c>
      <c r="F740" s="87" t="b">
        <v>0</v>
      </c>
      <c r="G740" s="87" t="b">
        <v>0</v>
      </c>
    </row>
    <row r="741" spans="1:7" x14ac:dyDescent="0.25">
      <c r="A741" s="84" t="s">
        <v>1641</v>
      </c>
      <c r="B741" s="87">
        <v>2</v>
      </c>
      <c r="C741" s="111">
        <v>1.3829601586077172E-2</v>
      </c>
      <c r="D741" s="87" t="s">
        <v>1612</v>
      </c>
      <c r="E741" s="87" t="b">
        <v>1</v>
      </c>
      <c r="F741" s="87" t="b">
        <v>0</v>
      </c>
      <c r="G741" s="87" t="b">
        <v>0</v>
      </c>
    </row>
    <row r="742" spans="1:7" x14ac:dyDescent="0.25">
      <c r="A742" s="84" t="s">
        <v>1776</v>
      </c>
      <c r="B742" s="87">
        <v>3</v>
      </c>
      <c r="C742" s="111">
        <v>0</v>
      </c>
      <c r="D742" s="87" t="s">
        <v>1614</v>
      </c>
      <c r="E742" s="87" t="b">
        <v>0</v>
      </c>
      <c r="F742" s="87" t="b">
        <v>0</v>
      </c>
      <c r="G742" s="87" t="b">
        <v>0</v>
      </c>
    </row>
    <row r="743" spans="1:7" x14ac:dyDescent="0.25">
      <c r="A743" s="84" t="s">
        <v>1910</v>
      </c>
      <c r="B743" s="87">
        <v>2</v>
      </c>
      <c r="C743" s="111">
        <v>0</v>
      </c>
      <c r="D743" s="87" t="s">
        <v>1614</v>
      </c>
      <c r="E743" s="87" t="b">
        <v>0</v>
      </c>
      <c r="F743" s="87" t="b">
        <v>0</v>
      </c>
      <c r="G743" s="87" t="b">
        <v>0</v>
      </c>
    </row>
    <row r="744" spans="1:7" x14ac:dyDescent="0.25">
      <c r="A744" s="84" t="s">
        <v>1778</v>
      </c>
      <c r="B744" s="87">
        <v>2</v>
      </c>
      <c r="C744" s="111">
        <v>0</v>
      </c>
      <c r="D744" s="87" t="s">
        <v>1614</v>
      </c>
      <c r="E744" s="87" t="b">
        <v>0</v>
      </c>
      <c r="F744" s="87" t="b">
        <v>0</v>
      </c>
      <c r="G744" s="87" t="b">
        <v>0</v>
      </c>
    </row>
    <row r="745" spans="1:7" x14ac:dyDescent="0.25">
      <c r="A745" s="84" t="s">
        <v>1762</v>
      </c>
      <c r="B745" s="87">
        <v>2</v>
      </c>
      <c r="C745" s="111">
        <v>0</v>
      </c>
      <c r="D745" s="87" t="s">
        <v>1614</v>
      </c>
      <c r="E745" s="87" t="b">
        <v>0</v>
      </c>
      <c r="F745" s="87" t="b">
        <v>0</v>
      </c>
      <c r="G745" s="87" t="b">
        <v>0</v>
      </c>
    </row>
    <row r="746" spans="1:7" x14ac:dyDescent="0.25">
      <c r="A746" s="84" t="s">
        <v>1803</v>
      </c>
      <c r="B746" s="87">
        <v>2</v>
      </c>
      <c r="C746" s="111">
        <v>0</v>
      </c>
      <c r="D746" s="87" t="s">
        <v>1614</v>
      </c>
      <c r="E746" s="87" t="b">
        <v>1</v>
      </c>
      <c r="F746" s="87" t="b">
        <v>0</v>
      </c>
      <c r="G746" s="87" t="b">
        <v>0</v>
      </c>
    </row>
    <row r="747" spans="1:7" x14ac:dyDescent="0.25">
      <c r="A747" s="84" t="s">
        <v>1931</v>
      </c>
      <c r="B747" s="87">
        <v>2</v>
      </c>
      <c r="C747" s="111">
        <v>0</v>
      </c>
      <c r="D747" s="87" t="s">
        <v>1614</v>
      </c>
      <c r="E747" s="87" t="b">
        <v>0</v>
      </c>
      <c r="F747" s="87" t="b">
        <v>0</v>
      </c>
      <c r="G747" s="87" t="b">
        <v>0</v>
      </c>
    </row>
    <row r="748" spans="1:7" x14ac:dyDescent="0.25">
      <c r="A748" s="84" t="s">
        <v>1880</v>
      </c>
      <c r="B748" s="87">
        <v>2</v>
      </c>
      <c r="C748" s="111">
        <v>0</v>
      </c>
      <c r="D748" s="87" t="s">
        <v>1614</v>
      </c>
      <c r="E748" s="87" t="b">
        <v>0</v>
      </c>
      <c r="F748" s="87" t="b">
        <v>0</v>
      </c>
      <c r="G748" s="87" t="b">
        <v>0</v>
      </c>
    </row>
    <row r="749" spans="1:7" x14ac:dyDescent="0.25">
      <c r="A749" s="84" t="s">
        <v>1742</v>
      </c>
      <c r="B749" s="87">
        <v>2</v>
      </c>
      <c r="C749" s="111">
        <v>0</v>
      </c>
      <c r="D749" s="87" t="s">
        <v>1614</v>
      </c>
      <c r="E749" s="87" t="b">
        <v>1</v>
      </c>
      <c r="F749" s="87" t="b">
        <v>0</v>
      </c>
      <c r="G749" s="87" t="b">
        <v>0</v>
      </c>
    </row>
    <row r="750" spans="1:7" x14ac:dyDescent="0.25">
      <c r="A750" s="84" t="s">
        <v>1856</v>
      </c>
      <c r="B750" s="87">
        <v>2</v>
      </c>
      <c r="C750" s="111">
        <v>0</v>
      </c>
      <c r="D750" s="87" t="s">
        <v>1614</v>
      </c>
      <c r="E750" s="87" t="b">
        <v>0</v>
      </c>
      <c r="F750" s="87" t="b">
        <v>0</v>
      </c>
      <c r="G750" s="87" t="b">
        <v>0</v>
      </c>
    </row>
    <row r="751" spans="1:7" x14ac:dyDescent="0.25">
      <c r="A751" s="84" t="s">
        <v>1705</v>
      </c>
      <c r="B751" s="87">
        <v>2</v>
      </c>
      <c r="C751" s="111">
        <v>0</v>
      </c>
      <c r="D751" s="87" t="s">
        <v>1614</v>
      </c>
      <c r="E751" s="87" t="b">
        <v>0</v>
      </c>
      <c r="F751" s="87" t="b">
        <v>0</v>
      </c>
      <c r="G751" s="87" t="b">
        <v>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B4434-F9C2-491C-85E8-2169D0D94702}">
  <dimension ref="A1:L702"/>
  <sheetViews>
    <sheetView workbookViewId="0"/>
  </sheetViews>
  <sheetFormatPr defaultRowHeight="15" x14ac:dyDescent="0.25"/>
  <cols>
    <col min="1" max="1" width="9.5703125" customWidth="1"/>
    <col min="2" max="2" width="9.5703125" bestFit="1" customWidth="1"/>
    <col min="3" max="3" width="8.5703125" bestFit="1" customWidth="1"/>
    <col min="4" max="4" width="10.7109375" bestFit="1" customWidth="1"/>
    <col min="5" max="5" width="20.85546875" bestFit="1" customWidth="1"/>
    <col min="6" max="6" width="8.7109375" bestFit="1" customWidth="1"/>
    <col min="7" max="12" width="33.140625" bestFit="1" customWidth="1"/>
  </cols>
  <sheetData>
    <row r="1" spans="1:12" ht="15" customHeight="1" x14ac:dyDescent="0.25">
      <c r="A1" s="13" t="s">
        <v>1956</v>
      </c>
      <c r="B1" s="13" t="s">
        <v>1957</v>
      </c>
      <c r="C1" s="13" t="s">
        <v>1947</v>
      </c>
      <c r="D1" s="13" t="s">
        <v>1951</v>
      </c>
      <c r="E1" s="13" t="s">
        <v>1958</v>
      </c>
      <c r="F1" s="13" t="s">
        <v>144</v>
      </c>
      <c r="G1" s="13" t="s">
        <v>1959</v>
      </c>
      <c r="H1" s="13" t="s">
        <v>1960</v>
      </c>
      <c r="I1" s="13" t="s">
        <v>1961</v>
      </c>
      <c r="J1" s="13" t="s">
        <v>1962</v>
      </c>
      <c r="K1" s="13" t="s">
        <v>1963</v>
      </c>
      <c r="L1" s="13" t="s">
        <v>1964</v>
      </c>
    </row>
    <row r="2" spans="1:12" x14ac:dyDescent="0.25">
      <c r="A2" s="87" t="s">
        <v>1643</v>
      </c>
      <c r="B2" s="87" t="s">
        <v>1642</v>
      </c>
      <c r="C2" s="87">
        <v>16</v>
      </c>
      <c r="D2" s="111">
        <v>7.8482227501586507E-3</v>
      </c>
      <c r="E2" s="111">
        <v>1.8596122627261671</v>
      </c>
      <c r="F2" s="87" t="s">
        <v>1952</v>
      </c>
      <c r="G2" s="87" t="b">
        <v>0</v>
      </c>
      <c r="H2" s="87" t="b">
        <v>0</v>
      </c>
      <c r="I2" s="87" t="b">
        <v>0</v>
      </c>
      <c r="J2" s="87" t="b">
        <v>0</v>
      </c>
      <c r="K2" s="87" t="b">
        <v>0</v>
      </c>
      <c r="L2" s="87" t="b">
        <v>0</v>
      </c>
    </row>
    <row r="3" spans="1:12" x14ac:dyDescent="0.25">
      <c r="A3" s="84" t="s">
        <v>1650</v>
      </c>
      <c r="B3" s="87" t="s">
        <v>275</v>
      </c>
      <c r="C3" s="87">
        <v>14</v>
      </c>
      <c r="D3" s="111">
        <v>7.3065278380379621E-3</v>
      </c>
      <c r="E3" s="111">
        <v>1.9800033715837462</v>
      </c>
      <c r="F3" s="87" t="s">
        <v>1952</v>
      </c>
      <c r="G3" s="87" t="b">
        <v>0</v>
      </c>
      <c r="H3" s="87" t="b">
        <v>0</v>
      </c>
      <c r="I3" s="87" t="b">
        <v>0</v>
      </c>
      <c r="J3" s="87" t="b">
        <v>0</v>
      </c>
      <c r="K3" s="87" t="b">
        <v>0</v>
      </c>
      <c r="L3" s="87" t="b">
        <v>0</v>
      </c>
    </row>
    <row r="4" spans="1:12" x14ac:dyDescent="0.25">
      <c r="A4" s="84" t="s">
        <v>249</v>
      </c>
      <c r="B4" s="87" t="s">
        <v>1650</v>
      </c>
      <c r="C4" s="87">
        <v>14</v>
      </c>
      <c r="D4" s="111">
        <v>7.3065278380379621E-3</v>
      </c>
      <c r="E4" s="111">
        <v>1.6554922800702423</v>
      </c>
      <c r="F4" s="87" t="s">
        <v>1952</v>
      </c>
      <c r="G4" s="87" t="b">
        <v>0</v>
      </c>
      <c r="H4" s="87" t="b">
        <v>0</v>
      </c>
      <c r="I4" s="87" t="b">
        <v>0</v>
      </c>
      <c r="J4" s="87" t="b">
        <v>0</v>
      </c>
      <c r="K4" s="87" t="b">
        <v>0</v>
      </c>
      <c r="L4" s="87" t="b">
        <v>0</v>
      </c>
    </row>
    <row r="5" spans="1:12" x14ac:dyDescent="0.25">
      <c r="A5" s="84" t="s">
        <v>1663</v>
      </c>
      <c r="B5" s="87" t="s">
        <v>1649</v>
      </c>
      <c r="C5" s="87">
        <v>9</v>
      </c>
      <c r="D5" s="111">
        <v>5.6315610431489803E-3</v>
      </c>
      <c r="E5" s="111">
        <v>2.0591846176313711</v>
      </c>
      <c r="F5" s="87" t="s">
        <v>1952</v>
      </c>
      <c r="G5" s="87" t="b">
        <v>0</v>
      </c>
      <c r="H5" s="87" t="b">
        <v>0</v>
      </c>
      <c r="I5" s="87" t="b">
        <v>0</v>
      </c>
      <c r="J5" s="87" t="b">
        <v>0</v>
      </c>
      <c r="K5" s="87" t="b">
        <v>0</v>
      </c>
      <c r="L5" s="87" t="b">
        <v>0</v>
      </c>
    </row>
    <row r="6" spans="1:12" x14ac:dyDescent="0.25">
      <c r="A6" s="84" t="s">
        <v>268</v>
      </c>
      <c r="B6" s="87" t="s">
        <v>1663</v>
      </c>
      <c r="C6" s="87">
        <v>9</v>
      </c>
      <c r="D6" s="111">
        <v>5.6315610431489803E-3</v>
      </c>
      <c r="E6" s="111">
        <v>1.4718478831241151</v>
      </c>
      <c r="F6" s="87" t="s">
        <v>1952</v>
      </c>
      <c r="G6" s="87" t="b">
        <v>0</v>
      </c>
      <c r="H6" s="87" t="b">
        <v>0</v>
      </c>
      <c r="I6" s="87" t="b">
        <v>0</v>
      </c>
      <c r="J6" s="87" t="b">
        <v>0</v>
      </c>
      <c r="K6" s="87" t="b">
        <v>0</v>
      </c>
      <c r="L6" s="87" t="b">
        <v>0</v>
      </c>
    </row>
    <row r="7" spans="1:12" x14ac:dyDescent="0.25">
      <c r="A7" s="84" t="s">
        <v>1664</v>
      </c>
      <c r="B7" s="87" t="s">
        <v>249</v>
      </c>
      <c r="C7" s="87">
        <v>8</v>
      </c>
      <c r="D7" s="111">
        <v>5.2272715294688545E-3</v>
      </c>
      <c r="E7" s="111">
        <v>2.0048269553087783</v>
      </c>
      <c r="F7" s="87" t="s">
        <v>1952</v>
      </c>
      <c r="G7" s="87" t="b">
        <v>0</v>
      </c>
      <c r="H7" s="87" t="b">
        <v>0</v>
      </c>
      <c r="I7" s="87" t="b">
        <v>0</v>
      </c>
      <c r="J7" s="87" t="b">
        <v>0</v>
      </c>
      <c r="K7" s="87" t="b">
        <v>0</v>
      </c>
      <c r="L7" s="87" t="b">
        <v>0</v>
      </c>
    </row>
    <row r="8" spans="1:12" x14ac:dyDescent="0.25">
      <c r="A8" s="84" t="s">
        <v>1646</v>
      </c>
      <c r="B8" s="87" t="s">
        <v>1641</v>
      </c>
      <c r="C8" s="87">
        <v>8</v>
      </c>
      <c r="D8" s="111">
        <v>6.5304316838583829E-3</v>
      </c>
      <c r="E8" s="111">
        <v>1.5820633629117087</v>
      </c>
      <c r="F8" s="87" t="s">
        <v>1952</v>
      </c>
      <c r="G8" s="87" t="b">
        <v>0</v>
      </c>
      <c r="H8" s="87" t="b">
        <v>0</v>
      </c>
      <c r="I8" s="87" t="b">
        <v>0</v>
      </c>
      <c r="J8" s="87" t="b">
        <v>1</v>
      </c>
      <c r="K8" s="87" t="b">
        <v>0</v>
      </c>
      <c r="L8" s="87" t="b">
        <v>0</v>
      </c>
    </row>
    <row r="9" spans="1:12" x14ac:dyDescent="0.25">
      <c r="A9" s="84" t="s">
        <v>252</v>
      </c>
      <c r="B9" s="87" t="s">
        <v>1643</v>
      </c>
      <c r="C9" s="87">
        <v>8</v>
      </c>
      <c r="D9" s="111">
        <v>5.2272715294688545E-3</v>
      </c>
      <c r="E9" s="111">
        <v>2.0244225113721592</v>
      </c>
      <c r="F9" s="87" t="s">
        <v>1952</v>
      </c>
      <c r="G9" s="87" t="b">
        <v>0</v>
      </c>
      <c r="H9" s="87" t="b">
        <v>0</v>
      </c>
      <c r="I9" s="87" t="b">
        <v>0</v>
      </c>
      <c r="J9" s="87" t="b">
        <v>0</v>
      </c>
      <c r="K9" s="87" t="b">
        <v>0</v>
      </c>
      <c r="L9" s="87" t="b">
        <v>0</v>
      </c>
    </row>
    <row r="10" spans="1:12" x14ac:dyDescent="0.25">
      <c r="A10" s="84" t="s">
        <v>1649</v>
      </c>
      <c r="B10" s="87" t="s">
        <v>1646</v>
      </c>
      <c r="C10" s="87">
        <v>7</v>
      </c>
      <c r="D10" s="111">
        <v>4.7935290541098186E-3</v>
      </c>
      <c r="E10" s="111">
        <v>1.649010152542322</v>
      </c>
      <c r="F10" s="87" t="s">
        <v>1952</v>
      </c>
      <c r="G10" s="87" t="b">
        <v>0</v>
      </c>
      <c r="H10" s="87" t="b">
        <v>0</v>
      </c>
      <c r="I10" s="87" t="b">
        <v>0</v>
      </c>
      <c r="J10" s="87" t="b">
        <v>0</v>
      </c>
      <c r="K10" s="87" t="b">
        <v>0</v>
      </c>
      <c r="L10" s="87" t="b">
        <v>0</v>
      </c>
    </row>
    <row r="11" spans="1:12" x14ac:dyDescent="0.25">
      <c r="A11" s="84" t="s">
        <v>268</v>
      </c>
      <c r="B11" s="87" t="s">
        <v>268</v>
      </c>
      <c r="C11" s="87">
        <v>6</v>
      </c>
      <c r="D11" s="111">
        <v>4.3260988958298881E-3</v>
      </c>
      <c r="E11" s="111">
        <v>0.5176053736847902</v>
      </c>
      <c r="F11" s="87" t="s">
        <v>1952</v>
      </c>
      <c r="G11" s="87" t="b">
        <v>0</v>
      </c>
      <c r="H11" s="87" t="b">
        <v>0</v>
      </c>
      <c r="I11" s="87" t="b">
        <v>0</v>
      </c>
      <c r="J11" s="87" t="b">
        <v>0</v>
      </c>
      <c r="K11" s="87" t="b">
        <v>0</v>
      </c>
      <c r="L11" s="87" t="b">
        <v>0</v>
      </c>
    </row>
    <row r="12" spans="1:12" x14ac:dyDescent="0.25">
      <c r="A12" s="84" t="s">
        <v>1687</v>
      </c>
      <c r="B12" s="87" t="s">
        <v>1675</v>
      </c>
      <c r="C12" s="87">
        <v>6</v>
      </c>
      <c r="D12" s="111">
        <v>4.3260988958298881E-3</v>
      </c>
      <c r="E12" s="111">
        <v>2.3901778366727955</v>
      </c>
      <c r="F12" s="87" t="s">
        <v>1952</v>
      </c>
      <c r="G12" s="87" t="b">
        <v>0</v>
      </c>
      <c r="H12" s="87" t="b">
        <v>0</v>
      </c>
      <c r="I12" s="87" t="b">
        <v>0</v>
      </c>
      <c r="J12" s="87" t="b">
        <v>0</v>
      </c>
      <c r="K12" s="87" t="b">
        <v>0</v>
      </c>
      <c r="L12" s="87" t="b">
        <v>0</v>
      </c>
    </row>
    <row r="13" spans="1:12" x14ac:dyDescent="0.25">
      <c r="A13" s="84" t="s">
        <v>1679</v>
      </c>
      <c r="B13" s="87" t="s">
        <v>1660</v>
      </c>
      <c r="C13" s="87">
        <v>6</v>
      </c>
      <c r="D13" s="111">
        <v>4.3260988958298881E-3</v>
      </c>
      <c r="E13" s="111">
        <v>2.2810333672477277</v>
      </c>
      <c r="F13" s="87" t="s">
        <v>1952</v>
      </c>
      <c r="G13" s="87" t="b">
        <v>0</v>
      </c>
      <c r="H13" s="87" t="b">
        <v>0</v>
      </c>
      <c r="I13" s="87" t="b">
        <v>0</v>
      </c>
      <c r="J13" s="87" t="b">
        <v>0</v>
      </c>
      <c r="K13" s="87" t="b">
        <v>0</v>
      </c>
      <c r="L13" s="87" t="b">
        <v>0</v>
      </c>
    </row>
    <row r="14" spans="1:12" x14ac:dyDescent="0.25">
      <c r="A14" s="84" t="s">
        <v>1691</v>
      </c>
      <c r="B14" s="87" t="s">
        <v>1678</v>
      </c>
      <c r="C14" s="87">
        <v>6</v>
      </c>
      <c r="D14" s="111">
        <v>4.3260988958298881E-3</v>
      </c>
      <c r="E14" s="111">
        <v>2.3901778366727955</v>
      </c>
      <c r="F14" s="87" t="s">
        <v>1952</v>
      </c>
      <c r="G14" s="87" t="b">
        <v>0</v>
      </c>
      <c r="H14" s="87" t="b">
        <v>0</v>
      </c>
      <c r="I14" s="87" t="b">
        <v>0</v>
      </c>
      <c r="J14" s="87" t="b">
        <v>0</v>
      </c>
      <c r="K14" s="87" t="b">
        <v>0</v>
      </c>
      <c r="L14" s="87" t="b">
        <v>0</v>
      </c>
    </row>
    <row r="15" spans="1:12" x14ac:dyDescent="0.25">
      <c r="A15" s="84" t="s">
        <v>268</v>
      </c>
      <c r="B15" s="87" t="s">
        <v>1679</v>
      </c>
      <c r="C15" s="87">
        <v>6</v>
      </c>
      <c r="D15" s="111">
        <v>4.3260988958298881E-3</v>
      </c>
      <c r="E15" s="111">
        <v>1.4718478831241151</v>
      </c>
      <c r="F15" s="87" t="s">
        <v>1952</v>
      </c>
      <c r="G15" s="87" t="b">
        <v>0</v>
      </c>
      <c r="H15" s="87" t="b">
        <v>0</v>
      </c>
      <c r="I15" s="87" t="b">
        <v>0</v>
      </c>
      <c r="J15" s="87" t="b">
        <v>0</v>
      </c>
      <c r="K15" s="87" t="b">
        <v>0</v>
      </c>
      <c r="L15" s="87" t="b">
        <v>0</v>
      </c>
    </row>
    <row r="16" spans="1:12" x14ac:dyDescent="0.25">
      <c r="A16" s="84" t="s">
        <v>1658</v>
      </c>
      <c r="B16" s="87" t="s">
        <v>1648</v>
      </c>
      <c r="C16" s="87">
        <v>6</v>
      </c>
      <c r="D16" s="111">
        <v>4.3260988958298881E-3</v>
      </c>
      <c r="E16" s="111">
        <v>1.9342458810230712</v>
      </c>
      <c r="F16" s="87" t="s">
        <v>1952</v>
      </c>
      <c r="G16" s="87" t="b">
        <v>0</v>
      </c>
      <c r="H16" s="87" t="b">
        <v>0</v>
      </c>
      <c r="I16" s="87" t="b">
        <v>0</v>
      </c>
      <c r="J16" s="87" t="b">
        <v>0</v>
      </c>
      <c r="K16" s="87" t="b">
        <v>0</v>
      </c>
      <c r="L16" s="87" t="b">
        <v>0</v>
      </c>
    </row>
    <row r="17" spans="1:12" x14ac:dyDescent="0.25">
      <c r="A17" s="84" t="s">
        <v>1660</v>
      </c>
      <c r="B17" s="87" t="s">
        <v>1662</v>
      </c>
      <c r="C17" s="87">
        <v>6</v>
      </c>
      <c r="D17" s="111">
        <v>4.3260988958298881E-3</v>
      </c>
      <c r="E17" s="111">
        <v>2.1049421081920463</v>
      </c>
      <c r="F17" s="87" t="s">
        <v>1952</v>
      </c>
      <c r="G17" s="87" t="b">
        <v>0</v>
      </c>
      <c r="H17" s="87" t="b">
        <v>0</v>
      </c>
      <c r="I17" s="87" t="b">
        <v>0</v>
      </c>
      <c r="J17" s="87" t="b">
        <v>0</v>
      </c>
      <c r="K17" s="87" t="b">
        <v>0</v>
      </c>
      <c r="L17" s="87" t="b">
        <v>0</v>
      </c>
    </row>
    <row r="18" spans="1:12" x14ac:dyDescent="0.25">
      <c r="A18" s="84" t="s">
        <v>1642</v>
      </c>
      <c r="B18" s="87" t="s">
        <v>1687</v>
      </c>
      <c r="C18" s="87">
        <v>6</v>
      </c>
      <c r="D18" s="111">
        <v>4.3260988958298881E-3</v>
      </c>
      <c r="E18" s="111">
        <v>1.9342458810230712</v>
      </c>
      <c r="F18" s="87" t="s">
        <v>1952</v>
      </c>
      <c r="G18" s="87" t="b">
        <v>0</v>
      </c>
      <c r="H18" s="87" t="b">
        <v>0</v>
      </c>
      <c r="I18" s="87" t="b">
        <v>0</v>
      </c>
      <c r="J18" s="87" t="b">
        <v>0</v>
      </c>
      <c r="K18" s="87" t="b">
        <v>0</v>
      </c>
      <c r="L18" s="87" t="b">
        <v>0</v>
      </c>
    </row>
    <row r="19" spans="1:12" x14ac:dyDescent="0.25">
      <c r="A19" s="84" t="s">
        <v>1694</v>
      </c>
      <c r="B19" s="87" t="s">
        <v>312</v>
      </c>
      <c r="C19" s="87">
        <v>6</v>
      </c>
      <c r="D19" s="111">
        <v>4.3260988958298881E-3</v>
      </c>
      <c r="E19" s="111">
        <v>2.457124626303409</v>
      </c>
      <c r="F19" s="87" t="s">
        <v>1952</v>
      </c>
      <c r="G19" s="87" t="b">
        <v>0</v>
      </c>
      <c r="H19" s="87" t="b">
        <v>0</v>
      </c>
      <c r="I19" s="87" t="b">
        <v>0</v>
      </c>
      <c r="J19" s="87" t="b">
        <v>0</v>
      </c>
      <c r="K19" s="87" t="b">
        <v>0</v>
      </c>
      <c r="L19" s="87" t="b">
        <v>0</v>
      </c>
    </row>
    <row r="20" spans="1:12" x14ac:dyDescent="0.25">
      <c r="A20" s="84" t="s">
        <v>1678</v>
      </c>
      <c r="B20" s="87" t="s">
        <v>1681</v>
      </c>
      <c r="C20" s="87">
        <v>6</v>
      </c>
      <c r="D20" s="111">
        <v>4.3260988958298881E-3</v>
      </c>
      <c r="E20" s="111">
        <v>2.457124626303409</v>
      </c>
      <c r="F20" s="87" t="s">
        <v>1952</v>
      </c>
      <c r="G20" s="87" t="b">
        <v>0</v>
      </c>
      <c r="H20" s="87" t="b">
        <v>0</v>
      </c>
      <c r="I20" s="87" t="b">
        <v>0</v>
      </c>
      <c r="J20" s="87" t="b">
        <v>0</v>
      </c>
      <c r="K20" s="87" t="b">
        <v>0</v>
      </c>
      <c r="L20" s="87" t="b">
        <v>0</v>
      </c>
    </row>
    <row r="21" spans="1:12" x14ac:dyDescent="0.25">
      <c r="A21" s="84" t="s">
        <v>1653</v>
      </c>
      <c r="B21" s="87" t="s">
        <v>1691</v>
      </c>
      <c r="C21" s="87">
        <v>6</v>
      </c>
      <c r="D21" s="111">
        <v>4.3260988958298881E-3</v>
      </c>
      <c r="E21" s="111">
        <v>2.2352758766870524</v>
      </c>
      <c r="F21" s="87" t="s">
        <v>1952</v>
      </c>
      <c r="G21" s="87" t="b">
        <v>0</v>
      </c>
      <c r="H21" s="87" t="b">
        <v>0</v>
      </c>
      <c r="I21" s="87" t="b">
        <v>0</v>
      </c>
      <c r="J21" s="87" t="b">
        <v>0</v>
      </c>
      <c r="K21" s="87" t="b">
        <v>0</v>
      </c>
      <c r="L21" s="87" t="b">
        <v>0</v>
      </c>
    </row>
    <row r="22" spans="1:12" x14ac:dyDescent="0.25">
      <c r="A22" s="84" t="s">
        <v>1675</v>
      </c>
      <c r="B22" s="87" t="s">
        <v>1652</v>
      </c>
      <c r="C22" s="87">
        <v>6</v>
      </c>
      <c r="D22" s="111">
        <v>4.3260988958298881E-3</v>
      </c>
      <c r="E22" s="111">
        <v>2.126936401898214</v>
      </c>
      <c r="F22" s="87" t="s">
        <v>1952</v>
      </c>
      <c r="G22" s="87" t="b">
        <v>0</v>
      </c>
      <c r="H22" s="87" t="b">
        <v>0</v>
      </c>
      <c r="I22" s="87" t="b">
        <v>0</v>
      </c>
      <c r="J22" s="87" t="b">
        <v>0</v>
      </c>
      <c r="K22" s="87" t="b">
        <v>0</v>
      </c>
      <c r="L22" s="87" t="b">
        <v>0</v>
      </c>
    </row>
    <row r="23" spans="1:12" x14ac:dyDescent="0.25">
      <c r="A23" s="84" t="s">
        <v>1681</v>
      </c>
      <c r="B23" s="87" t="s">
        <v>1683</v>
      </c>
      <c r="C23" s="87">
        <v>6</v>
      </c>
      <c r="D23" s="111">
        <v>4.3260988958298881E-3</v>
      </c>
      <c r="E23" s="111">
        <v>2.457124626303409</v>
      </c>
      <c r="F23" s="87" t="s">
        <v>1952</v>
      </c>
      <c r="G23" s="87" t="b">
        <v>0</v>
      </c>
      <c r="H23" s="87" t="b">
        <v>0</v>
      </c>
      <c r="I23" s="87" t="b">
        <v>0</v>
      </c>
      <c r="J23" s="87" t="b">
        <v>0</v>
      </c>
      <c r="K23" s="87" t="b">
        <v>0</v>
      </c>
      <c r="L23" s="87" t="b">
        <v>0</v>
      </c>
    </row>
    <row r="24" spans="1:12" x14ac:dyDescent="0.25">
      <c r="A24" s="84" t="s">
        <v>312</v>
      </c>
      <c r="B24" s="87" t="s">
        <v>1670</v>
      </c>
      <c r="C24" s="87">
        <v>6</v>
      </c>
      <c r="D24" s="111">
        <v>4.3260988958298881E-3</v>
      </c>
      <c r="E24" s="111">
        <v>2.3901778366727955</v>
      </c>
      <c r="F24" s="87" t="s">
        <v>1952</v>
      </c>
      <c r="G24" s="87" t="b">
        <v>0</v>
      </c>
      <c r="H24" s="87" t="b">
        <v>0</v>
      </c>
      <c r="I24" s="87" t="b">
        <v>0</v>
      </c>
      <c r="J24" s="87" t="b">
        <v>0</v>
      </c>
      <c r="K24" s="87" t="b">
        <v>0</v>
      </c>
      <c r="L24" s="87" t="b">
        <v>0</v>
      </c>
    </row>
    <row r="25" spans="1:12" x14ac:dyDescent="0.25">
      <c r="A25" s="84" t="s">
        <v>1648</v>
      </c>
      <c r="B25" s="87" t="s">
        <v>268</v>
      </c>
      <c r="C25" s="87">
        <v>6</v>
      </c>
      <c r="D25" s="111">
        <v>4.3260988958298881E-3</v>
      </c>
      <c r="E25" s="111">
        <v>1.1670900149408907</v>
      </c>
      <c r="F25" s="87" t="s">
        <v>1952</v>
      </c>
      <c r="G25" s="87" t="b">
        <v>0</v>
      </c>
      <c r="H25" s="87" t="b">
        <v>0</v>
      </c>
      <c r="I25" s="87" t="b">
        <v>0</v>
      </c>
      <c r="J25" s="87" t="b">
        <v>0</v>
      </c>
      <c r="K25" s="87" t="b">
        <v>0</v>
      </c>
      <c r="L25" s="87" t="b">
        <v>0</v>
      </c>
    </row>
    <row r="26" spans="1:12" x14ac:dyDescent="0.25">
      <c r="A26" s="84" t="s">
        <v>1667</v>
      </c>
      <c r="B26" s="87" t="s">
        <v>1685</v>
      </c>
      <c r="C26" s="87">
        <v>6</v>
      </c>
      <c r="D26" s="111">
        <v>4.3260988958298881E-3</v>
      </c>
      <c r="E26" s="111">
        <v>2.3321858896951086</v>
      </c>
      <c r="F26" s="87" t="s">
        <v>1952</v>
      </c>
      <c r="G26" s="87" t="b">
        <v>0</v>
      </c>
      <c r="H26" s="87" t="b">
        <v>0</v>
      </c>
      <c r="I26" s="87" t="b">
        <v>0</v>
      </c>
      <c r="J26" s="87" t="b">
        <v>0</v>
      </c>
      <c r="K26" s="87" t="b">
        <v>0</v>
      </c>
      <c r="L26" s="87" t="b">
        <v>0</v>
      </c>
    </row>
    <row r="27" spans="1:12" x14ac:dyDescent="0.25">
      <c r="A27" s="84" t="s">
        <v>1652</v>
      </c>
      <c r="B27" s="87" t="s">
        <v>1694</v>
      </c>
      <c r="C27" s="87">
        <v>6</v>
      </c>
      <c r="D27" s="111">
        <v>4.3260988958298881E-3</v>
      </c>
      <c r="E27" s="111">
        <v>2.1938831915288275</v>
      </c>
      <c r="F27" s="87" t="s">
        <v>1952</v>
      </c>
      <c r="G27" s="87" t="b">
        <v>0</v>
      </c>
      <c r="H27" s="87" t="b">
        <v>0</v>
      </c>
      <c r="I27" s="87" t="b">
        <v>0</v>
      </c>
      <c r="J27" s="87" t="b">
        <v>0</v>
      </c>
      <c r="K27" s="87" t="b">
        <v>0</v>
      </c>
      <c r="L27" s="87" t="b">
        <v>0</v>
      </c>
    </row>
    <row r="28" spans="1:12" x14ac:dyDescent="0.25">
      <c r="A28" s="84" t="s">
        <v>1662</v>
      </c>
      <c r="B28" s="87" t="s">
        <v>1653</v>
      </c>
      <c r="C28" s="87">
        <v>6</v>
      </c>
      <c r="D28" s="111">
        <v>4.3260988958298881E-3</v>
      </c>
      <c r="E28" s="111">
        <v>2.0591846176313711</v>
      </c>
      <c r="F28" s="87" t="s">
        <v>1952</v>
      </c>
      <c r="G28" s="87" t="b">
        <v>0</v>
      </c>
      <c r="H28" s="87" t="b">
        <v>0</v>
      </c>
      <c r="I28" s="87" t="b">
        <v>0</v>
      </c>
      <c r="J28" s="87" t="b">
        <v>0</v>
      </c>
      <c r="K28" s="87" t="b">
        <v>0</v>
      </c>
      <c r="L28" s="87" t="b">
        <v>0</v>
      </c>
    </row>
    <row r="29" spans="1:12" x14ac:dyDescent="0.25">
      <c r="A29" s="84" t="s">
        <v>1645</v>
      </c>
      <c r="B29" s="87" t="s">
        <v>1658</v>
      </c>
      <c r="C29" s="87">
        <v>6</v>
      </c>
      <c r="D29" s="111">
        <v>4.3260988958298881E-3</v>
      </c>
      <c r="E29" s="111">
        <v>1.803912112528065</v>
      </c>
      <c r="F29" s="87" t="s">
        <v>1952</v>
      </c>
      <c r="G29" s="87" t="b">
        <v>0</v>
      </c>
      <c r="H29" s="87" t="b">
        <v>0</v>
      </c>
      <c r="I29" s="87" t="b">
        <v>0</v>
      </c>
      <c r="J29" s="87" t="b">
        <v>0</v>
      </c>
      <c r="K29" s="87" t="b">
        <v>0</v>
      </c>
      <c r="L29" s="87" t="b">
        <v>0</v>
      </c>
    </row>
    <row r="30" spans="1:12" x14ac:dyDescent="0.25">
      <c r="A30" s="84" t="s">
        <v>1690</v>
      </c>
      <c r="B30" s="87" t="s">
        <v>1708</v>
      </c>
      <c r="C30" s="87">
        <v>5</v>
      </c>
      <c r="D30" s="111">
        <v>3.8193173862641509E-3</v>
      </c>
      <c r="E30" s="111">
        <v>2.5363058723510337</v>
      </c>
      <c r="F30" s="87" t="s">
        <v>1952</v>
      </c>
      <c r="G30" s="87" t="b">
        <v>1</v>
      </c>
      <c r="H30" s="87" t="b">
        <v>0</v>
      </c>
      <c r="I30" s="87" t="b">
        <v>0</v>
      </c>
      <c r="J30" s="87" t="b">
        <v>0</v>
      </c>
      <c r="K30" s="87" t="b">
        <v>0</v>
      </c>
      <c r="L30" s="87" t="b">
        <v>0</v>
      </c>
    </row>
    <row r="31" spans="1:12" x14ac:dyDescent="0.25">
      <c r="A31" s="84" t="s">
        <v>1652</v>
      </c>
      <c r="B31" s="87" t="s">
        <v>268</v>
      </c>
      <c r="C31" s="87">
        <v>5</v>
      </c>
      <c r="D31" s="111">
        <v>3.8193173862641509E-3</v>
      </c>
      <c r="E31" s="111">
        <v>1.1604594360418776</v>
      </c>
      <c r="F31" s="87" t="s">
        <v>1952</v>
      </c>
      <c r="G31" s="87" t="b">
        <v>0</v>
      </c>
      <c r="H31" s="87" t="b">
        <v>0</v>
      </c>
      <c r="I31" s="87" t="b">
        <v>0</v>
      </c>
      <c r="J31" s="87" t="b">
        <v>0</v>
      </c>
      <c r="K31" s="87" t="b">
        <v>0</v>
      </c>
      <c r="L31" s="87" t="b">
        <v>0</v>
      </c>
    </row>
    <row r="32" spans="1:12" x14ac:dyDescent="0.25">
      <c r="A32" s="84" t="s">
        <v>1698</v>
      </c>
      <c r="B32" s="87" t="s">
        <v>1648</v>
      </c>
      <c r="C32" s="87">
        <v>5</v>
      </c>
      <c r="D32" s="111">
        <v>3.8193173862641509E-3</v>
      </c>
      <c r="E32" s="111">
        <v>2.0591846176313711</v>
      </c>
      <c r="F32" s="87" t="s">
        <v>1952</v>
      </c>
      <c r="G32" s="87" t="b">
        <v>0</v>
      </c>
      <c r="H32" s="87" t="b">
        <v>0</v>
      </c>
      <c r="I32" s="87" t="b">
        <v>0</v>
      </c>
      <c r="J32" s="87" t="b">
        <v>0</v>
      </c>
      <c r="K32" s="87" t="b">
        <v>0</v>
      </c>
      <c r="L32" s="87" t="b">
        <v>0</v>
      </c>
    </row>
    <row r="33" spans="1:12" x14ac:dyDescent="0.25">
      <c r="A33" s="84" t="s">
        <v>1724</v>
      </c>
      <c r="B33" s="87" t="s">
        <v>1703</v>
      </c>
      <c r="C33" s="87">
        <v>5</v>
      </c>
      <c r="D33" s="111">
        <v>3.8193173862641509E-3</v>
      </c>
      <c r="E33" s="111">
        <v>2.5363058723510337</v>
      </c>
      <c r="F33" s="87" t="s">
        <v>1952</v>
      </c>
      <c r="G33" s="87" t="b">
        <v>0</v>
      </c>
      <c r="H33" s="87" t="b">
        <v>0</v>
      </c>
      <c r="I33" s="87" t="b">
        <v>0</v>
      </c>
      <c r="J33" s="87" t="b">
        <v>0</v>
      </c>
      <c r="K33" s="87" t="b">
        <v>0</v>
      </c>
      <c r="L33" s="87" t="b">
        <v>0</v>
      </c>
    </row>
    <row r="34" spans="1:12" x14ac:dyDescent="0.25">
      <c r="A34" s="84" t="s">
        <v>1656</v>
      </c>
      <c r="B34" s="87" t="s">
        <v>1664</v>
      </c>
      <c r="C34" s="87">
        <v>5</v>
      </c>
      <c r="D34" s="111">
        <v>3.8193173862641509E-3</v>
      </c>
      <c r="E34" s="111">
        <v>2.0891478410088142</v>
      </c>
      <c r="F34" s="87" t="s">
        <v>1952</v>
      </c>
      <c r="G34" s="87" t="b">
        <v>0</v>
      </c>
      <c r="H34" s="87" t="b">
        <v>0</v>
      </c>
      <c r="I34" s="87" t="b">
        <v>0</v>
      </c>
      <c r="J34" s="87" t="b">
        <v>0</v>
      </c>
      <c r="K34" s="87" t="b">
        <v>0</v>
      </c>
      <c r="L34" s="87" t="b">
        <v>0</v>
      </c>
    </row>
    <row r="35" spans="1:12" x14ac:dyDescent="0.25">
      <c r="A35" s="84" t="s">
        <v>1701</v>
      </c>
      <c r="B35" s="87" t="s">
        <v>1655</v>
      </c>
      <c r="C35" s="87">
        <v>5</v>
      </c>
      <c r="D35" s="111">
        <v>3.8193173862641509E-3</v>
      </c>
      <c r="E35" s="111">
        <v>2.2352758766870524</v>
      </c>
      <c r="F35" s="87" t="s">
        <v>1952</v>
      </c>
      <c r="G35" s="87" t="b">
        <v>0</v>
      </c>
      <c r="H35" s="87" t="b">
        <v>0</v>
      </c>
      <c r="I35" s="87" t="b">
        <v>0</v>
      </c>
      <c r="J35" s="87" t="b">
        <v>0</v>
      </c>
      <c r="K35" s="87" t="b">
        <v>0</v>
      </c>
      <c r="L35" s="87" t="b">
        <v>0</v>
      </c>
    </row>
    <row r="36" spans="1:12" x14ac:dyDescent="0.25">
      <c r="A36" s="84" t="s">
        <v>1710</v>
      </c>
      <c r="B36" s="87" t="s">
        <v>1640</v>
      </c>
      <c r="C36" s="87">
        <v>5</v>
      </c>
      <c r="D36" s="111">
        <v>3.8193173862641509E-3</v>
      </c>
      <c r="E36" s="111">
        <v>1.8203025287162344</v>
      </c>
      <c r="F36" s="87" t="s">
        <v>1952</v>
      </c>
      <c r="G36" s="87" t="b">
        <v>0</v>
      </c>
      <c r="H36" s="87" t="b">
        <v>0</v>
      </c>
      <c r="I36" s="87" t="b">
        <v>0</v>
      </c>
      <c r="J36" s="87" t="b">
        <v>0</v>
      </c>
      <c r="K36" s="87" t="b">
        <v>0</v>
      </c>
      <c r="L36" s="87" t="b">
        <v>0</v>
      </c>
    </row>
    <row r="37" spans="1:12" x14ac:dyDescent="0.25">
      <c r="A37" s="84" t="s">
        <v>1647</v>
      </c>
      <c r="B37" s="87" t="s">
        <v>1698</v>
      </c>
      <c r="C37" s="87">
        <v>5</v>
      </c>
      <c r="D37" s="111">
        <v>3.8193173862641509E-3</v>
      </c>
      <c r="E37" s="111">
        <v>2.0311558940311278</v>
      </c>
      <c r="F37" s="87" t="s">
        <v>1952</v>
      </c>
      <c r="G37" s="87" t="b">
        <v>0</v>
      </c>
      <c r="H37" s="87" t="b">
        <v>0</v>
      </c>
      <c r="I37" s="87" t="b">
        <v>0</v>
      </c>
      <c r="J37" s="87" t="b">
        <v>0</v>
      </c>
      <c r="K37" s="87" t="b">
        <v>0</v>
      </c>
      <c r="L37" s="87" t="b">
        <v>0</v>
      </c>
    </row>
    <row r="38" spans="1:12" x14ac:dyDescent="0.25">
      <c r="A38" s="84" t="s">
        <v>275</v>
      </c>
      <c r="B38" s="87" t="s">
        <v>1672</v>
      </c>
      <c r="C38" s="87">
        <v>5</v>
      </c>
      <c r="D38" s="111">
        <v>3.8193173862641509E-3</v>
      </c>
      <c r="E38" s="111">
        <v>1.8586989196305406</v>
      </c>
      <c r="F38" s="87" t="s">
        <v>1952</v>
      </c>
      <c r="G38" s="87" t="b">
        <v>0</v>
      </c>
      <c r="H38" s="87" t="b">
        <v>0</v>
      </c>
      <c r="I38" s="87" t="b">
        <v>0</v>
      </c>
      <c r="J38" s="87" t="b">
        <v>0</v>
      </c>
      <c r="K38" s="87" t="b">
        <v>0</v>
      </c>
      <c r="L38" s="87" t="b">
        <v>0</v>
      </c>
    </row>
    <row r="39" spans="1:12" x14ac:dyDescent="0.25">
      <c r="A39" s="84" t="s">
        <v>1707</v>
      </c>
      <c r="B39" s="87" t="s">
        <v>1719</v>
      </c>
      <c r="C39" s="87">
        <v>5</v>
      </c>
      <c r="D39" s="111">
        <v>3.8193173862641509E-3</v>
      </c>
      <c r="E39" s="111">
        <v>2.5363058723510337</v>
      </c>
      <c r="F39" s="87" t="s">
        <v>1952</v>
      </c>
      <c r="G39" s="87" t="b">
        <v>0</v>
      </c>
      <c r="H39" s="87" t="b">
        <v>0</v>
      </c>
      <c r="I39" s="87" t="b">
        <v>0</v>
      </c>
      <c r="J39" s="87" t="b">
        <v>0</v>
      </c>
      <c r="K39" s="87" t="b">
        <v>0</v>
      </c>
      <c r="L39" s="87" t="b">
        <v>0</v>
      </c>
    </row>
    <row r="40" spans="1:12" x14ac:dyDescent="0.25">
      <c r="A40" s="84" t="s">
        <v>1718</v>
      </c>
      <c r="B40" s="87" t="s">
        <v>1676</v>
      </c>
      <c r="C40" s="87">
        <v>5</v>
      </c>
      <c r="D40" s="111">
        <v>3.8193173862641509E-3</v>
      </c>
      <c r="E40" s="111">
        <v>2.3901778366727955</v>
      </c>
      <c r="F40" s="87" t="s">
        <v>1952</v>
      </c>
      <c r="G40" s="87" t="b">
        <v>0</v>
      </c>
      <c r="H40" s="87" t="b">
        <v>0</v>
      </c>
      <c r="I40" s="87" t="b">
        <v>0</v>
      </c>
      <c r="J40" s="87" t="b">
        <v>0</v>
      </c>
      <c r="K40" s="87" t="b">
        <v>0</v>
      </c>
      <c r="L40" s="87" t="b">
        <v>0</v>
      </c>
    </row>
    <row r="41" spans="1:12" x14ac:dyDescent="0.25">
      <c r="A41" s="84" t="s">
        <v>1715</v>
      </c>
      <c r="B41" s="87" t="s">
        <v>1710</v>
      </c>
      <c r="C41" s="87">
        <v>5</v>
      </c>
      <c r="D41" s="111">
        <v>3.8193173862641509E-3</v>
      </c>
      <c r="E41" s="111">
        <v>2.5363058723510337</v>
      </c>
      <c r="F41" s="87" t="s">
        <v>1952</v>
      </c>
      <c r="G41" s="87" t="b">
        <v>0</v>
      </c>
      <c r="H41" s="87" t="b">
        <v>0</v>
      </c>
      <c r="I41" s="87" t="b">
        <v>0</v>
      </c>
      <c r="J41" s="87" t="b">
        <v>0</v>
      </c>
      <c r="K41" s="87" t="b">
        <v>0</v>
      </c>
      <c r="L41" s="87" t="b">
        <v>0</v>
      </c>
    </row>
    <row r="42" spans="1:12" x14ac:dyDescent="0.25">
      <c r="A42" s="84" t="s">
        <v>1708</v>
      </c>
      <c r="B42" s="87" t="s">
        <v>1724</v>
      </c>
      <c r="C42" s="87">
        <v>5</v>
      </c>
      <c r="D42" s="111">
        <v>3.8193173862641509E-3</v>
      </c>
      <c r="E42" s="111">
        <v>2.5363058723510337</v>
      </c>
      <c r="F42" s="87" t="s">
        <v>1952</v>
      </c>
      <c r="G42" s="87" t="b">
        <v>0</v>
      </c>
      <c r="H42" s="87" t="b">
        <v>0</v>
      </c>
      <c r="I42" s="87" t="b">
        <v>0</v>
      </c>
      <c r="J42" s="87" t="b">
        <v>0</v>
      </c>
      <c r="K42" s="87" t="b">
        <v>0</v>
      </c>
      <c r="L42" s="87" t="b">
        <v>0</v>
      </c>
    </row>
    <row r="43" spans="1:12" x14ac:dyDescent="0.25">
      <c r="A43" s="84" t="s">
        <v>1714</v>
      </c>
      <c r="B43" s="87" t="s">
        <v>1655</v>
      </c>
      <c r="C43" s="87">
        <v>5</v>
      </c>
      <c r="D43" s="111">
        <v>3.8193173862641509E-3</v>
      </c>
      <c r="E43" s="111">
        <v>2.2352758766870524</v>
      </c>
      <c r="F43" s="87" t="s">
        <v>1952</v>
      </c>
      <c r="G43" s="87" t="b">
        <v>0</v>
      </c>
      <c r="H43" s="87" t="b">
        <v>0</v>
      </c>
      <c r="I43" s="87" t="b">
        <v>0</v>
      </c>
      <c r="J43" s="87" t="b">
        <v>0</v>
      </c>
      <c r="K43" s="87" t="b">
        <v>0</v>
      </c>
      <c r="L43" s="87" t="b">
        <v>0</v>
      </c>
    </row>
    <row r="44" spans="1:12" x14ac:dyDescent="0.25">
      <c r="A44" s="84" t="s">
        <v>1655</v>
      </c>
      <c r="B44" s="87" t="s">
        <v>1715</v>
      </c>
      <c r="C44" s="87">
        <v>5</v>
      </c>
      <c r="D44" s="111">
        <v>3.8193173862641509E-3</v>
      </c>
      <c r="E44" s="111">
        <v>2.2352758766870524</v>
      </c>
      <c r="F44" s="87" t="s">
        <v>1952</v>
      </c>
      <c r="G44" s="87" t="b">
        <v>0</v>
      </c>
      <c r="H44" s="87" t="b">
        <v>0</v>
      </c>
      <c r="I44" s="87" t="b">
        <v>0</v>
      </c>
      <c r="J44" s="87" t="b">
        <v>0</v>
      </c>
      <c r="K44" s="87" t="b">
        <v>0</v>
      </c>
      <c r="L44" s="87" t="b">
        <v>0</v>
      </c>
    </row>
    <row r="45" spans="1:12" x14ac:dyDescent="0.25">
      <c r="A45" s="84" t="s">
        <v>1684</v>
      </c>
      <c r="B45" s="87" t="s">
        <v>1645</v>
      </c>
      <c r="C45" s="87">
        <v>5</v>
      </c>
      <c r="D45" s="111">
        <v>3.8193173862641509E-3</v>
      </c>
      <c r="E45" s="111">
        <v>1.9256457092611536</v>
      </c>
      <c r="F45" s="87" t="s">
        <v>1952</v>
      </c>
      <c r="G45" s="87" t="b">
        <v>1</v>
      </c>
      <c r="H45" s="87" t="b">
        <v>0</v>
      </c>
      <c r="I45" s="87" t="b">
        <v>0</v>
      </c>
      <c r="J45" s="87" t="b">
        <v>0</v>
      </c>
      <c r="K45" s="87" t="b">
        <v>0</v>
      </c>
      <c r="L45" s="87" t="b">
        <v>0</v>
      </c>
    </row>
    <row r="46" spans="1:12" x14ac:dyDescent="0.25">
      <c r="A46" s="84" t="s">
        <v>1702</v>
      </c>
      <c r="B46" s="87" t="s">
        <v>1707</v>
      </c>
      <c r="C46" s="87">
        <v>5</v>
      </c>
      <c r="D46" s="111">
        <v>3.8193173862641509E-3</v>
      </c>
      <c r="E46" s="111">
        <v>2.5363058723510337</v>
      </c>
      <c r="F46" s="87" t="s">
        <v>1952</v>
      </c>
      <c r="G46" s="87" t="b">
        <v>0</v>
      </c>
      <c r="H46" s="87" t="b">
        <v>0</v>
      </c>
      <c r="I46" s="87" t="b">
        <v>0</v>
      </c>
      <c r="J46" s="87" t="b">
        <v>0</v>
      </c>
      <c r="K46" s="87" t="b">
        <v>0</v>
      </c>
      <c r="L46" s="87" t="b">
        <v>0</v>
      </c>
    </row>
    <row r="47" spans="1:12" x14ac:dyDescent="0.25">
      <c r="A47" s="84" t="s">
        <v>1668</v>
      </c>
      <c r="B47" s="87" t="s">
        <v>1716</v>
      </c>
      <c r="C47" s="87">
        <v>5</v>
      </c>
      <c r="D47" s="111">
        <v>3.8193173862641509E-3</v>
      </c>
      <c r="E47" s="111">
        <v>2.3901778366727955</v>
      </c>
      <c r="F47" s="87" t="s">
        <v>1952</v>
      </c>
      <c r="G47" s="87" t="b">
        <v>0</v>
      </c>
      <c r="H47" s="87" t="b">
        <v>0</v>
      </c>
      <c r="I47" s="87" t="b">
        <v>0</v>
      </c>
      <c r="J47" s="87" t="b">
        <v>0</v>
      </c>
      <c r="K47" s="87" t="b">
        <v>0</v>
      </c>
      <c r="L47" s="87" t="b">
        <v>0</v>
      </c>
    </row>
    <row r="48" spans="1:12" x14ac:dyDescent="0.25">
      <c r="A48" s="84" t="s">
        <v>1704</v>
      </c>
      <c r="B48" s="87" t="s">
        <v>1690</v>
      </c>
      <c r="C48" s="87">
        <v>5</v>
      </c>
      <c r="D48" s="111">
        <v>3.8193173862641509E-3</v>
      </c>
      <c r="E48" s="111">
        <v>2.457124626303409</v>
      </c>
      <c r="F48" s="87" t="s">
        <v>1952</v>
      </c>
      <c r="G48" s="87" t="b">
        <v>0</v>
      </c>
      <c r="H48" s="87" t="b">
        <v>0</v>
      </c>
      <c r="I48" s="87" t="b">
        <v>0</v>
      </c>
      <c r="J48" s="87" t="b">
        <v>1</v>
      </c>
      <c r="K48" s="87" t="b">
        <v>0</v>
      </c>
      <c r="L48" s="87" t="b">
        <v>0</v>
      </c>
    </row>
    <row r="49" spans="1:12" x14ac:dyDescent="0.25">
      <c r="A49" s="84" t="s">
        <v>1672</v>
      </c>
      <c r="B49" s="87" t="s">
        <v>1668</v>
      </c>
      <c r="C49" s="87">
        <v>5</v>
      </c>
      <c r="D49" s="111">
        <v>3.8193173862641509E-3</v>
      </c>
      <c r="E49" s="111">
        <v>2.3109965906251708</v>
      </c>
      <c r="F49" s="87" t="s">
        <v>1952</v>
      </c>
      <c r="G49" s="87" t="b">
        <v>0</v>
      </c>
      <c r="H49" s="87" t="b">
        <v>0</v>
      </c>
      <c r="I49" s="87" t="b">
        <v>0</v>
      </c>
      <c r="J49" s="87" t="b">
        <v>0</v>
      </c>
      <c r="K49" s="87" t="b">
        <v>0</v>
      </c>
      <c r="L49" s="87" t="b">
        <v>0</v>
      </c>
    </row>
    <row r="50" spans="1:12" x14ac:dyDescent="0.25">
      <c r="A50" s="84" t="s">
        <v>1645</v>
      </c>
      <c r="B50" s="87" t="s">
        <v>1654</v>
      </c>
      <c r="C50" s="87">
        <v>5</v>
      </c>
      <c r="D50" s="111">
        <v>3.8193173862641509E-3</v>
      </c>
      <c r="E50" s="111">
        <v>1.7758833889278216</v>
      </c>
      <c r="F50" s="87" t="s">
        <v>1952</v>
      </c>
      <c r="G50" s="87" t="b">
        <v>0</v>
      </c>
      <c r="H50" s="87" t="b">
        <v>0</v>
      </c>
      <c r="I50" s="87" t="b">
        <v>0</v>
      </c>
      <c r="J50" s="87" t="b">
        <v>1</v>
      </c>
      <c r="K50" s="87" t="b">
        <v>0</v>
      </c>
      <c r="L50" s="87" t="b">
        <v>0</v>
      </c>
    </row>
    <row r="51" spans="1:12" x14ac:dyDescent="0.25">
      <c r="A51" s="84" t="s">
        <v>1648</v>
      </c>
      <c r="B51" s="87" t="s">
        <v>1721</v>
      </c>
      <c r="C51" s="87">
        <v>5</v>
      </c>
      <c r="D51" s="111">
        <v>3.8193173862641509E-3</v>
      </c>
      <c r="E51" s="111">
        <v>2.1213325243802159</v>
      </c>
      <c r="F51" s="87" t="s">
        <v>1952</v>
      </c>
      <c r="G51" s="87" t="b">
        <v>0</v>
      </c>
      <c r="H51" s="87" t="b">
        <v>0</v>
      </c>
      <c r="I51" s="87" t="b">
        <v>0</v>
      </c>
      <c r="J51" s="87" t="b">
        <v>1</v>
      </c>
      <c r="K51" s="87" t="b">
        <v>0</v>
      </c>
      <c r="L51" s="87" t="b">
        <v>0</v>
      </c>
    </row>
    <row r="52" spans="1:12" x14ac:dyDescent="0.25">
      <c r="A52" s="84" t="s">
        <v>1703</v>
      </c>
      <c r="B52" s="87" t="s">
        <v>1645</v>
      </c>
      <c r="C52" s="87">
        <v>5</v>
      </c>
      <c r="D52" s="111">
        <v>3.8193173862641509E-3</v>
      </c>
      <c r="E52" s="111">
        <v>2.0048269553087783</v>
      </c>
      <c r="F52" s="87" t="s">
        <v>1952</v>
      </c>
      <c r="G52" s="87" t="b">
        <v>0</v>
      </c>
      <c r="H52" s="87" t="b">
        <v>0</v>
      </c>
      <c r="I52" s="87" t="b">
        <v>0</v>
      </c>
      <c r="J52" s="87" t="b">
        <v>0</v>
      </c>
      <c r="K52" s="87" t="b">
        <v>0</v>
      </c>
      <c r="L52" s="87" t="b">
        <v>0</v>
      </c>
    </row>
    <row r="53" spans="1:12" x14ac:dyDescent="0.25">
      <c r="A53" s="84" t="s">
        <v>1654</v>
      </c>
      <c r="B53" s="87" t="s">
        <v>1667</v>
      </c>
      <c r="C53" s="87">
        <v>5</v>
      </c>
      <c r="D53" s="111">
        <v>3.8193173862641509E-3</v>
      </c>
      <c r="E53" s="111">
        <v>2.0891478410088142</v>
      </c>
      <c r="F53" s="87" t="s">
        <v>1952</v>
      </c>
      <c r="G53" s="87" t="b">
        <v>1</v>
      </c>
      <c r="H53" s="87" t="b">
        <v>0</v>
      </c>
      <c r="I53" s="87" t="b">
        <v>0</v>
      </c>
      <c r="J53" s="87" t="b">
        <v>0</v>
      </c>
      <c r="K53" s="87" t="b">
        <v>0</v>
      </c>
      <c r="L53" s="87" t="b">
        <v>0</v>
      </c>
    </row>
    <row r="54" spans="1:12" x14ac:dyDescent="0.25">
      <c r="A54" s="84" t="s">
        <v>1644</v>
      </c>
      <c r="B54" s="87" t="s">
        <v>1640</v>
      </c>
      <c r="C54" s="87">
        <v>5</v>
      </c>
      <c r="D54" s="111">
        <v>3.8193173862641509E-3</v>
      </c>
      <c r="E54" s="111">
        <v>1.2405189320994243</v>
      </c>
      <c r="F54" s="87" t="s">
        <v>1952</v>
      </c>
      <c r="G54" s="87" t="b">
        <v>0</v>
      </c>
      <c r="H54" s="87" t="b">
        <v>0</v>
      </c>
      <c r="I54" s="87" t="b">
        <v>0</v>
      </c>
      <c r="J54" s="87" t="b">
        <v>0</v>
      </c>
      <c r="K54" s="87" t="b">
        <v>0</v>
      </c>
      <c r="L54" s="87" t="b">
        <v>0</v>
      </c>
    </row>
    <row r="55" spans="1:12" x14ac:dyDescent="0.25">
      <c r="A55" s="84" t="s">
        <v>1670</v>
      </c>
      <c r="B55" s="87" t="s">
        <v>1713</v>
      </c>
      <c r="C55" s="87">
        <v>5</v>
      </c>
      <c r="D55" s="111">
        <v>3.8193173862641509E-3</v>
      </c>
      <c r="E55" s="111">
        <v>2.3901778366727955</v>
      </c>
      <c r="F55" s="87" t="s">
        <v>1952</v>
      </c>
      <c r="G55" s="87" t="b">
        <v>0</v>
      </c>
      <c r="H55" s="87" t="b">
        <v>0</v>
      </c>
      <c r="I55" s="87" t="b">
        <v>0</v>
      </c>
      <c r="J55" s="87" t="b">
        <v>0</v>
      </c>
      <c r="K55" s="87" t="b">
        <v>0</v>
      </c>
      <c r="L55" s="87" t="b">
        <v>0</v>
      </c>
    </row>
    <row r="56" spans="1:12" x14ac:dyDescent="0.25">
      <c r="A56" s="84" t="s">
        <v>1666</v>
      </c>
      <c r="B56" s="87" t="s">
        <v>1720</v>
      </c>
      <c r="C56" s="87">
        <v>5</v>
      </c>
      <c r="D56" s="111">
        <v>3.8193173862641509E-3</v>
      </c>
      <c r="E56" s="111">
        <v>2.3321858896951091</v>
      </c>
      <c r="F56" s="87" t="s">
        <v>1952</v>
      </c>
      <c r="G56" s="87" t="b">
        <v>1</v>
      </c>
      <c r="H56" s="87" t="b">
        <v>0</v>
      </c>
      <c r="I56" s="87" t="b">
        <v>0</v>
      </c>
      <c r="J56" s="87" t="b">
        <v>0</v>
      </c>
      <c r="K56" s="87" t="b">
        <v>0</v>
      </c>
      <c r="L56" s="87" t="b">
        <v>0</v>
      </c>
    </row>
    <row r="57" spans="1:12" x14ac:dyDescent="0.25">
      <c r="A57" s="84" t="s">
        <v>1711</v>
      </c>
      <c r="B57" s="87" t="s">
        <v>1717</v>
      </c>
      <c r="C57" s="87">
        <v>5</v>
      </c>
      <c r="D57" s="111">
        <v>3.8193173862641509E-3</v>
      </c>
      <c r="E57" s="111">
        <v>2.5363058723510337</v>
      </c>
      <c r="F57" s="87" t="s">
        <v>1952</v>
      </c>
      <c r="G57" s="87" t="b">
        <v>0</v>
      </c>
      <c r="H57" s="87" t="b">
        <v>0</v>
      </c>
      <c r="I57" s="87" t="b">
        <v>0</v>
      </c>
      <c r="J57" s="87" t="b">
        <v>0</v>
      </c>
      <c r="K57" s="87" t="b">
        <v>0</v>
      </c>
      <c r="L57" s="87" t="b">
        <v>0</v>
      </c>
    </row>
    <row r="58" spans="1:12" x14ac:dyDescent="0.25">
      <c r="A58" s="84" t="s">
        <v>1640</v>
      </c>
      <c r="B58" s="87" t="s">
        <v>1711</v>
      </c>
      <c r="C58" s="87">
        <v>5</v>
      </c>
      <c r="D58" s="111">
        <v>3.8193173862641509E-3</v>
      </c>
      <c r="E58" s="111">
        <v>1.8203025287162344</v>
      </c>
      <c r="F58" s="87" t="s">
        <v>1952</v>
      </c>
      <c r="G58" s="87" t="b">
        <v>0</v>
      </c>
      <c r="H58" s="87" t="b">
        <v>0</v>
      </c>
      <c r="I58" s="87" t="b">
        <v>0</v>
      </c>
      <c r="J58" s="87" t="b">
        <v>0</v>
      </c>
      <c r="K58" s="87" t="b">
        <v>0</v>
      </c>
      <c r="L58" s="87" t="b">
        <v>0</v>
      </c>
    </row>
    <row r="59" spans="1:12" x14ac:dyDescent="0.25">
      <c r="A59" s="84" t="s">
        <v>1645</v>
      </c>
      <c r="B59" s="87" t="s">
        <v>249</v>
      </c>
      <c r="C59" s="87">
        <v>5</v>
      </c>
      <c r="D59" s="111">
        <v>3.8193173862641509E-3</v>
      </c>
      <c r="E59" s="111">
        <v>1.4485244545414913</v>
      </c>
      <c r="F59" s="87" t="s">
        <v>1952</v>
      </c>
      <c r="G59" s="87" t="b">
        <v>0</v>
      </c>
      <c r="H59" s="87" t="b">
        <v>0</v>
      </c>
      <c r="I59" s="87" t="b">
        <v>0</v>
      </c>
      <c r="J59" s="87" t="b">
        <v>0</v>
      </c>
      <c r="K59" s="87" t="b">
        <v>0</v>
      </c>
      <c r="L59" s="87" t="b">
        <v>0</v>
      </c>
    </row>
    <row r="60" spans="1:12" x14ac:dyDescent="0.25">
      <c r="A60" s="84" t="s">
        <v>1717</v>
      </c>
      <c r="B60" s="87" t="s">
        <v>1701</v>
      </c>
      <c r="C60" s="87">
        <v>5</v>
      </c>
      <c r="D60" s="111">
        <v>3.8193173862641509E-3</v>
      </c>
      <c r="E60" s="111">
        <v>2.5363058723510337</v>
      </c>
      <c r="F60" s="87" t="s">
        <v>1952</v>
      </c>
      <c r="G60" s="87" t="b">
        <v>0</v>
      </c>
      <c r="H60" s="87" t="b">
        <v>0</v>
      </c>
      <c r="I60" s="87" t="b">
        <v>0</v>
      </c>
      <c r="J60" s="87" t="b">
        <v>0</v>
      </c>
      <c r="K60" s="87" t="b">
        <v>0</v>
      </c>
      <c r="L60" s="87" t="b">
        <v>0</v>
      </c>
    </row>
    <row r="61" spans="1:12" x14ac:dyDescent="0.25">
      <c r="A61" s="84" t="s">
        <v>289</v>
      </c>
      <c r="B61" s="87" t="s">
        <v>1645</v>
      </c>
      <c r="C61" s="87">
        <v>5</v>
      </c>
      <c r="D61" s="111">
        <v>3.8193173862641509E-3</v>
      </c>
      <c r="E61" s="111">
        <v>2.0048269553087783</v>
      </c>
      <c r="F61" s="87" t="s">
        <v>1952</v>
      </c>
      <c r="G61" s="87" t="b">
        <v>0</v>
      </c>
      <c r="H61" s="87" t="b">
        <v>0</v>
      </c>
      <c r="I61" s="87" t="b">
        <v>0</v>
      </c>
      <c r="J61" s="87" t="b">
        <v>0</v>
      </c>
      <c r="K61" s="87" t="b">
        <v>0</v>
      </c>
      <c r="L61" s="87" t="b">
        <v>0</v>
      </c>
    </row>
    <row r="62" spans="1:12" x14ac:dyDescent="0.25">
      <c r="A62" s="84" t="s">
        <v>1720</v>
      </c>
      <c r="B62" s="87" t="s">
        <v>1656</v>
      </c>
      <c r="C62" s="87">
        <v>5</v>
      </c>
      <c r="D62" s="111">
        <v>3.8193173862641509E-3</v>
      </c>
      <c r="E62" s="111">
        <v>2.2810333672477277</v>
      </c>
      <c r="F62" s="87" t="s">
        <v>1952</v>
      </c>
      <c r="G62" s="87" t="b">
        <v>0</v>
      </c>
      <c r="H62" s="87" t="b">
        <v>0</v>
      </c>
      <c r="I62" s="87" t="b">
        <v>0</v>
      </c>
      <c r="J62" s="87" t="b">
        <v>0</v>
      </c>
      <c r="K62" s="87" t="b">
        <v>0</v>
      </c>
      <c r="L62" s="87" t="b">
        <v>0</v>
      </c>
    </row>
    <row r="63" spans="1:12" x14ac:dyDescent="0.25">
      <c r="A63" s="84" t="s">
        <v>1721</v>
      </c>
      <c r="B63" s="87" t="s">
        <v>1714</v>
      </c>
      <c r="C63" s="87">
        <v>5</v>
      </c>
      <c r="D63" s="111">
        <v>3.8193173862641509E-3</v>
      </c>
      <c r="E63" s="111">
        <v>2.5363058723510337</v>
      </c>
      <c r="F63" s="87" t="s">
        <v>1952</v>
      </c>
      <c r="G63" s="87" t="b">
        <v>1</v>
      </c>
      <c r="H63" s="87" t="b">
        <v>0</v>
      </c>
      <c r="I63" s="87" t="b">
        <v>0</v>
      </c>
      <c r="J63" s="87" t="b">
        <v>0</v>
      </c>
      <c r="K63" s="87" t="b">
        <v>0</v>
      </c>
      <c r="L63" s="87" t="b">
        <v>0</v>
      </c>
    </row>
    <row r="64" spans="1:12" x14ac:dyDescent="0.25">
      <c r="A64" s="84" t="s">
        <v>1682</v>
      </c>
      <c r="B64" s="87" t="s">
        <v>1704</v>
      </c>
      <c r="C64" s="87">
        <v>5</v>
      </c>
      <c r="D64" s="111">
        <v>3.8193173862641509E-3</v>
      </c>
      <c r="E64" s="111">
        <v>2.5363058723510337</v>
      </c>
      <c r="F64" s="87" t="s">
        <v>1952</v>
      </c>
      <c r="G64" s="87" t="b">
        <v>1</v>
      </c>
      <c r="H64" s="87" t="b">
        <v>0</v>
      </c>
      <c r="I64" s="87" t="b">
        <v>0</v>
      </c>
      <c r="J64" s="87" t="b">
        <v>0</v>
      </c>
      <c r="K64" s="87" t="b">
        <v>0</v>
      </c>
      <c r="L64" s="87" t="b">
        <v>0</v>
      </c>
    </row>
    <row r="65" spans="1:12" x14ac:dyDescent="0.25">
      <c r="A65" s="84" t="s">
        <v>1656</v>
      </c>
      <c r="B65" s="87" t="s">
        <v>1684</v>
      </c>
      <c r="C65" s="87">
        <v>5</v>
      </c>
      <c r="D65" s="111">
        <v>3.8193173862641509E-3</v>
      </c>
      <c r="E65" s="111">
        <v>2.2352758766870524</v>
      </c>
      <c r="F65" s="87" t="s">
        <v>1952</v>
      </c>
      <c r="G65" s="87" t="b">
        <v>0</v>
      </c>
      <c r="H65" s="87" t="b">
        <v>0</v>
      </c>
      <c r="I65" s="87" t="b">
        <v>0</v>
      </c>
      <c r="J65" s="87" t="b">
        <v>1</v>
      </c>
      <c r="K65" s="87" t="b">
        <v>0</v>
      </c>
      <c r="L65" s="87" t="b">
        <v>0</v>
      </c>
    </row>
    <row r="66" spans="1:12" x14ac:dyDescent="0.25">
      <c r="A66" s="84" t="s">
        <v>268</v>
      </c>
      <c r="B66" s="87" t="s">
        <v>1677</v>
      </c>
      <c r="C66" s="87">
        <v>5</v>
      </c>
      <c r="D66" s="111">
        <v>3.8193173862641509E-3</v>
      </c>
      <c r="E66" s="111">
        <v>1.3257198474458771</v>
      </c>
      <c r="F66" s="87" t="s">
        <v>1952</v>
      </c>
      <c r="G66" s="87" t="b">
        <v>0</v>
      </c>
      <c r="H66" s="87" t="b">
        <v>0</v>
      </c>
      <c r="I66" s="87" t="b">
        <v>0</v>
      </c>
      <c r="J66" s="87" t="b">
        <v>0</v>
      </c>
      <c r="K66" s="87" t="b">
        <v>0</v>
      </c>
      <c r="L66" s="87" t="b">
        <v>0</v>
      </c>
    </row>
    <row r="67" spans="1:12" x14ac:dyDescent="0.25">
      <c r="A67" s="84" t="s">
        <v>1716</v>
      </c>
      <c r="B67" s="87" t="s">
        <v>1693</v>
      </c>
      <c r="C67" s="87">
        <v>5</v>
      </c>
      <c r="D67" s="111">
        <v>3.8193173862641509E-3</v>
      </c>
      <c r="E67" s="111">
        <v>2.457124626303409</v>
      </c>
      <c r="F67" s="87" t="s">
        <v>1952</v>
      </c>
      <c r="G67" s="87" t="b">
        <v>0</v>
      </c>
      <c r="H67" s="87" t="b">
        <v>0</v>
      </c>
      <c r="I67" s="87" t="b">
        <v>0</v>
      </c>
      <c r="J67" s="87" t="b">
        <v>0</v>
      </c>
      <c r="K67" s="87" t="b">
        <v>0</v>
      </c>
      <c r="L67" s="87" t="b">
        <v>0</v>
      </c>
    </row>
    <row r="68" spans="1:12" x14ac:dyDescent="0.25">
      <c r="A68" s="84" t="s">
        <v>275</v>
      </c>
      <c r="B68" s="87" t="s">
        <v>1702</v>
      </c>
      <c r="C68" s="87">
        <v>5</v>
      </c>
      <c r="D68" s="111">
        <v>3.8193173862641509E-3</v>
      </c>
      <c r="E68" s="111">
        <v>2.0048269553087783</v>
      </c>
      <c r="F68" s="87" t="s">
        <v>1952</v>
      </c>
      <c r="G68" s="87" t="b">
        <v>0</v>
      </c>
      <c r="H68" s="87" t="b">
        <v>0</v>
      </c>
      <c r="I68" s="87" t="b">
        <v>0</v>
      </c>
      <c r="J68" s="87" t="b">
        <v>0</v>
      </c>
      <c r="K68" s="87" t="b">
        <v>0</v>
      </c>
      <c r="L68" s="87" t="b">
        <v>0</v>
      </c>
    </row>
    <row r="69" spans="1:12" x14ac:dyDescent="0.25">
      <c r="A69" s="84" t="s">
        <v>1655</v>
      </c>
      <c r="B69" s="87" t="s">
        <v>1741</v>
      </c>
      <c r="C69" s="87">
        <v>4</v>
      </c>
      <c r="D69" s="111">
        <v>3.2652158419291914E-3</v>
      </c>
      <c r="E69" s="111">
        <v>2.2352758766870524</v>
      </c>
      <c r="F69" s="87" t="s">
        <v>1952</v>
      </c>
      <c r="G69" s="87" t="b">
        <v>0</v>
      </c>
      <c r="H69" s="87" t="b">
        <v>0</v>
      </c>
      <c r="I69" s="87" t="b">
        <v>0</v>
      </c>
      <c r="J69" s="87" t="b">
        <v>0</v>
      </c>
      <c r="K69" s="87" t="b">
        <v>0</v>
      </c>
      <c r="L69" s="87" t="b">
        <v>0</v>
      </c>
    </row>
    <row r="70" spans="1:12" x14ac:dyDescent="0.25">
      <c r="A70" s="84" t="s">
        <v>1728</v>
      </c>
      <c r="B70" s="87" t="s">
        <v>1646</v>
      </c>
      <c r="C70" s="87">
        <v>4</v>
      </c>
      <c r="D70" s="111">
        <v>3.2652158419291914E-3</v>
      </c>
      <c r="E70" s="111">
        <v>1.9800033715837464</v>
      </c>
      <c r="F70" s="87" t="s">
        <v>1952</v>
      </c>
      <c r="G70" s="87" t="b">
        <v>0</v>
      </c>
      <c r="H70" s="87" t="b">
        <v>0</v>
      </c>
      <c r="I70" s="87" t="b">
        <v>0</v>
      </c>
      <c r="J70" s="87" t="b">
        <v>0</v>
      </c>
      <c r="K70" s="87" t="b">
        <v>0</v>
      </c>
      <c r="L70" s="87" t="b">
        <v>0</v>
      </c>
    </row>
    <row r="71" spans="1:12" x14ac:dyDescent="0.25">
      <c r="A71" s="84" t="s">
        <v>1736</v>
      </c>
      <c r="B71" s="87" t="s">
        <v>1744</v>
      </c>
      <c r="C71" s="87">
        <v>4</v>
      </c>
      <c r="D71" s="111">
        <v>3.2652158419291914E-3</v>
      </c>
      <c r="E71" s="111">
        <v>2.6332158853590899</v>
      </c>
      <c r="F71" s="87" t="s">
        <v>1952</v>
      </c>
      <c r="G71" s="87" t="b">
        <v>0</v>
      </c>
      <c r="H71" s="87" t="b">
        <v>0</v>
      </c>
      <c r="I71" s="87" t="b">
        <v>0</v>
      </c>
      <c r="J71" s="87" t="b">
        <v>0</v>
      </c>
      <c r="K71" s="87" t="b">
        <v>0</v>
      </c>
      <c r="L71" s="87" t="b">
        <v>0</v>
      </c>
    </row>
    <row r="72" spans="1:12" x14ac:dyDescent="0.25">
      <c r="A72" s="84" t="s">
        <v>1651</v>
      </c>
      <c r="B72" s="87" t="s">
        <v>1709</v>
      </c>
      <c r="C72" s="87">
        <v>4</v>
      </c>
      <c r="D72" s="111">
        <v>3.2652158419291914E-3</v>
      </c>
      <c r="E72" s="111">
        <v>2.0591846176313711</v>
      </c>
      <c r="F72" s="87" t="s">
        <v>1952</v>
      </c>
      <c r="G72" s="87" t="b">
        <v>0</v>
      </c>
      <c r="H72" s="87" t="b">
        <v>0</v>
      </c>
      <c r="I72" s="87" t="b">
        <v>0</v>
      </c>
      <c r="J72" s="87" t="b">
        <v>0</v>
      </c>
      <c r="K72" s="87" t="b">
        <v>0</v>
      </c>
      <c r="L72" s="87" t="b">
        <v>0</v>
      </c>
    </row>
    <row r="73" spans="1:12" x14ac:dyDescent="0.25">
      <c r="A73" s="84" t="s">
        <v>249</v>
      </c>
      <c r="B73" s="87" t="s">
        <v>1666</v>
      </c>
      <c r="C73" s="87">
        <v>4</v>
      </c>
      <c r="D73" s="111">
        <v>3.2652158419291914E-3</v>
      </c>
      <c r="E73" s="111">
        <v>1.4124542313839477</v>
      </c>
      <c r="F73" s="87" t="s">
        <v>1952</v>
      </c>
      <c r="G73" s="87" t="b">
        <v>0</v>
      </c>
      <c r="H73" s="87" t="b">
        <v>0</v>
      </c>
      <c r="I73" s="87" t="b">
        <v>0</v>
      </c>
      <c r="J73" s="87" t="b">
        <v>1</v>
      </c>
      <c r="K73" s="87" t="b">
        <v>0</v>
      </c>
      <c r="L73" s="87" t="b">
        <v>0</v>
      </c>
    </row>
    <row r="74" spans="1:12" x14ac:dyDescent="0.25">
      <c r="A74" s="84" t="s">
        <v>1640</v>
      </c>
      <c r="B74" s="87" t="s">
        <v>268</v>
      </c>
      <c r="C74" s="87">
        <v>4</v>
      </c>
      <c r="D74" s="111">
        <v>3.2652158419291914E-3</v>
      </c>
      <c r="E74" s="111">
        <v>0.68996876022122833</v>
      </c>
      <c r="F74" s="87" t="s">
        <v>1952</v>
      </c>
      <c r="G74" s="87" t="b">
        <v>0</v>
      </c>
      <c r="H74" s="87" t="b">
        <v>0</v>
      </c>
      <c r="I74" s="87" t="b">
        <v>0</v>
      </c>
      <c r="J74" s="87" t="b">
        <v>0</v>
      </c>
      <c r="K74" s="87" t="b">
        <v>0</v>
      </c>
      <c r="L74" s="87" t="b">
        <v>0</v>
      </c>
    </row>
    <row r="75" spans="1:12" x14ac:dyDescent="0.25">
      <c r="A75" s="84" t="s">
        <v>1730</v>
      </c>
      <c r="B75" s="87" t="s">
        <v>304</v>
      </c>
      <c r="C75" s="87">
        <v>4</v>
      </c>
      <c r="D75" s="111">
        <v>3.2652158419291914E-3</v>
      </c>
      <c r="E75" s="111">
        <v>2.6332158853590899</v>
      </c>
      <c r="F75" s="87" t="s">
        <v>1952</v>
      </c>
      <c r="G75" s="87" t="b">
        <v>1</v>
      </c>
      <c r="H75" s="87" t="b">
        <v>0</v>
      </c>
      <c r="I75" s="87" t="b">
        <v>0</v>
      </c>
      <c r="J75" s="87" t="b">
        <v>0</v>
      </c>
      <c r="K75" s="87" t="b">
        <v>0</v>
      </c>
      <c r="L75" s="87" t="b">
        <v>0</v>
      </c>
    </row>
    <row r="76" spans="1:12" x14ac:dyDescent="0.25">
      <c r="A76" s="84" t="s">
        <v>1729</v>
      </c>
      <c r="B76" s="87" t="s">
        <v>1736</v>
      </c>
      <c r="C76" s="87">
        <v>4</v>
      </c>
      <c r="D76" s="111">
        <v>3.2652158419291914E-3</v>
      </c>
      <c r="E76" s="111">
        <v>2.6332158853590899</v>
      </c>
      <c r="F76" s="87" t="s">
        <v>1952</v>
      </c>
      <c r="G76" s="87" t="b">
        <v>0</v>
      </c>
      <c r="H76" s="87" t="b">
        <v>0</v>
      </c>
      <c r="I76" s="87" t="b">
        <v>0</v>
      </c>
      <c r="J76" s="87" t="b">
        <v>0</v>
      </c>
      <c r="K76" s="87" t="b">
        <v>0</v>
      </c>
      <c r="L76" s="87" t="b">
        <v>0</v>
      </c>
    </row>
    <row r="77" spans="1:12" x14ac:dyDescent="0.25">
      <c r="A77" s="84" t="s">
        <v>1746</v>
      </c>
      <c r="B77" s="87" t="s">
        <v>1726</v>
      </c>
      <c r="C77" s="87">
        <v>4</v>
      </c>
      <c r="D77" s="111">
        <v>3.2652158419291914E-3</v>
      </c>
      <c r="E77" s="111">
        <v>2.6332158853590899</v>
      </c>
      <c r="F77" s="87" t="s">
        <v>1952</v>
      </c>
      <c r="G77" s="87" t="b">
        <v>0</v>
      </c>
      <c r="H77" s="87" t="b">
        <v>0</v>
      </c>
      <c r="I77" s="87" t="b">
        <v>0</v>
      </c>
      <c r="J77" s="87" t="b">
        <v>0</v>
      </c>
      <c r="K77" s="87" t="b">
        <v>0</v>
      </c>
      <c r="L77" s="87" t="b">
        <v>0</v>
      </c>
    </row>
    <row r="78" spans="1:12" x14ac:dyDescent="0.25">
      <c r="A78" s="84" t="s">
        <v>1673</v>
      </c>
      <c r="B78" s="87" t="s">
        <v>1665</v>
      </c>
      <c r="C78" s="87">
        <v>4</v>
      </c>
      <c r="D78" s="111">
        <v>3.2652158419291914E-3</v>
      </c>
      <c r="E78" s="111">
        <v>2.0891478410088142</v>
      </c>
      <c r="F78" s="87" t="s">
        <v>1952</v>
      </c>
      <c r="G78" s="87" t="b">
        <v>0</v>
      </c>
      <c r="H78" s="87" t="b">
        <v>0</v>
      </c>
      <c r="I78" s="87" t="b">
        <v>0</v>
      </c>
      <c r="J78" s="87" t="b">
        <v>0</v>
      </c>
      <c r="K78" s="87" t="b">
        <v>0</v>
      </c>
      <c r="L78" s="87" t="b">
        <v>0</v>
      </c>
    </row>
    <row r="79" spans="1:12" x14ac:dyDescent="0.25">
      <c r="A79" s="84" t="s">
        <v>1725</v>
      </c>
      <c r="B79" s="87" t="s">
        <v>1729</v>
      </c>
      <c r="C79" s="87">
        <v>4</v>
      </c>
      <c r="D79" s="111">
        <v>3.2652158419291914E-3</v>
      </c>
      <c r="E79" s="111">
        <v>2.5363058723510337</v>
      </c>
      <c r="F79" s="87" t="s">
        <v>1952</v>
      </c>
      <c r="G79" s="87" t="b">
        <v>0</v>
      </c>
      <c r="H79" s="87" t="b">
        <v>0</v>
      </c>
      <c r="I79" s="87" t="b">
        <v>0</v>
      </c>
      <c r="J79" s="87" t="b">
        <v>0</v>
      </c>
      <c r="K79" s="87" t="b">
        <v>0</v>
      </c>
      <c r="L79" s="87" t="b">
        <v>0</v>
      </c>
    </row>
    <row r="80" spans="1:12" x14ac:dyDescent="0.25">
      <c r="A80" s="84" t="s">
        <v>1753</v>
      </c>
      <c r="B80" s="87" t="s">
        <v>1732</v>
      </c>
      <c r="C80" s="87">
        <v>4</v>
      </c>
      <c r="D80" s="111">
        <v>3.2652158419291914E-3</v>
      </c>
      <c r="E80" s="111">
        <v>2.6332158853590899</v>
      </c>
      <c r="F80" s="87" t="s">
        <v>1952</v>
      </c>
      <c r="G80" s="87" t="b">
        <v>0</v>
      </c>
      <c r="H80" s="87" t="b">
        <v>0</v>
      </c>
      <c r="I80" s="87" t="b">
        <v>0</v>
      </c>
      <c r="J80" s="87" t="b">
        <v>0</v>
      </c>
      <c r="K80" s="87" t="b">
        <v>0</v>
      </c>
      <c r="L80" s="87" t="b">
        <v>0</v>
      </c>
    </row>
    <row r="81" spans="1:12" x14ac:dyDescent="0.25">
      <c r="A81" s="84" t="s">
        <v>1727</v>
      </c>
      <c r="B81" s="87" t="s">
        <v>1748</v>
      </c>
      <c r="C81" s="87">
        <v>4</v>
      </c>
      <c r="D81" s="111">
        <v>3.2652158419291914E-3</v>
      </c>
      <c r="E81" s="111">
        <v>2.6332158853590899</v>
      </c>
      <c r="F81" s="87" t="s">
        <v>1952</v>
      </c>
      <c r="G81" s="87" t="b">
        <v>0</v>
      </c>
      <c r="H81" s="87" t="b">
        <v>0</v>
      </c>
      <c r="I81" s="87" t="b">
        <v>0</v>
      </c>
      <c r="J81" s="87" t="b">
        <v>0</v>
      </c>
      <c r="K81" s="87" t="b">
        <v>0</v>
      </c>
      <c r="L81" s="87" t="b">
        <v>0</v>
      </c>
    </row>
    <row r="82" spans="1:12" x14ac:dyDescent="0.25">
      <c r="A82" s="84" t="s">
        <v>1641</v>
      </c>
      <c r="B82" s="87" t="s">
        <v>1754</v>
      </c>
      <c r="C82" s="87">
        <v>4</v>
      </c>
      <c r="D82" s="111">
        <v>3.2652158419291914E-3</v>
      </c>
      <c r="E82" s="111">
        <v>1.9342458810230712</v>
      </c>
      <c r="F82" s="87" t="s">
        <v>1952</v>
      </c>
      <c r="G82" s="87" t="b">
        <v>1</v>
      </c>
      <c r="H82" s="87" t="b">
        <v>0</v>
      </c>
      <c r="I82" s="87" t="b">
        <v>0</v>
      </c>
      <c r="J82" s="87" t="b">
        <v>0</v>
      </c>
      <c r="K82" s="87" t="b">
        <v>0</v>
      </c>
      <c r="L82" s="87" t="b">
        <v>0</v>
      </c>
    </row>
    <row r="83" spans="1:12" x14ac:dyDescent="0.25">
      <c r="A83" s="84" t="s">
        <v>249</v>
      </c>
      <c r="B83" s="87" t="s">
        <v>1656</v>
      </c>
      <c r="C83" s="87">
        <v>4</v>
      </c>
      <c r="D83" s="111">
        <v>3.2652158419291914E-3</v>
      </c>
      <c r="E83" s="111">
        <v>1.3033097619588798</v>
      </c>
      <c r="F83" s="87" t="s">
        <v>1952</v>
      </c>
      <c r="G83" s="87" t="b">
        <v>0</v>
      </c>
      <c r="H83" s="87" t="b">
        <v>0</v>
      </c>
      <c r="I83" s="87" t="b">
        <v>0</v>
      </c>
      <c r="J83" s="87" t="b">
        <v>0</v>
      </c>
      <c r="K83" s="87" t="b">
        <v>0</v>
      </c>
      <c r="L83" s="87" t="b">
        <v>0</v>
      </c>
    </row>
    <row r="84" spans="1:12" x14ac:dyDescent="0.25">
      <c r="A84" s="84" t="s">
        <v>1732</v>
      </c>
      <c r="B84" s="87" t="s">
        <v>1757</v>
      </c>
      <c r="C84" s="87">
        <v>4</v>
      </c>
      <c r="D84" s="111">
        <v>3.2652158419291914E-3</v>
      </c>
      <c r="E84" s="111">
        <v>2.6332158853590899</v>
      </c>
      <c r="F84" s="87" t="s">
        <v>1952</v>
      </c>
      <c r="G84" s="87" t="b">
        <v>0</v>
      </c>
      <c r="H84" s="87" t="b">
        <v>0</v>
      </c>
      <c r="I84" s="87" t="b">
        <v>0</v>
      </c>
      <c r="J84" s="87" t="b">
        <v>0</v>
      </c>
      <c r="K84" s="87" t="b">
        <v>0</v>
      </c>
      <c r="L84" s="87" t="b">
        <v>0</v>
      </c>
    </row>
    <row r="85" spans="1:12" x14ac:dyDescent="0.25">
      <c r="A85" s="84" t="s">
        <v>1744</v>
      </c>
      <c r="B85" s="87" t="s">
        <v>1730</v>
      </c>
      <c r="C85" s="87">
        <v>4</v>
      </c>
      <c r="D85" s="111">
        <v>3.2652158419291914E-3</v>
      </c>
      <c r="E85" s="111">
        <v>2.6332158853590899</v>
      </c>
      <c r="F85" s="87" t="s">
        <v>1952</v>
      </c>
      <c r="G85" s="87" t="b">
        <v>0</v>
      </c>
      <c r="H85" s="87" t="b">
        <v>0</v>
      </c>
      <c r="I85" s="87" t="b">
        <v>0</v>
      </c>
      <c r="J85" s="87" t="b">
        <v>1</v>
      </c>
      <c r="K85" s="87" t="b">
        <v>0</v>
      </c>
      <c r="L85" s="87" t="b">
        <v>0</v>
      </c>
    </row>
    <row r="86" spans="1:12" x14ac:dyDescent="0.25">
      <c r="A86" s="84" t="s">
        <v>1641</v>
      </c>
      <c r="B86" s="87" t="s">
        <v>1728</v>
      </c>
      <c r="C86" s="87">
        <v>4</v>
      </c>
      <c r="D86" s="111">
        <v>3.2652158419291914E-3</v>
      </c>
      <c r="E86" s="111">
        <v>1.9342458810230712</v>
      </c>
      <c r="F86" s="87" t="s">
        <v>1952</v>
      </c>
      <c r="G86" s="87" t="b">
        <v>1</v>
      </c>
      <c r="H86" s="87" t="b">
        <v>0</v>
      </c>
      <c r="I86" s="87" t="b">
        <v>0</v>
      </c>
      <c r="J86" s="87" t="b">
        <v>0</v>
      </c>
      <c r="K86" s="87" t="b">
        <v>0</v>
      </c>
      <c r="L86" s="87" t="b">
        <v>0</v>
      </c>
    </row>
    <row r="87" spans="1:12" x14ac:dyDescent="0.25">
      <c r="A87" s="84" t="s">
        <v>1685</v>
      </c>
      <c r="B87" s="87" t="s">
        <v>1734</v>
      </c>
      <c r="C87" s="87">
        <v>4</v>
      </c>
      <c r="D87" s="111">
        <v>3.2652158419291914E-3</v>
      </c>
      <c r="E87" s="111">
        <v>2.457124626303409</v>
      </c>
      <c r="F87" s="87" t="s">
        <v>1952</v>
      </c>
      <c r="G87" s="87" t="b">
        <v>0</v>
      </c>
      <c r="H87" s="87" t="b">
        <v>0</v>
      </c>
      <c r="I87" s="87" t="b">
        <v>0</v>
      </c>
      <c r="J87" s="87" t="b">
        <v>0</v>
      </c>
      <c r="K87" s="87" t="b">
        <v>0</v>
      </c>
      <c r="L87" s="87" t="b">
        <v>0</v>
      </c>
    </row>
    <row r="88" spans="1:12" x14ac:dyDescent="0.25">
      <c r="A88" s="84" t="s">
        <v>1719</v>
      </c>
      <c r="B88" s="87" t="s">
        <v>1733</v>
      </c>
      <c r="C88" s="87">
        <v>4</v>
      </c>
      <c r="D88" s="111">
        <v>3.2652158419291914E-3</v>
      </c>
      <c r="E88" s="111">
        <v>2.5363058723510337</v>
      </c>
      <c r="F88" s="87" t="s">
        <v>1952</v>
      </c>
      <c r="G88" s="87" t="b">
        <v>0</v>
      </c>
      <c r="H88" s="87" t="b">
        <v>0</v>
      </c>
      <c r="I88" s="87" t="b">
        <v>0</v>
      </c>
      <c r="J88" s="87" t="b">
        <v>0</v>
      </c>
      <c r="K88" s="87" t="b">
        <v>0</v>
      </c>
      <c r="L88" s="87" t="b">
        <v>0</v>
      </c>
    </row>
    <row r="89" spans="1:12" x14ac:dyDescent="0.25">
      <c r="A89" s="84" t="s">
        <v>1754</v>
      </c>
      <c r="B89" s="87" t="s">
        <v>1731</v>
      </c>
      <c r="C89" s="87">
        <v>4</v>
      </c>
      <c r="D89" s="111">
        <v>3.2652158419291914E-3</v>
      </c>
      <c r="E89" s="111">
        <v>2.6332158853590899</v>
      </c>
      <c r="F89" s="87" t="s">
        <v>1952</v>
      </c>
      <c r="G89" s="87" t="b">
        <v>0</v>
      </c>
      <c r="H89" s="87" t="b">
        <v>0</v>
      </c>
      <c r="I89" s="87" t="b">
        <v>0</v>
      </c>
      <c r="J89" s="87" t="b">
        <v>0</v>
      </c>
      <c r="K89" s="87" t="b">
        <v>0</v>
      </c>
      <c r="L89" s="87" t="b">
        <v>0</v>
      </c>
    </row>
    <row r="90" spans="1:12" x14ac:dyDescent="0.25">
      <c r="A90" s="84" t="s">
        <v>1743</v>
      </c>
      <c r="B90" s="87" t="s">
        <v>1753</v>
      </c>
      <c r="C90" s="87">
        <v>4</v>
      </c>
      <c r="D90" s="111">
        <v>3.2652158419291914E-3</v>
      </c>
      <c r="E90" s="111">
        <v>2.6332158853590899</v>
      </c>
      <c r="F90" s="87" t="s">
        <v>1952</v>
      </c>
      <c r="G90" s="87" t="b">
        <v>0</v>
      </c>
      <c r="H90" s="87" t="b">
        <v>0</v>
      </c>
      <c r="I90" s="87" t="b">
        <v>0</v>
      </c>
      <c r="J90" s="87" t="b">
        <v>0</v>
      </c>
      <c r="K90" s="87" t="b">
        <v>0</v>
      </c>
      <c r="L90" s="87" t="b">
        <v>0</v>
      </c>
    </row>
    <row r="91" spans="1:12" x14ac:dyDescent="0.25">
      <c r="A91" s="84" t="s">
        <v>249</v>
      </c>
      <c r="B91" s="87" t="s">
        <v>1682</v>
      </c>
      <c r="C91" s="87">
        <v>4</v>
      </c>
      <c r="D91" s="111">
        <v>3.2652158419291914E-3</v>
      </c>
      <c r="E91" s="111">
        <v>1.5585822670621858</v>
      </c>
      <c r="F91" s="87" t="s">
        <v>1952</v>
      </c>
      <c r="G91" s="87" t="b">
        <v>0</v>
      </c>
      <c r="H91" s="87" t="b">
        <v>0</v>
      </c>
      <c r="I91" s="87" t="b">
        <v>0</v>
      </c>
      <c r="J91" s="87" t="b">
        <v>1</v>
      </c>
      <c r="K91" s="87" t="b">
        <v>0</v>
      </c>
      <c r="L91" s="87" t="b">
        <v>0</v>
      </c>
    </row>
    <row r="92" spans="1:12" x14ac:dyDescent="0.25">
      <c r="A92" s="84" t="s">
        <v>1647</v>
      </c>
      <c r="B92" s="87" t="s">
        <v>280</v>
      </c>
      <c r="C92" s="87">
        <v>4</v>
      </c>
      <c r="D92" s="111">
        <v>3.2652158419291914E-3</v>
      </c>
      <c r="E92" s="111">
        <v>1.8550646349754465</v>
      </c>
      <c r="F92" s="87" t="s">
        <v>1952</v>
      </c>
      <c r="G92" s="87" t="b">
        <v>0</v>
      </c>
      <c r="H92" s="87" t="b">
        <v>0</v>
      </c>
      <c r="I92" s="87" t="b">
        <v>0</v>
      </c>
      <c r="J92" s="87" t="b">
        <v>0</v>
      </c>
      <c r="K92" s="87" t="b">
        <v>0</v>
      </c>
      <c r="L92" s="87" t="b">
        <v>0</v>
      </c>
    </row>
    <row r="93" spans="1:12" x14ac:dyDescent="0.25">
      <c r="A93" s="84" t="s">
        <v>1731</v>
      </c>
      <c r="B93" s="87" t="s">
        <v>1727</v>
      </c>
      <c r="C93" s="87">
        <v>4</v>
      </c>
      <c r="D93" s="111">
        <v>3.2652158419291914E-3</v>
      </c>
      <c r="E93" s="111">
        <v>2.6332158853590899</v>
      </c>
      <c r="F93" s="87" t="s">
        <v>1952</v>
      </c>
      <c r="G93" s="87" t="b">
        <v>0</v>
      </c>
      <c r="H93" s="87" t="b">
        <v>0</v>
      </c>
      <c r="I93" s="87" t="b">
        <v>0</v>
      </c>
      <c r="J93" s="87" t="b">
        <v>0</v>
      </c>
      <c r="K93" s="87" t="b">
        <v>0</v>
      </c>
      <c r="L93" s="87" t="b">
        <v>0</v>
      </c>
    </row>
    <row r="94" spans="1:12" x14ac:dyDescent="0.25">
      <c r="A94" s="84" t="s">
        <v>1696</v>
      </c>
      <c r="B94" s="87" t="s">
        <v>1758</v>
      </c>
      <c r="C94" s="87">
        <v>4</v>
      </c>
      <c r="D94" s="111">
        <v>3.2652158419291914E-3</v>
      </c>
      <c r="E94" s="111">
        <v>2.457124626303409</v>
      </c>
      <c r="F94" s="87" t="s">
        <v>1952</v>
      </c>
      <c r="G94" s="87" t="b">
        <v>0</v>
      </c>
      <c r="H94" s="87" t="b">
        <v>0</v>
      </c>
      <c r="I94" s="87" t="b">
        <v>0</v>
      </c>
      <c r="J94" s="87" t="b">
        <v>0</v>
      </c>
      <c r="K94" s="87" t="b">
        <v>0</v>
      </c>
      <c r="L94" s="87" t="b">
        <v>0</v>
      </c>
    </row>
    <row r="95" spans="1:12" x14ac:dyDescent="0.25">
      <c r="A95" s="84" t="s">
        <v>1722</v>
      </c>
      <c r="B95" s="87" t="s">
        <v>1696</v>
      </c>
      <c r="C95" s="87">
        <v>4</v>
      </c>
      <c r="D95" s="111">
        <v>3.2652158419291914E-3</v>
      </c>
      <c r="E95" s="111">
        <v>2.3602146132953523</v>
      </c>
      <c r="F95" s="87" t="s">
        <v>1952</v>
      </c>
      <c r="G95" s="87" t="b">
        <v>0</v>
      </c>
      <c r="H95" s="87" t="b">
        <v>0</v>
      </c>
      <c r="I95" s="87" t="b">
        <v>0</v>
      </c>
      <c r="J95" s="87" t="b">
        <v>0</v>
      </c>
      <c r="K95" s="87" t="b">
        <v>0</v>
      </c>
      <c r="L95" s="87" t="b">
        <v>0</v>
      </c>
    </row>
    <row r="96" spans="1:12" x14ac:dyDescent="0.25">
      <c r="A96" s="84" t="s">
        <v>306</v>
      </c>
      <c r="B96" s="87" t="s">
        <v>1647</v>
      </c>
      <c r="C96" s="87">
        <v>4</v>
      </c>
      <c r="D96" s="111">
        <v>3.2652158419291914E-3</v>
      </c>
      <c r="E96" s="111">
        <v>2.1213325243802155</v>
      </c>
      <c r="F96" s="87" t="s">
        <v>1952</v>
      </c>
      <c r="G96" s="87" t="b">
        <v>0</v>
      </c>
      <c r="H96" s="87" t="b">
        <v>0</v>
      </c>
      <c r="I96" s="87" t="b">
        <v>0</v>
      </c>
      <c r="J96" s="87" t="b">
        <v>0</v>
      </c>
      <c r="K96" s="87" t="b">
        <v>0</v>
      </c>
      <c r="L96" s="87" t="b">
        <v>0</v>
      </c>
    </row>
    <row r="97" spans="1:12" x14ac:dyDescent="0.25">
      <c r="A97" s="84" t="s">
        <v>304</v>
      </c>
      <c r="B97" s="87" t="s">
        <v>1746</v>
      </c>
      <c r="C97" s="87">
        <v>4</v>
      </c>
      <c r="D97" s="111">
        <v>3.2652158419291914E-3</v>
      </c>
      <c r="E97" s="111">
        <v>2.6332158853590899</v>
      </c>
      <c r="F97" s="87" t="s">
        <v>1952</v>
      </c>
      <c r="G97" s="87" t="b">
        <v>0</v>
      </c>
      <c r="H97" s="87" t="b">
        <v>0</v>
      </c>
      <c r="I97" s="87" t="b">
        <v>0</v>
      </c>
      <c r="J97" s="87" t="b">
        <v>0</v>
      </c>
      <c r="K97" s="87" t="b">
        <v>0</v>
      </c>
      <c r="L97" s="87" t="b">
        <v>0</v>
      </c>
    </row>
    <row r="98" spans="1:12" x14ac:dyDescent="0.25">
      <c r="A98" s="84" t="s">
        <v>1641</v>
      </c>
      <c r="B98" s="87" t="s">
        <v>1743</v>
      </c>
      <c r="C98" s="87">
        <v>4</v>
      </c>
      <c r="D98" s="111">
        <v>3.2652158419291914E-3</v>
      </c>
      <c r="E98" s="111">
        <v>1.9342458810230712</v>
      </c>
      <c r="F98" s="87" t="s">
        <v>1952</v>
      </c>
      <c r="G98" s="87" t="b">
        <v>1</v>
      </c>
      <c r="H98" s="87" t="b">
        <v>0</v>
      </c>
      <c r="I98" s="87" t="b">
        <v>0</v>
      </c>
      <c r="J98" s="87" t="b">
        <v>0</v>
      </c>
      <c r="K98" s="87" t="b">
        <v>0</v>
      </c>
      <c r="L98" s="87" t="b">
        <v>0</v>
      </c>
    </row>
    <row r="99" spans="1:12" x14ac:dyDescent="0.25">
      <c r="A99" s="84" t="s">
        <v>1651</v>
      </c>
      <c r="B99" s="87" t="s">
        <v>1649</v>
      </c>
      <c r="C99" s="87">
        <v>4</v>
      </c>
      <c r="D99" s="111">
        <v>3.2652158419291914E-3</v>
      </c>
      <c r="E99" s="111">
        <v>1.5820633629117087</v>
      </c>
      <c r="F99" s="87" t="s">
        <v>1952</v>
      </c>
      <c r="G99" s="87" t="b">
        <v>0</v>
      </c>
      <c r="H99" s="87" t="b">
        <v>0</v>
      </c>
      <c r="I99" s="87" t="b">
        <v>0</v>
      </c>
      <c r="J99" s="87" t="b">
        <v>0</v>
      </c>
      <c r="K99" s="87" t="b">
        <v>0</v>
      </c>
      <c r="L99" s="87" t="b">
        <v>0</v>
      </c>
    </row>
    <row r="100" spans="1:12" x14ac:dyDescent="0.25">
      <c r="A100" s="84" t="s">
        <v>1726</v>
      </c>
      <c r="B100" s="87" t="s">
        <v>1641</v>
      </c>
      <c r="C100" s="87">
        <v>4</v>
      </c>
      <c r="D100" s="111">
        <v>3.2652158419291914E-3</v>
      </c>
      <c r="E100" s="111">
        <v>1.8373358680150149</v>
      </c>
      <c r="F100" s="87" t="s">
        <v>1952</v>
      </c>
      <c r="G100" s="87" t="b">
        <v>0</v>
      </c>
      <c r="H100" s="87" t="b">
        <v>0</v>
      </c>
      <c r="I100" s="87" t="b">
        <v>0</v>
      </c>
      <c r="J100" s="87" t="b">
        <v>1</v>
      </c>
      <c r="K100" s="87" t="b">
        <v>0</v>
      </c>
      <c r="L100" s="87" t="b">
        <v>0</v>
      </c>
    </row>
    <row r="101" spans="1:12" x14ac:dyDescent="0.25">
      <c r="A101" s="84" t="s">
        <v>1661</v>
      </c>
      <c r="B101" s="87" t="s">
        <v>258</v>
      </c>
      <c r="C101" s="87">
        <v>3</v>
      </c>
      <c r="D101" s="111">
        <v>2.651734505811017E-3</v>
      </c>
      <c r="E101" s="111">
        <v>2.1560946306394277</v>
      </c>
      <c r="F101" s="87" t="s">
        <v>1952</v>
      </c>
      <c r="G101" s="87" t="b">
        <v>0</v>
      </c>
      <c r="H101" s="87" t="b">
        <v>0</v>
      </c>
      <c r="I101" s="87" t="b">
        <v>0</v>
      </c>
      <c r="J101" s="87" t="b">
        <v>0</v>
      </c>
      <c r="K101" s="87" t="b">
        <v>0</v>
      </c>
      <c r="L101" s="87" t="b">
        <v>0</v>
      </c>
    </row>
    <row r="102" spans="1:12" x14ac:dyDescent="0.25">
      <c r="A102" s="84" t="s">
        <v>1699</v>
      </c>
      <c r="B102" s="87" t="s">
        <v>1810</v>
      </c>
      <c r="C102" s="87">
        <v>3</v>
      </c>
      <c r="D102" s="111">
        <v>2.651734505811017E-3</v>
      </c>
      <c r="E102" s="111">
        <v>2.6332158853590899</v>
      </c>
      <c r="F102" s="87" t="s">
        <v>1952</v>
      </c>
      <c r="G102" s="87" t="b">
        <v>0</v>
      </c>
      <c r="H102" s="87" t="b">
        <v>0</v>
      </c>
      <c r="I102" s="87" t="b">
        <v>0</v>
      </c>
      <c r="J102" s="87" t="b">
        <v>0</v>
      </c>
      <c r="K102" s="87" t="b">
        <v>1</v>
      </c>
      <c r="L102" s="87" t="b">
        <v>0</v>
      </c>
    </row>
    <row r="103" spans="1:12" x14ac:dyDescent="0.25">
      <c r="A103" s="84" t="s">
        <v>1644</v>
      </c>
      <c r="B103" s="87" t="s">
        <v>1749</v>
      </c>
      <c r="C103" s="87">
        <v>3</v>
      </c>
      <c r="D103" s="111">
        <v>2.651734505811017E-3</v>
      </c>
      <c r="E103" s="111">
        <v>1.8315835391259234</v>
      </c>
      <c r="F103" s="87" t="s">
        <v>1952</v>
      </c>
      <c r="G103" s="87" t="b">
        <v>0</v>
      </c>
      <c r="H103" s="87" t="b">
        <v>0</v>
      </c>
      <c r="I103" s="87" t="b">
        <v>0</v>
      </c>
      <c r="J103" s="87" t="b">
        <v>0</v>
      </c>
      <c r="K103" s="87" t="b">
        <v>0</v>
      </c>
      <c r="L103" s="87" t="b">
        <v>0</v>
      </c>
    </row>
    <row r="104" spans="1:12" x14ac:dyDescent="0.25">
      <c r="A104" s="84" t="s">
        <v>1686</v>
      </c>
      <c r="B104" s="87" t="s">
        <v>1785</v>
      </c>
      <c r="C104" s="87">
        <v>3</v>
      </c>
      <c r="D104" s="111">
        <v>2.651734505811017E-3</v>
      </c>
      <c r="E104" s="111">
        <v>2.457124626303409</v>
      </c>
      <c r="F104" s="87" t="s">
        <v>1952</v>
      </c>
      <c r="G104" s="87" t="b">
        <v>0</v>
      </c>
      <c r="H104" s="87" t="b">
        <v>0</v>
      </c>
      <c r="I104" s="87" t="b">
        <v>0</v>
      </c>
      <c r="J104" s="87" t="b">
        <v>0</v>
      </c>
      <c r="K104" s="87" t="b">
        <v>0</v>
      </c>
      <c r="L104" s="87" t="b">
        <v>0</v>
      </c>
    </row>
    <row r="105" spans="1:12" x14ac:dyDescent="0.25">
      <c r="A105" s="84" t="s">
        <v>1680</v>
      </c>
      <c r="B105" s="87" t="s">
        <v>1766</v>
      </c>
      <c r="C105" s="87">
        <v>3</v>
      </c>
      <c r="D105" s="111">
        <v>2.651734505811017E-3</v>
      </c>
      <c r="E105" s="111">
        <v>2.457124626303409</v>
      </c>
      <c r="F105" s="87" t="s">
        <v>1952</v>
      </c>
      <c r="G105" s="87" t="b">
        <v>0</v>
      </c>
      <c r="H105" s="87" t="b">
        <v>0</v>
      </c>
      <c r="I105" s="87" t="b">
        <v>0</v>
      </c>
      <c r="J105" s="87" t="b">
        <v>0</v>
      </c>
      <c r="K105" s="87" t="b">
        <v>0</v>
      </c>
      <c r="L105" s="87" t="b">
        <v>0</v>
      </c>
    </row>
    <row r="106" spans="1:12" x14ac:dyDescent="0.25">
      <c r="A106" s="84" t="s">
        <v>1640</v>
      </c>
      <c r="B106" s="87" t="s">
        <v>320</v>
      </c>
      <c r="C106" s="87">
        <v>3</v>
      </c>
      <c r="D106" s="111">
        <v>2.651734505811017E-3</v>
      </c>
      <c r="E106" s="111">
        <v>1.8203025287162344</v>
      </c>
      <c r="F106" s="87" t="s">
        <v>1952</v>
      </c>
      <c r="G106" s="87" t="b">
        <v>0</v>
      </c>
      <c r="H106" s="87" t="b">
        <v>0</v>
      </c>
      <c r="I106" s="87" t="b">
        <v>0</v>
      </c>
      <c r="J106" s="87" t="b">
        <v>0</v>
      </c>
      <c r="K106" s="87" t="b">
        <v>0</v>
      </c>
      <c r="L106" s="87" t="b">
        <v>0</v>
      </c>
    </row>
    <row r="107" spans="1:12" x14ac:dyDescent="0.25">
      <c r="A107" s="84" t="s">
        <v>1758</v>
      </c>
      <c r="B107" s="87" t="s">
        <v>1772</v>
      </c>
      <c r="C107" s="87">
        <v>3</v>
      </c>
      <c r="D107" s="111">
        <v>2.651734505811017E-3</v>
      </c>
      <c r="E107" s="111">
        <v>2.6332158853590899</v>
      </c>
      <c r="F107" s="87" t="s">
        <v>1952</v>
      </c>
      <c r="G107" s="87" t="b">
        <v>0</v>
      </c>
      <c r="H107" s="87" t="b">
        <v>0</v>
      </c>
      <c r="I107" s="87" t="b">
        <v>0</v>
      </c>
      <c r="J107" s="87" t="b">
        <v>0</v>
      </c>
      <c r="K107" s="87" t="b">
        <v>0</v>
      </c>
      <c r="L107" s="87" t="b">
        <v>0</v>
      </c>
    </row>
    <row r="108" spans="1:12" x14ac:dyDescent="0.25">
      <c r="A108" s="84" t="s">
        <v>261</v>
      </c>
      <c r="B108" s="87" t="s">
        <v>1697</v>
      </c>
      <c r="C108" s="87">
        <v>3</v>
      </c>
      <c r="D108" s="111">
        <v>2.651734505811017E-3</v>
      </c>
      <c r="E108" s="111">
        <v>2.0311558940311278</v>
      </c>
      <c r="F108" s="87" t="s">
        <v>1952</v>
      </c>
      <c r="G108" s="87" t="b">
        <v>0</v>
      </c>
      <c r="H108" s="87" t="b">
        <v>0</v>
      </c>
      <c r="I108" s="87" t="b">
        <v>0</v>
      </c>
      <c r="J108" s="87" t="b">
        <v>0</v>
      </c>
      <c r="K108" s="87" t="b">
        <v>0</v>
      </c>
      <c r="L108" s="87" t="b">
        <v>0</v>
      </c>
    </row>
    <row r="109" spans="1:12" x14ac:dyDescent="0.25">
      <c r="A109" s="84" t="s">
        <v>1771</v>
      </c>
      <c r="B109" s="87" t="s">
        <v>1642</v>
      </c>
      <c r="C109" s="87">
        <v>3</v>
      </c>
      <c r="D109" s="111">
        <v>2.651734505811017E-3</v>
      </c>
      <c r="E109" s="111">
        <v>1.9342458810230712</v>
      </c>
      <c r="F109" s="87" t="s">
        <v>1952</v>
      </c>
      <c r="G109" s="87" t="b">
        <v>0</v>
      </c>
      <c r="H109" s="87" t="b">
        <v>0</v>
      </c>
      <c r="I109" s="87" t="b">
        <v>0</v>
      </c>
      <c r="J109" s="87" t="b">
        <v>0</v>
      </c>
      <c r="K109" s="87" t="b">
        <v>0</v>
      </c>
      <c r="L109" s="87" t="b">
        <v>0</v>
      </c>
    </row>
    <row r="110" spans="1:12" x14ac:dyDescent="0.25">
      <c r="A110" s="84" t="s">
        <v>1671</v>
      </c>
      <c r="B110" s="87" t="s">
        <v>1786</v>
      </c>
      <c r="C110" s="87">
        <v>3</v>
      </c>
      <c r="D110" s="111">
        <v>2.651734505811017E-3</v>
      </c>
      <c r="E110" s="111">
        <v>2.3901778366727955</v>
      </c>
      <c r="F110" s="87" t="s">
        <v>1952</v>
      </c>
      <c r="G110" s="87" t="b">
        <v>0</v>
      </c>
      <c r="H110" s="87" t="b">
        <v>0</v>
      </c>
      <c r="I110" s="87" t="b">
        <v>0</v>
      </c>
      <c r="J110" s="87" t="b">
        <v>0</v>
      </c>
      <c r="K110" s="87" t="b">
        <v>0</v>
      </c>
      <c r="L110" s="87" t="b">
        <v>0</v>
      </c>
    </row>
    <row r="111" spans="1:12" x14ac:dyDescent="0.25">
      <c r="A111" s="84" t="s">
        <v>1669</v>
      </c>
      <c r="B111" s="87" t="s">
        <v>1651</v>
      </c>
      <c r="C111" s="87">
        <v>3</v>
      </c>
      <c r="D111" s="111">
        <v>2.651734505811017E-3</v>
      </c>
      <c r="E111" s="111">
        <v>1.8550646349754465</v>
      </c>
      <c r="F111" s="87" t="s">
        <v>1952</v>
      </c>
      <c r="G111" s="87" t="b">
        <v>0</v>
      </c>
      <c r="H111" s="87" t="b">
        <v>0</v>
      </c>
      <c r="I111" s="87" t="b">
        <v>0</v>
      </c>
      <c r="J111" s="87" t="b">
        <v>0</v>
      </c>
      <c r="K111" s="87" t="b">
        <v>0</v>
      </c>
      <c r="L111" s="87" t="b">
        <v>0</v>
      </c>
    </row>
    <row r="112" spans="1:12" x14ac:dyDescent="0.25">
      <c r="A112" s="84" t="s">
        <v>1692</v>
      </c>
      <c r="B112" s="87" t="s">
        <v>1680</v>
      </c>
      <c r="C112" s="87">
        <v>3</v>
      </c>
      <c r="D112" s="111">
        <v>2.651734505811017E-3</v>
      </c>
      <c r="E112" s="111">
        <v>2.1560946306394277</v>
      </c>
      <c r="F112" s="87" t="s">
        <v>1952</v>
      </c>
      <c r="G112" s="87" t="b">
        <v>0</v>
      </c>
      <c r="H112" s="87" t="b">
        <v>0</v>
      </c>
      <c r="I112" s="87" t="b">
        <v>0</v>
      </c>
      <c r="J112" s="87" t="b">
        <v>0</v>
      </c>
      <c r="K112" s="87" t="b">
        <v>0</v>
      </c>
      <c r="L112" s="87" t="b">
        <v>0</v>
      </c>
    </row>
    <row r="113" spans="1:12" x14ac:dyDescent="0.25">
      <c r="A113" s="84" t="s">
        <v>1661</v>
      </c>
      <c r="B113" s="87" t="s">
        <v>1644</v>
      </c>
      <c r="C113" s="87">
        <v>3</v>
      </c>
      <c r="D113" s="111">
        <v>2.651734505811017E-3</v>
      </c>
      <c r="E113" s="111">
        <v>1.4794010210145609</v>
      </c>
      <c r="F113" s="87" t="s">
        <v>1952</v>
      </c>
      <c r="G113" s="87" t="b">
        <v>0</v>
      </c>
      <c r="H113" s="87" t="b">
        <v>0</v>
      </c>
      <c r="I113" s="87" t="b">
        <v>0</v>
      </c>
      <c r="J113" s="87" t="b">
        <v>0</v>
      </c>
      <c r="K113" s="87" t="b">
        <v>0</v>
      </c>
      <c r="L113" s="87" t="b">
        <v>0</v>
      </c>
    </row>
    <row r="114" spans="1:12" x14ac:dyDescent="0.25">
      <c r="A114" s="84" t="s">
        <v>1757</v>
      </c>
      <c r="B114" s="87" t="s">
        <v>1763</v>
      </c>
      <c r="C114" s="87">
        <v>3</v>
      </c>
      <c r="D114" s="111">
        <v>2.651734505811017E-3</v>
      </c>
      <c r="E114" s="111">
        <v>2.6332158853590899</v>
      </c>
      <c r="F114" s="87" t="s">
        <v>1952</v>
      </c>
      <c r="G114" s="87" t="b">
        <v>0</v>
      </c>
      <c r="H114" s="87" t="b">
        <v>0</v>
      </c>
      <c r="I114" s="87" t="b">
        <v>0</v>
      </c>
      <c r="J114" s="87" t="b">
        <v>0</v>
      </c>
      <c r="K114" s="87" t="b">
        <v>0</v>
      </c>
      <c r="L114" s="87" t="b">
        <v>0</v>
      </c>
    </row>
    <row r="115" spans="1:12" x14ac:dyDescent="0.25">
      <c r="A115" s="84" t="s">
        <v>1786</v>
      </c>
      <c r="B115" s="87" t="s">
        <v>1779</v>
      </c>
      <c r="C115" s="87">
        <v>3</v>
      </c>
      <c r="D115" s="111">
        <v>2.651734505811017E-3</v>
      </c>
      <c r="E115" s="111">
        <v>2.7581546219673898</v>
      </c>
      <c r="F115" s="87" t="s">
        <v>1952</v>
      </c>
      <c r="G115" s="87" t="b">
        <v>0</v>
      </c>
      <c r="H115" s="87" t="b">
        <v>0</v>
      </c>
      <c r="I115" s="87" t="b">
        <v>0</v>
      </c>
      <c r="J115" s="87" t="b">
        <v>0</v>
      </c>
      <c r="K115" s="87" t="b">
        <v>0</v>
      </c>
      <c r="L115" s="87" t="b">
        <v>0</v>
      </c>
    </row>
    <row r="116" spans="1:12" x14ac:dyDescent="0.25">
      <c r="A116" s="84" t="s">
        <v>1688</v>
      </c>
      <c r="B116" s="87" t="s">
        <v>1774</v>
      </c>
      <c r="C116" s="87">
        <v>3</v>
      </c>
      <c r="D116" s="111">
        <v>2.651734505811017E-3</v>
      </c>
      <c r="E116" s="111">
        <v>2.457124626303409</v>
      </c>
      <c r="F116" s="87" t="s">
        <v>1952</v>
      </c>
      <c r="G116" s="87" t="b">
        <v>0</v>
      </c>
      <c r="H116" s="87" t="b">
        <v>0</v>
      </c>
      <c r="I116" s="87" t="b">
        <v>0</v>
      </c>
      <c r="J116" s="87" t="b">
        <v>0</v>
      </c>
      <c r="K116" s="87" t="b">
        <v>0</v>
      </c>
      <c r="L116" s="87" t="b">
        <v>0</v>
      </c>
    </row>
    <row r="117" spans="1:12" x14ac:dyDescent="0.25">
      <c r="A117" s="84" t="s">
        <v>1808</v>
      </c>
      <c r="B117" s="87" t="s">
        <v>1718</v>
      </c>
      <c r="C117" s="87">
        <v>3</v>
      </c>
      <c r="D117" s="111">
        <v>2.651734505811017E-3</v>
      </c>
      <c r="E117" s="111">
        <v>2.7581546219673898</v>
      </c>
      <c r="F117" s="87" t="s">
        <v>1952</v>
      </c>
      <c r="G117" s="87" t="b">
        <v>0</v>
      </c>
      <c r="H117" s="87" t="b">
        <v>0</v>
      </c>
      <c r="I117" s="87" t="b">
        <v>0</v>
      </c>
      <c r="J117" s="87" t="b">
        <v>0</v>
      </c>
      <c r="K117" s="87" t="b">
        <v>0</v>
      </c>
      <c r="L117" s="87" t="b">
        <v>0</v>
      </c>
    </row>
    <row r="118" spans="1:12" x14ac:dyDescent="0.25">
      <c r="A118" s="84" t="s">
        <v>268</v>
      </c>
      <c r="B118" s="87" t="s">
        <v>1657</v>
      </c>
      <c r="C118" s="87">
        <v>3</v>
      </c>
      <c r="D118" s="111">
        <v>2.651734505811017E-3</v>
      </c>
      <c r="E118" s="111">
        <v>0.9947266284044527</v>
      </c>
      <c r="F118" s="87" t="s">
        <v>1952</v>
      </c>
      <c r="G118" s="87" t="b">
        <v>0</v>
      </c>
      <c r="H118" s="87" t="b">
        <v>0</v>
      </c>
      <c r="I118" s="87" t="b">
        <v>0</v>
      </c>
      <c r="J118" s="87" t="b">
        <v>0</v>
      </c>
      <c r="K118" s="87" t="b">
        <v>0</v>
      </c>
      <c r="L118" s="87" t="b">
        <v>0</v>
      </c>
    </row>
    <row r="119" spans="1:12" x14ac:dyDescent="0.25">
      <c r="A119" s="84" t="s">
        <v>302</v>
      </c>
      <c r="B119" s="87" t="s">
        <v>1725</v>
      </c>
      <c r="C119" s="87">
        <v>3</v>
      </c>
      <c r="D119" s="111">
        <v>2.651734505811017E-3</v>
      </c>
      <c r="E119" s="111">
        <v>2.7581546219673898</v>
      </c>
      <c r="F119" s="87" t="s">
        <v>1952</v>
      </c>
      <c r="G119" s="87" t="b">
        <v>0</v>
      </c>
      <c r="H119" s="87" t="b">
        <v>0</v>
      </c>
      <c r="I119" s="87" t="b">
        <v>0</v>
      </c>
      <c r="J119" s="87" t="b">
        <v>0</v>
      </c>
      <c r="K119" s="87" t="b">
        <v>0</v>
      </c>
      <c r="L119" s="87" t="b">
        <v>0</v>
      </c>
    </row>
    <row r="120" spans="1:12" x14ac:dyDescent="0.25">
      <c r="A120" s="84" t="s">
        <v>1740</v>
      </c>
      <c r="B120" s="87" t="s">
        <v>1781</v>
      </c>
      <c r="C120" s="87">
        <v>3</v>
      </c>
      <c r="D120" s="111">
        <v>2.651734505811017E-3</v>
      </c>
      <c r="E120" s="111">
        <v>2.6332158853590899</v>
      </c>
      <c r="F120" s="87" t="s">
        <v>1952</v>
      </c>
      <c r="G120" s="87" t="b">
        <v>1</v>
      </c>
      <c r="H120" s="87" t="b">
        <v>0</v>
      </c>
      <c r="I120" s="87" t="b">
        <v>0</v>
      </c>
      <c r="J120" s="87" t="b">
        <v>0</v>
      </c>
      <c r="K120" s="87" t="b">
        <v>0</v>
      </c>
      <c r="L120" s="87" t="b">
        <v>0</v>
      </c>
    </row>
    <row r="121" spans="1:12" x14ac:dyDescent="0.25">
      <c r="A121" s="84" t="s">
        <v>1646</v>
      </c>
      <c r="B121" s="87" t="s">
        <v>1750</v>
      </c>
      <c r="C121" s="87">
        <v>3</v>
      </c>
      <c r="D121" s="111">
        <v>2.651734505811017E-3</v>
      </c>
      <c r="E121" s="111">
        <v>1.8550646349754465</v>
      </c>
      <c r="F121" s="87" t="s">
        <v>1952</v>
      </c>
      <c r="G121" s="87" t="b">
        <v>0</v>
      </c>
      <c r="H121" s="87" t="b">
        <v>0</v>
      </c>
      <c r="I121" s="87" t="b">
        <v>0</v>
      </c>
      <c r="J121" s="87" t="b">
        <v>0</v>
      </c>
      <c r="K121" s="87" t="b">
        <v>0</v>
      </c>
      <c r="L121" s="87" t="b">
        <v>0</v>
      </c>
    </row>
    <row r="122" spans="1:12" x14ac:dyDescent="0.25">
      <c r="A122" s="84" t="s">
        <v>1773</v>
      </c>
      <c r="B122" s="87" t="s">
        <v>1780</v>
      </c>
      <c r="C122" s="87">
        <v>3</v>
      </c>
      <c r="D122" s="111">
        <v>2.651734505811017E-3</v>
      </c>
      <c r="E122" s="111">
        <v>2.7581546219673898</v>
      </c>
      <c r="F122" s="87" t="s">
        <v>1952</v>
      </c>
      <c r="G122" s="87" t="b">
        <v>0</v>
      </c>
      <c r="H122" s="87" t="b">
        <v>0</v>
      </c>
      <c r="I122" s="87" t="b">
        <v>0</v>
      </c>
      <c r="J122" s="87" t="b">
        <v>0</v>
      </c>
      <c r="K122" s="87" t="b">
        <v>0</v>
      </c>
      <c r="L122" s="87" t="b">
        <v>0</v>
      </c>
    </row>
    <row r="123" spans="1:12" x14ac:dyDescent="0.25">
      <c r="A123" s="84" t="s">
        <v>268</v>
      </c>
      <c r="B123" s="87" t="s">
        <v>1808</v>
      </c>
      <c r="C123" s="87">
        <v>3</v>
      </c>
      <c r="D123" s="111">
        <v>2.651734505811017E-3</v>
      </c>
      <c r="E123" s="111">
        <v>1.4718478831241151</v>
      </c>
      <c r="F123" s="87" t="s">
        <v>1952</v>
      </c>
      <c r="G123" s="87" t="b">
        <v>0</v>
      </c>
      <c r="H123" s="87" t="b">
        <v>0</v>
      </c>
      <c r="I123" s="87" t="b">
        <v>0</v>
      </c>
      <c r="J123" s="87" t="b">
        <v>0</v>
      </c>
      <c r="K123" s="87" t="b">
        <v>0</v>
      </c>
      <c r="L123" s="87" t="b">
        <v>0</v>
      </c>
    </row>
    <row r="124" spans="1:12" x14ac:dyDescent="0.25">
      <c r="A124" s="84" t="s">
        <v>1712</v>
      </c>
      <c r="B124" s="87" t="s">
        <v>1669</v>
      </c>
      <c r="C124" s="87">
        <v>3</v>
      </c>
      <c r="D124" s="111">
        <v>2.651734505811017E-3</v>
      </c>
      <c r="E124" s="111">
        <v>2.1683290870564393</v>
      </c>
      <c r="F124" s="87" t="s">
        <v>1952</v>
      </c>
      <c r="G124" s="87" t="b">
        <v>0</v>
      </c>
      <c r="H124" s="87" t="b">
        <v>1</v>
      </c>
      <c r="I124" s="87" t="b">
        <v>0</v>
      </c>
      <c r="J124" s="87" t="b">
        <v>0</v>
      </c>
      <c r="K124" s="87" t="b">
        <v>0</v>
      </c>
      <c r="L124" s="87" t="b">
        <v>0</v>
      </c>
    </row>
    <row r="125" spans="1:12" x14ac:dyDescent="0.25">
      <c r="A125" s="84" t="s">
        <v>1781</v>
      </c>
      <c r="B125" s="87" t="s">
        <v>1699</v>
      </c>
      <c r="C125" s="87">
        <v>3</v>
      </c>
      <c r="D125" s="111">
        <v>2.651734505811017E-3</v>
      </c>
      <c r="E125" s="111">
        <v>2.5363058723510337</v>
      </c>
      <c r="F125" s="87" t="s">
        <v>1952</v>
      </c>
      <c r="G125" s="87" t="b">
        <v>0</v>
      </c>
      <c r="H125" s="87" t="b">
        <v>0</v>
      </c>
      <c r="I125" s="87" t="b">
        <v>0</v>
      </c>
      <c r="J125" s="87" t="b">
        <v>0</v>
      </c>
      <c r="K125" s="87" t="b">
        <v>0</v>
      </c>
      <c r="L125" s="87" t="b">
        <v>0</v>
      </c>
    </row>
    <row r="126" spans="1:12" x14ac:dyDescent="0.25">
      <c r="A126" s="84" t="s">
        <v>1802</v>
      </c>
      <c r="B126" s="87" t="s">
        <v>1738</v>
      </c>
      <c r="C126" s="87">
        <v>3</v>
      </c>
      <c r="D126" s="111">
        <v>2.651734505811017E-3</v>
      </c>
      <c r="E126" s="111">
        <v>2.6332158853590899</v>
      </c>
      <c r="F126" s="87" t="s">
        <v>1952</v>
      </c>
      <c r="G126" s="87" t="b">
        <v>0</v>
      </c>
      <c r="H126" s="87" t="b">
        <v>0</v>
      </c>
      <c r="I126" s="87" t="b">
        <v>0</v>
      </c>
      <c r="J126" s="87" t="b">
        <v>0</v>
      </c>
      <c r="K126" s="87" t="b">
        <v>0</v>
      </c>
      <c r="L126" s="87" t="b">
        <v>0</v>
      </c>
    </row>
    <row r="127" spans="1:12" x14ac:dyDescent="0.25">
      <c r="A127" s="84" t="s">
        <v>1766</v>
      </c>
      <c r="B127" s="87" t="s">
        <v>1661</v>
      </c>
      <c r="C127" s="87">
        <v>3</v>
      </c>
      <c r="D127" s="111">
        <v>2.651734505811017E-3</v>
      </c>
      <c r="E127" s="111">
        <v>2.2810333672477277</v>
      </c>
      <c r="F127" s="87" t="s">
        <v>1952</v>
      </c>
      <c r="G127" s="87" t="b">
        <v>0</v>
      </c>
      <c r="H127" s="87" t="b">
        <v>0</v>
      </c>
      <c r="I127" s="87" t="b">
        <v>0</v>
      </c>
      <c r="J127" s="87" t="b">
        <v>0</v>
      </c>
      <c r="K127" s="87" t="b">
        <v>0</v>
      </c>
      <c r="L127" s="87" t="b">
        <v>0</v>
      </c>
    </row>
    <row r="128" spans="1:12" x14ac:dyDescent="0.25">
      <c r="A128" s="84" t="s">
        <v>1800</v>
      </c>
      <c r="B128" s="87" t="s">
        <v>1640</v>
      </c>
      <c r="C128" s="87">
        <v>3</v>
      </c>
      <c r="D128" s="111">
        <v>2.651734505811017E-3</v>
      </c>
      <c r="E128" s="111">
        <v>1.8203025287162344</v>
      </c>
      <c r="F128" s="87" t="s">
        <v>1952</v>
      </c>
      <c r="G128" s="87" t="b">
        <v>0</v>
      </c>
      <c r="H128" s="87" t="b">
        <v>0</v>
      </c>
      <c r="I128" s="87" t="b">
        <v>0</v>
      </c>
      <c r="J128" s="87" t="b">
        <v>0</v>
      </c>
      <c r="K128" s="87" t="b">
        <v>0</v>
      </c>
      <c r="L128" s="87" t="b">
        <v>0</v>
      </c>
    </row>
    <row r="129" spans="1:12" x14ac:dyDescent="0.25">
      <c r="A129" s="84" t="s">
        <v>268</v>
      </c>
      <c r="B129" s="87" t="s">
        <v>1697</v>
      </c>
      <c r="C129" s="87">
        <v>3</v>
      </c>
      <c r="D129" s="111">
        <v>2.651734505811017E-3</v>
      </c>
      <c r="E129" s="111">
        <v>1.1708178874601338</v>
      </c>
      <c r="F129" s="87" t="s">
        <v>1952</v>
      </c>
      <c r="G129" s="87" t="b">
        <v>0</v>
      </c>
      <c r="H129" s="87" t="b">
        <v>0</v>
      </c>
      <c r="I129" s="87" t="b">
        <v>0</v>
      </c>
      <c r="J129" s="87" t="b">
        <v>0</v>
      </c>
      <c r="K129" s="87" t="b">
        <v>0</v>
      </c>
      <c r="L129" s="87" t="b">
        <v>0</v>
      </c>
    </row>
    <row r="130" spans="1:12" x14ac:dyDescent="0.25">
      <c r="A130" s="84" t="s">
        <v>1750</v>
      </c>
      <c r="B130" s="87" t="s">
        <v>1700</v>
      </c>
      <c r="C130" s="87">
        <v>3</v>
      </c>
      <c r="D130" s="111">
        <v>2.651734505811017E-3</v>
      </c>
      <c r="E130" s="111">
        <v>2.4113671357427338</v>
      </c>
      <c r="F130" s="87" t="s">
        <v>1952</v>
      </c>
      <c r="G130" s="87" t="b">
        <v>0</v>
      </c>
      <c r="H130" s="87" t="b">
        <v>0</v>
      </c>
      <c r="I130" s="87" t="b">
        <v>0</v>
      </c>
      <c r="J130" s="87" t="b">
        <v>0</v>
      </c>
      <c r="K130" s="87" t="b">
        <v>0</v>
      </c>
      <c r="L130" s="87" t="b">
        <v>0</v>
      </c>
    </row>
    <row r="131" spans="1:12" x14ac:dyDescent="0.25">
      <c r="A131" s="84" t="s">
        <v>1700</v>
      </c>
      <c r="B131" s="87" t="s">
        <v>1671</v>
      </c>
      <c r="C131" s="87">
        <v>3</v>
      </c>
      <c r="D131" s="111">
        <v>2.651734505811017E-3</v>
      </c>
      <c r="E131" s="111">
        <v>2.1683290870564393</v>
      </c>
      <c r="F131" s="87" t="s">
        <v>1952</v>
      </c>
      <c r="G131" s="87" t="b">
        <v>0</v>
      </c>
      <c r="H131" s="87" t="b">
        <v>0</v>
      </c>
      <c r="I131" s="87" t="b">
        <v>0</v>
      </c>
      <c r="J131" s="87" t="b">
        <v>0</v>
      </c>
      <c r="K131" s="87" t="b">
        <v>0</v>
      </c>
      <c r="L131" s="87" t="b">
        <v>0</v>
      </c>
    </row>
    <row r="132" spans="1:12" x14ac:dyDescent="0.25">
      <c r="A132" s="84" t="s">
        <v>268</v>
      </c>
      <c r="B132" s="87" t="s">
        <v>1805</v>
      </c>
      <c r="C132" s="87">
        <v>3</v>
      </c>
      <c r="D132" s="111">
        <v>2.651734505811017E-3</v>
      </c>
      <c r="E132" s="111">
        <v>1.4718478831241151</v>
      </c>
      <c r="F132" s="87" t="s">
        <v>1952</v>
      </c>
      <c r="G132" s="87" t="b">
        <v>0</v>
      </c>
      <c r="H132" s="87" t="b">
        <v>0</v>
      </c>
      <c r="I132" s="87" t="b">
        <v>0</v>
      </c>
      <c r="J132" s="87" t="b">
        <v>0</v>
      </c>
      <c r="K132" s="87" t="b">
        <v>0</v>
      </c>
      <c r="L132" s="87" t="b">
        <v>0</v>
      </c>
    </row>
    <row r="133" spans="1:12" x14ac:dyDescent="0.25">
      <c r="A133" s="84" t="s">
        <v>1779</v>
      </c>
      <c r="B133" s="87" t="s">
        <v>1641</v>
      </c>
      <c r="C133" s="87">
        <v>3</v>
      </c>
      <c r="D133" s="111">
        <v>2.651734505811017E-3</v>
      </c>
      <c r="E133" s="111">
        <v>1.9342458810230712</v>
      </c>
      <c r="F133" s="87" t="s">
        <v>1952</v>
      </c>
      <c r="G133" s="87" t="b">
        <v>0</v>
      </c>
      <c r="H133" s="87" t="b">
        <v>0</v>
      </c>
      <c r="I133" s="87" t="b">
        <v>0</v>
      </c>
      <c r="J133" s="87" t="b">
        <v>1</v>
      </c>
      <c r="K133" s="87" t="b">
        <v>0</v>
      </c>
      <c r="L133" s="87" t="b">
        <v>0</v>
      </c>
    </row>
    <row r="134" spans="1:12" x14ac:dyDescent="0.25">
      <c r="A134" s="84" t="s">
        <v>1676</v>
      </c>
      <c r="B134" s="87" t="s">
        <v>1723</v>
      </c>
      <c r="C134" s="87">
        <v>3</v>
      </c>
      <c r="D134" s="111">
        <v>2.651734505811017E-3</v>
      </c>
      <c r="E134" s="111">
        <v>2.1683290870564393</v>
      </c>
      <c r="F134" s="87" t="s">
        <v>1952</v>
      </c>
      <c r="G134" s="87" t="b">
        <v>0</v>
      </c>
      <c r="H134" s="87" t="b">
        <v>0</v>
      </c>
      <c r="I134" s="87" t="b">
        <v>0</v>
      </c>
      <c r="J134" s="87" t="b">
        <v>0</v>
      </c>
      <c r="K134" s="87" t="b">
        <v>0</v>
      </c>
      <c r="L134" s="87" t="b">
        <v>0</v>
      </c>
    </row>
    <row r="135" spans="1:12" x14ac:dyDescent="0.25">
      <c r="A135" s="84" t="s">
        <v>1737</v>
      </c>
      <c r="B135" s="87" t="s">
        <v>1802</v>
      </c>
      <c r="C135" s="87">
        <v>3</v>
      </c>
      <c r="D135" s="111">
        <v>2.651734505811017E-3</v>
      </c>
      <c r="E135" s="111">
        <v>2.6332158853590899</v>
      </c>
      <c r="F135" s="87" t="s">
        <v>1952</v>
      </c>
      <c r="G135" s="87" t="b">
        <v>0</v>
      </c>
      <c r="H135" s="87" t="b">
        <v>0</v>
      </c>
      <c r="I135" s="87" t="b">
        <v>0</v>
      </c>
      <c r="J135" s="87" t="b">
        <v>0</v>
      </c>
      <c r="K135" s="87" t="b">
        <v>0</v>
      </c>
      <c r="L135" s="87" t="b">
        <v>0</v>
      </c>
    </row>
    <row r="136" spans="1:12" x14ac:dyDescent="0.25">
      <c r="A136" s="84" t="s">
        <v>1807</v>
      </c>
      <c r="B136" s="87" t="s">
        <v>1644</v>
      </c>
      <c r="C136" s="87">
        <v>3</v>
      </c>
      <c r="D136" s="111">
        <v>2.651734505811017E-3</v>
      </c>
      <c r="E136" s="111">
        <v>1.9565222757342235</v>
      </c>
      <c r="F136" s="87" t="s">
        <v>1952</v>
      </c>
      <c r="G136" s="87" t="b">
        <v>0</v>
      </c>
      <c r="H136" s="87" t="b">
        <v>0</v>
      </c>
      <c r="I136" s="87" t="b">
        <v>0</v>
      </c>
      <c r="J136" s="87" t="b">
        <v>0</v>
      </c>
      <c r="K136" s="87" t="b">
        <v>0</v>
      </c>
      <c r="L136" s="87" t="b">
        <v>0</v>
      </c>
    </row>
    <row r="137" spans="1:12" x14ac:dyDescent="0.25">
      <c r="A137" s="84" t="s">
        <v>280</v>
      </c>
      <c r="B137" s="87" t="s">
        <v>1712</v>
      </c>
      <c r="C137" s="87">
        <v>3</v>
      </c>
      <c r="D137" s="111">
        <v>2.651734505811017E-3</v>
      </c>
      <c r="E137" s="111">
        <v>2.3321858896951086</v>
      </c>
      <c r="F137" s="87" t="s">
        <v>1952</v>
      </c>
      <c r="G137" s="87" t="b">
        <v>0</v>
      </c>
      <c r="H137" s="87" t="b">
        <v>0</v>
      </c>
      <c r="I137" s="87" t="b">
        <v>0</v>
      </c>
      <c r="J137" s="87" t="b">
        <v>0</v>
      </c>
      <c r="K137" s="87" t="b">
        <v>1</v>
      </c>
      <c r="L137" s="87" t="b">
        <v>0</v>
      </c>
    </row>
    <row r="138" spans="1:12" x14ac:dyDescent="0.25">
      <c r="A138" s="84" t="s">
        <v>1796</v>
      </c>
      <c r="B138" s="87" t="s">
        <v>1777</v>
      </c>
      <c r="C138" s="87">
        <v>3</v>
      </c>
      <c r="D138" s="111">
        <v>2.651734505811017E-3</v>
      </c>
      <c r="E138" s="111">
        <v>2.7581546219673898</v>
      </c>
      <c r="F138" s="87" t="s">
        <v>1952</v>
      </c>
      <c r="G138" s="87" t="b">
        <v>0</v>
      </c>
      <c r="H138" s="87" t="b">
        <v>0</v>
      </c>
      <c r="I138" s="87" t="b">
        <v>0</v>
      </c>
      <c r="J138" s="87" t="b">
        <v>0</v>
      </c>
      <c r="K138" s="87" t="b">
        <v>0</v>
      </c>
      <c r="L138" s="87" t="b">
        <v>0</v>
      </c>
    </row>
    <row r="139" spans="1:12" x14ac:dyDescent="0.25">
      <c r="A139" s="84" t="s">
        <v>1777</v>
      </c>
      <c r="B139" s="87" t="s">
        <v>1740</v>
      </c>
      <c r="C139" s="87">
        <v>3</v>
      </c>
      <c r="D139" s="111">
        <v>2.651734505811017E-3</v>
      </c>
      <c r="E139" s="111">
        <v>2.6332158853590899</v>
      </c>
      <c r="F139" s="87" t="s">
        <v>1952</v>
      </c>
      <c r="G139" s="87" t="b">
        <v>0</v>
      </c>
      <c r="H139" s="87" t="b">
        <v>0</v>
      </c>
      <c r="I139" s="87" t="b">
        <v>0</v>
      </c>
      <c r="J139" s="87" t="b">
        <v>1</v>
      </c>
      <c r="K139" s="87" t="b">
        <v>0</v>
      </c>
      <c r="L139" s="87" t="b">
        <v>0</v>
      </c>
    </row>
    <row r="140" spans="1:12" x14ac:dyDescent="0.25">
      <c r="A140" s="84" t="s">
        <v>1780</v>
      </c>
      <c r="B140" s="87" t="s">
        <v>1804</v>
      </c>
      <c r="C140" s="87">
        <v>3</v>
      </c>
      <c r="D140" s="111">
        <v>2.651734505811017E-3</v>
      </c>
      <c r="E140" s="111">
        <v>2.7581546219673898</v>
      </c>
      <c r="F140" s="87" t="s">
        <v>1952</v>
      </c>
      <c r="G140" s="87" t="b">
        <v>0</v>
      </c>
      <c r="H140" s="87" t="b">
        <v>0</v>
      </c>
      <c r="I140" s="87" t="b">
        <v>0</v>
      </c>
      <c r="J140" s="87" t="b">
        <v>0</v>
      </c>
      <c r="K140" s="87" t="b">
        <v>0</v>
      </c>
      <c r="L140" s="87" t="b">
        <v>0</v>
      </c>
    </row>
    <row r="141" spans="1:12" x14ac:dyDescent="0.25">
      <c r="A141" s="84" t="s">
        <v>1659</v>
      </c>
      <c r="B141" s="87" t="s">
        <v>1643</v>
      </c>
      <c r="C141" s="87">
        <v>3</v>
      </c>
      <c r="D141" s="111">
        <v>2.651734505811017E-3</v>
      </c>
      <c r="E141" s="111">
        <v>1.6442112696605533</v>
      </c>
      <c r="F141" s="87" t="s">
        <v>1952</v>
      </c>
      <c r="G141" s="87" t="b">
        <v>0</v>
      </c>
      <c r="H141" s="87" t="b">
        <v>0</v>
      </c>
      <c r="I141" s="87" t="b">
        <v>0</v>
      </c>
      <c r="J141" s="87" t="b">
        <v>0</v>
      </c>
      <c r="K141" s="87" t="b">
        <v>0</v>
      </c>
      <c r="L141" s="87" t="b">
        <v>0</v>
      </c>
    </row>
    <row r="142" spans="1:12" x14ac:dyDescent="0.25">
      <c r="A142" s="84" t="s">
        <v>1788</v>
      </c>
      <c r="B142" s="87" t="s">
        <v>1796</v>
      </c>
      <c r="C142" s="87">
        <v>3</v>
      </c>
      <c r="D142" s="111">
        <v>2.651734505811017E-3</v>
      </c>
      <c r="E142" s="111">
        <v>2.7581546219673898</v>
      </c>
      <c r="F142" s="87" t="s">
        <v>1952</v>
      </c>
      <c r="G142" s="87" t="b">
        <v>1</v>
      </c>
      <c r="H142" s="87" t="b">
        <v>0</v>
      </c>
      <c r="I142" s="87" t="b">
        <v>0</v>
      </c>
      <c r="J142" s="87" t="b">
        <v>0</v>
      </c>
      <c r="K142" s="87" t="b">
        <v>0</v>
      </c>
      <c r="L142" s="87" t="b">
        <v>0</v>
      </c>
    </row>
    <row r="143" spans="1:12" x14ac:dyDescent="0.25">
      <c r="A143" s="84" t="s">
        <v>1787</v>
      </c>
      <c r="B143" s="87" t="s">
        <v>1640</v>
      </c>
      <c r="C143" s="87">
        <v>3</v>
      </c>
      <c r="D143" s="111">
        <v>2.9375969393429673E-3</v>
      </c>
      <c r="E143" s="111">
        <v>1.8203025287162344</v>
      </c>
      <c r="F143" s="87" t="s">
        <v>1952</v>
      </c>
      <c r="G143" s="87" t="b">
        <v>0</v>
      </c>
      <c r="H143" s="87" t="b">
        <v>0</v>
      </c>
      <c r="I143" s="87" t="b">
        <v>0</v>
      </c>
      <c r="J143" s="87" t="b">
        <v>0</v>
      </c>
      <c r="K143" s="87" t="b">
        <v>0</v>
      </c>
      <c r="L143" s="87" t="b">
        <v>0</v>
      </c>
    </row>
    <row r="144" spans="1:12" x14ac:dyDescent="0.25">
      <c r="A144" s="84" t="s">
        <v>1642</v>
      </c>
      <c r="B144" s="87" t="s">
        <v>1800</v>
      </c>
      <c r="C144" s="87">
        <v>3</v>
      </c>
      <c r="D144" s="111">
        <v>2.651734505811017E-3</v>
      </c>
      <c r="E144" s="111">
        <v>1.9342458810230712</v>
      </c>
      <c r="F144" s="87" t="s">
        <v>1952</v>
      </c>
      <c r="G144" s="87" t="b">
        <v>0</v>
      </c>
      <c r="H144" s="87" t="b">
        <v>0</v>
      </c>
      <c r="I144" s="87" t="b">
        <v>0</v>
      </c>
      <c r="J144" s="87" t="b">
        <v>0</v>
      </c>
      <c r="K144" s="87" t="b">
        <v>0</v>
      </c>
      <c r="L144" s="87" t="b">
        <v>0</v>
      </c>
    </row>
    <row r="145" spans="1:12" x14ac:dyDescent="0.25">
      <c r="A145" s="84" t="s">
        <v>1798</v>
      </c>
      <c r="B145" s="87" t="s">
        <v>1659</v>
      </c>
      <c r="C145" s="87">
        <v>3</v>
      </c>
      <c r="D145" s="111">
        <v>2.651734505811017E-3</v>
      </c>
      <c r="E145" s="111">
        <v>2.2810333672477277</v>
      </c>
      <c r="F145" s="87" t="s">
        <v>1952</v>
      </c>
      <c r="G145" s="87" t="b">
        <v>0</v>
      </c>
      <c r="H145" s="87" t="b">
        <v>0</v>
      </c>
      <c r="I145" s="87" t="b">
        <v>0</v>
      </c>
      <c r="J145" s="87" t="b">
        <v>0</v>
      </c>
      <c r="K145" s="87" t="b">
        <v>0</v>
      </c>
      <c r="L145" s="87" t="b">
        <v>0</v>
      </c>
    </row>
    <row r="146" spans="1:12" x14ac:dyDescent="0.25">
      <c r="A146" s="84" t="s">
        <v>275</v>
      </c>
      <c r="B146" s="87" t="s">
        <v>1737</v>
      </c>
      <c r="C146" s="87">
        <v>3</v>
      </c>
      <c r="D146" s="111">
        <v>2.651734505811017E-3</v>
      </c>
      <c r="E146" s="111">
        <v>1.8798882187004786</v>
      </c>
      <c r="F146" s="87" t="s">
        <v>1952</v>
      </c>
      <c r="G146" s="87" t="b">
        <v>0</v>
      </c>
      <c r="H146" s="87" t="b">
        <v>0</v>
      </c>
      <c r="I146" s="87" t="b">
        <v>0</v>
      </c>
      <c r="J146" s="87" t="b">
        <v>0</v>
      </c>
      <c r="K146" s="87" t="b">
        <v>0</v>
      </c>
      <c r="L146" s="87" t="b">
        <v>0</v>
      </c>
    </row>
    <row r="147" spans="1:12" x14ac:dyDescent="0.25">
      <c r="A147" s="84" t="s">
        <v>1642</v>
      </c>
      <c r="B147" s="87" t="s">
        <v>1661</v>
      </c>
      <c r="C147" s="87">
        <v>3</v>
      </c>
      <c r="D147" s="111">
        <v>2.651734505811017E-3</v>
      </c>
      <c r="E147" s="111">
        <v>1.4571246263034088</v>
      </c>
      <c r="F147" s="87" t="s">
        <v>1952</v>
      </c>
      <c r="G147" s="87" t="b">
        <v>0</v>
      </c>
      <c r="H147" s="87" t="b">
        <v>0</v>
      </c>
      <c r="I147" s="87" t="b">
        <v>0</v>
      </c>
      <c r="J147" s="87" t="b">
        <v>0</v>
      </c>
      <c r="K147" s="87" t="b">
        <v>0</v>
      </c>
      <c r="L147" s="87" t="b">
        <v>0</v>
      </c>
    </row>
    <row r="148" spans="1:12" x14ac:dyDescent="0.25">
      <c r="A148" s="84" t="s">
        <v>1723</v>
      </c>
      <c r="B148" s="87" t="s">
        <v>1692</v>
      </c>
      <c r="C148" s="87">
        <v>3</v>
      </c>
      <c r="D148" s="111">
        <v>2.651734505811017E-3</v>
      </c>
      <c r="E148" s="111">
        <v>2.2352758766870524</v>
      </c>
      <c r="F148" s="87" t="s">
        <v>1952</v>
      </c>
      <c r="G148" s="87" t="b">
        <v>0</v>
      </c>
      <c r="H148" s="87" t="b">
        <v>0</v>
      </c>
      <c r="I148" s="87" t="b">
        <v>0</v>
      </c>
      <c r="J148" s="87" t="b">
        <v>0</v>
      </c>
      <c r="K148" s="87" t="b">
        <v>0</v>
      </c>
      <c r="L148" s="87" t="b">
        <v>0</v>
      </c>
    </row>
    <row r="149" spans="1:12" x14ac:dyDescent="0.25">
      <c r="A149" s="84" t="s">
        <v>1643</v>
      </c>
      <c r="B149" s="87" t="s">
        <v>1771</v>
      </c>
      <c r="C149" s="87">
        <v>3</v>
      </c>
      <c r="D149" s="111">
        <v>2.651734505811017E-3</v>
      </c>
      <c r="E149" s="111">
        <v>1.9565222757342235</v>
      </c>
      <c r="F149" s="87" t="s">
        <v>1952</v>
      </c>
      <c r="G149" s="87" t="b">
        <v>0</v>
      </c>
      <c r="H149" s="87" t="b">
        <v>0</v>
      </c>
      <c r="I149" s="87" t="b">
        <v>0</v>
      </c>
      <c r="J149" s="87" t="b">
        <v>0</v>
      </c>
      <c r="K149" s="87" t="b">
        <v>0</v>
      </c>
      <c r="L149" s="87" t="b">
        <v>0</v>
      </c>
    </row>
    <row r="150" spans="1:12" x14ac:dyDescent="0.25">
      <c r="A150" s="84" t="s">
        <v>1805</v>
      </c>
      <c r="B150" s="87" t="s">
        <v>1806</v>
      </c>
      <c r="C150" s="87">
        <v>3</v>
      </c>
      <c r="D150" s="111">
        <v>2.651734505811017E-3</v>
      </c>
      <c r="E150" s="111">
        <v>2.7581546219673898</v>
      </c>
      <c r="F150" s="87" t="s">
        <v>1952</v>
      </c>
      <c r="G150" s="87" t="b">
        <v>0</v>
      </c>
      <c r="H150" s="87" t="b">
        <v>0</v>
      </c>
      <c r="I150" s="87" t="b">
        <v>0</v>
      </c>
      <c r="J150" s="87" t="b">
        <v>0</v>
      </c>
      <c r="K150" s="87" t="b">
        <v>0</v>
      </c>
      <c r="L150" s="87" t="b">
        <v>0</v>
      </c>
    </row>
    <row r="151" spans="1:12" x14ac:dyDescent="0.25">
      <c r="A151" s="84" t="s">
        <v>1738</v>
      </c>
      <c r="B151" s="87" t="s">
        <v>1705</v>
      </c>
      <c r="C151" s="87">
        <v>3</v>
      </c>
      <c r="D151" s="111">
        <v>2.651734505811017E-3</v>
      </c>
      <c r="E151" s="111">
        <v>2.4113671357427338</v>
      </c>
      <c r="F151" s="87" t="s">
        <v>1952</v>
      </c>
      <c r="G151" s="87" t="b">
        <v>0</v>
      </c>
      <c r="H151" s="87" t="b">
        <v>0</v>
      </c>
      <c r="I151" s="87" t="b">
        <v>0</v>
      </c>
      <c r="J151" s="87" t="b">
        <v>0</v>
      </c>
      <c r="K151" s="87" t="b">
        <v>0</v>
      </c>
      <c r="L151" s="87" t="b">
        <v>0</v>
      </c>
    </row>
    <row r="152" spans="1:12" x14ac:dyDescent="0.25">
      <c r="A152" s="84" t="s">
        <v>1774</v>
      </c>
      <c r="B152" s="87" t="s">
        <v>268</v>
      </c>
      <c r="C152" s="87">
        <v>3</v>
      </c>
      <c r="D152" s="111">
        <v>2.651734505811017E-3</v>
      </c>
      <c r="E152" s="111">
        <v>1.502882116864084</v>
      </c>
      <c r="F152" s="87" t="s">
        <v>1952</v>
      </c>
      <c r="G152" s="87" t="b">
        <v>0</v>
      </c>
      <c r="H152" s="87" t="b">
        <v>0</v>
      </c>
      <c r="I152" s="87" t="b">
        <v>0</v>
      </c>
      <c r="J152" s="87" t="b">
        <v>0</v>
      </c>
      <c r="K152" s="87" t="b">
        <v>0</v>
      </c>
      <c r="L152" s="87" t="b">
        <v>0</v>
      </c>
    </row>
    <row r="153" spans="1:12" x14ac:dyDescent="0.25">
      <c r="A153" s="84" t="s">
        <v>1768</v>
      </c>
      <c r="B153" s="87" t="s">
        <v>1688</v>
      </c>
      <c r="C153" s="87">
        <v>3</v>
      </c>
      <c r="D153" s="111">
        <v>2.651734505811017E-3</v>
      </c>
      <c r="E153" s="111">
        <v>2.5363058723510337</v>
      </c>
      <c r="F153" s="87" t="s">
        <v>1952</v>
      </c>
      <c r="G153" s="87" t="b">
        <v>0</v>
      </c>
      <c r="H153" s="87" t="b">
        <v>0</v>
      </c>
      <c r="I153" s="87" t="b">
        <v>0</v>
      </c>
      <c r="J153" s="87" t="b">
        <v>0</v>
      </c>
      <c r="K153" s="87" t="b">
        <v>0</v>
      </c>
      <c r="L153" s="87" t="b">
        <v>0</v>
      </c>
    </row>
    <row r="154" spans="1:12" x14ac:dyDescent="0.25">
      <c r="A154" s="84" t="s">
        <v>1765</v>
      </c>
      <c r="B154" s="87" t="s">
        <v>1647</v>
      </c>
      <c r="C154" s="87">
        <v>3</v>
      </c>
      <c r="D154" s="111">
        <v>2.651734505811017E-3</v>
      </c>
      <c r="E154" s="111">
        <v>2.1213325243802155</v>
      </c>
      <c r="F154" s="87" t="s">
        <v>1952</v>
      </c>
      <c r="G154" s="87" t="b">
        <v>0</v>
      </c>
      <c r="H154" s="87" t="b">
        <v>0</v>
      </c>
      <c r="I154" s="87" t="b">
        <v>0</v>
      </c>
      <c r="J154" s="87" t="b">
        <v>0</v>
      </c>
      <c r="K154" s="87" t="b">
        <v>0</v>
      </c>
      <c r="L154" s="87" t="b">
        <v>0</v>
      </c>
    </row>
    <row r="155" spans="1:12" x14ac:dyDescent="0.25">
      <c r="A155" s="84" t="s">
        <v>1810</v>
      </c>
      <c r="B155" s="87" t="s">
        <v>1797</v>
      </c>
      <c r="C155" s="87">
        <v>3</v>
      </c>
      <c r="D155" s="111">
        <v>2.651734505811017E-3</v>
      </c>
      <c r="E155" s="111">
        <v>2.7581546219673898</v>
      </c>
      <c r="F155" s="87" t="s">
        <v>1952</v>
      </c>
      <c r="G155" s="87" t="b">
        <v>0</v>
      </c>
      <c r="H155" s="87" t="b">
        <v>1</v>
      </c>
      <c r="I155" s="87" t="b">
        <v>0</v>
      </c>
      <c r="J155" s="87" t="b">
        <v>0</v>
      </c>
      <c r="K155" s="87" t="b">
        <v>0</v>
      </c>
      <c r="L155" s="87" t="b">
        <v>0</v>
      </c>
    </row>
    <row r="156" spans="1:12" x14ac:dyDescent="0.25">
      <c r="A156" s="84" t="s">
        <v>268</v>
      </c>
      <c r="B156" s="87" t="s">
        <v>261</v>
      </c>
      <c r="C156" s="87">
        <v>3</v>
      </c>
      <c r="D156" s="111">
        <v>2.651734505811017E-3</v>
      </c>
      <c r="E156" s="111">
        <v>1.1708178874601338</v>
      </c>
      <c r="F156" s="87" t="s">
        <v>1952</v>
      </c>
      <c r="G156" s="87" t="b">
        <v>0</v>
      </c>
      <c r="H156" s="87" t="b">
        <v>0</v>
      </c>
      <c r="I156" s="87" t="b">
        <v>0</v>
      </c>
      <c r="J156" s="87" t="b">
        <v>0</v>
      </c>
      <c r="K156" s="87" t="b">
        <v>0</v>
      </c>
      <c r="L156" s="87" t="b">
        <v>0</v>
      </c>
    </row>
    <row r="157" spans="1:12" x14ac:dyDescent="0.25">
      <c r="A157" s="84" t="s">
        <v>1641</v>
      </c>
      <c r="B157" s="87" t="s">
        <v>1695</v>
      </c>
      <c r="C157" s="87">
        <v>3</v>
      </c>
      <c r="D157" s="111">
        <v>2.651734505811017E-3</v>
      </c>
      <c r="E157" s="111">
        <v>1.6332158853590901</v>
      </c>
      <c r="F157" s="87" t="s">
        <v>1952</v>
      </c>
      <c r="G157" s="87" t="b">
        <v>1</v>
      </c>
      <c r="H157" s="87" t="b">
        <v>0</v>
      </c>
      <c r="I157" s="87" t="b">
        <v>0</v>
      </c>
      <c r="J157" s="87" t="b">
        <v>1</v>
      </c>
      <c r="K157" s="87" t="b">
        <v>0</v>
      </c>
      <c r="L157" s="87" t="b">
        <v>0</v>
      </c>
    </row>
    <row r="158" spans="1:12" x14ac:dyDescent="0.25">
      <c r="A158" s="84" t="s">
        <v>320</v>
      </c>
      <c r="B158" s="87" t="s">
        <v>268</v>
      </c>
      <c r="C158" s="87">
        <v>3</v>
      </c>
      <c r="D158" s="111">
        <v>2.651734505811017E-3</v>
      </c>
      <c r="E158" s="111">
        <v>1.502882116864084</v>
      </c>
      <c r="F158" s="87" t="s">
        <v>1952</v>
      </c>
      <c r="G158" s="87" t="b">
        <v>0</v>
      </c>
      <c r="H158" s="87" t="b">
        <v>0</v>
      </c>
      <c r="I158" s="87" t="b">
        <v>0</v>
      </c>
      <c r="J158" s="87" t="b">
        <v>0</v>
      </c>
      <c r="K158" s="87" t="b">
        <v>0</v>
      </c>
      <c r="L158" s="87" t="b">
        <v>0</v>
      </c>
    </row>
    <row r="159" spans="1:12" x14ac:dyDescent="0.25">
      <c r="A159" s="84" t="s">
        <v>1642</v>
      </c>
      <c r="B159" s="87" t="s">
        <v>1640</v>
      </c>
      <c r="C159" s="87">
        <v>3</v>
      </c>
      <c r="D159" s="111">
        <v>2.651734505811017E-3</v>
      </c>
      <c r="E159" s="111">
        <v>0.99639378777191567</v>
      </c>
      <c r="F159" s="87" t="s">
        <v>1952</v>
      </c>
      <c r="G159" s="87" t="b">
        <v>0</v>
      </c>
      <c r="H159" s="87" t="b">
        <v>0</v>
      </c>
      <c r="I159" s="87" t="b">
        <v>0</v>
      </c>
      <c r="J159" s="87" t="b">
        <v>0</v>
      </c>
      <c r="K159" s="87" t="b">
        <v>0</v>
      </c>
      <c r="L159" s="87" t="b">
        <v>0</v>
      </c>
    </row>
    <row r="160" spans="1:12" x14ac:dyDescent="0.25">
      <c r="A160" s="84" t="s">
        <v>1749</v>
      </c>
      <c r="B160" s="87" t="s">
        <v>1686</v>
      </c>
      <c r="C160" s="87">
        <v>3</v>
      </c>
      <c r="D160" s="111">
        <v>2.651734505811017E-3</v>
      </c>
      <c r="E160" s="111">
        <v>2.3321858896951086</v>
      </c>
      <c r="F160" s="87" t="s">
        <v>1952</v>
      </c>
      <c r="G160" s="87" t="b">
        <v>0</v>
      </c>
      <c r="H160" s="87" t="b">
        <v>0</v>
      </c>
      <c r="I160" s="87" t="b">
        <v>0</v>
      </c>
      <c r="J160" s="87" t="b">
        <v>0</v>
      </c>
      <c r="K160" s="87" t="b">
        <v>0</v>
      </c>
      <c r="L160" s="87" t="b">
        <v>0</v>
      </c>
    </row>
    <row r="161" spans="1:12" x14ac:dyDescent="0.25">
      <c r="A161" s="84" t="s">
        <v>1705</v>
      </c>
      <c r="B161" s="87" t="s">
        <v>1778</v>
      </c>
      <c r="C161" s="87">
        <v>3</v>
      </c>
      <c r="D161" s="111">
        <v>2.651734505811017E-3</v>
      </c>
      <c r="E161" s="111">
        <v>2.7581546219673898</v>
      </c>
      <c r="F161" s="87" t="s">
        <v>1952</v>
      </c>
      <c r="G161" s="87" t="b">
        <v>0</v>
      </c>
      <c r="H161" s="87" t="b">
        <v>0</v>
      </c>
      <c r="I161" s="87" t="b">
        <v>0</v>
      </c>
      <c r="J161" s="87" t="b">
        <v>0</v>
      </c>
      <c r="K161" s="87" t="b">
        <v>0</v>
      </c>
      <c r="L161" s="87" t="b">
        <v>0</v>
      </c>
    </row>
    <row r="162" spans="1:12" x14ac:dyDescent="0.25">
      <c r="A162" s="84" t="s">
        <v>1640</v>
      </c>
      <c r="B162" s="87" t="s">
        <v>1652</v>
      </c>
      <c r="C162" s="87">
        <v>3</v>
      </c>
      <c r="D162" s="111">
        <v>2.651734505811017E-3</v>
      </c>
      <c r="E162" s="111">
        <v>1.2560310982776719</v>
      </c>
      <c r="F162" s="87" t="s">
        <v>1952</v>
      </c>
      <c r="G162" s="87" t="b">
        <v>0</v>
      </c>
      <c r="H162" s="87" t="b">
        <v>0</v>
      </c>
      <c r="I162" s="87" t="b">
        <v>0</v>
      </c>
      <c r="J162" s="87" t="b">
        <v>0</v>
      </c>
      <c r="K162" s="87" t="b">
        <v>0</v>
      </c>
      <c r="L162" s="87" t="b">
        <v>0</v>
      </c>
    </row>
    <row r="163" spans="1:12" x14ac:dyDescent="0.25">
      <c r="A163" s="84" t="s">
        <v>1797</v>
      </c>
      <c r="B163" s="87" t="s">
        <v>1801</v>
      </c>
      <c r="C163" s="87">
        <v>3</v>
      </c>
      <c r="D163" s="111">
        <v>2.651734505811017E-3</v>
      </c>
      <c r="E163" s="111">
        <v>2.7581546219673898</v>
      </c>
      <c r="F163" s="87" t="s">
        <v>1952</v>
      </c>
      <c r="G163" s="87" t="b">
        <v>0</v>
      </c>
      <c r="H163" s="87" t="b">
        <v>0</v>
      </c>
      <c r="I163" s="87" t="b">
        <v>0</v>
      </c>
      <c r="J163" s="87" t="b">
        <v>0</v>
      </c>
      <c r="K163" s="87" t="b">
        <v>0</v>
      </c>
      <c r="L163" s="87" t="b">
        <v>0</v>
      </c>
    </row>
    <row r="164" spans="1:12" x14ac:dyDescent="0.25">
      <c r="A164" s="84" t="s">
        <v>1709</v>
      </c>
      <c r="B164" s="87" t="s">
        <v>1722</v>
      </c>
      <c r="C164" s="87">
        <v>3</v>
      </c>
      <c r="D164" s="111">
        <v>2.651734505811017E-3</v>
      </c>
      <c r="E164" s="111">
        <v>2.3144571227346775</v>
      </c>
      <c r="F164" s="87" t="s">
        <v>1952</v>
      </c>
      <c r="G164" s="87" t="b">
        <v>0</v>
      </c>
      <c r="H164" s="87" t="b">
        <v>0</v>
      </c>
      <c r="I164" s="87" t="b">
        <v>0</v>
      </c>
      <c r="J164" s="87" t="b">
        <v>0</v>
      </c>
      <c r="K164" s="87" t="b">
        <v>0</v>
      </c>
      <c r="L164" s="87" t="b">
        <v>0</v>
      </c>
    </row>
    <row r="165" spans="1:12" x14ac:dyDescent="0.25">
      <c r="A165" s="84" t="s">
        <v>1888</v>
      </c>
      <c r="B165" s="87" t="s">
        <v>1674</v>
      </c>
      <c r="C165" s="87">
        <v>2</v>
      </c>
      <c r="D165" s="111">
        <v>1.9583979595619782E-3</v>
      </c>
      <c r="E165" s="111">
        <v>2.3901778366727955</v>
      </c>
      <c r="F165" s="87" t="s">
        <v>1952</v>
      </c>
      <c r="G165" s="87" t="b">
        <v>0</v>
      </c>
      <c r="H165" s="87" t="b">
        <v>0</v>
      </c>
      <c r="I165" s="87" t="b">
        <v>0</v>
      </c>
      <c r="J165" s="87" t="b">
        <v>0</v>
      </c>
      <c r="K165" s="87" t="b">
        <v>0</v>
      </c>
      <c r="L165" s="87" t="b">
        <v>0</v>
      </c>
    </row>
    <row r="166" spans="1:12" x14ac:dyDescent="0.25">
      <c r="A166" s="84" t="s">
        <v>1799</v>
      </c>
      <c r="B166" s="87" t="s">
        <v>1816</v>
      </c>
      <c r="C166" s="87">
        <v>2</v>
      </c>
      <c r="D166" s="111">
        <v>1.9583979595619782E-3</v>
      </c>
      <c r="E166" s="111">
        <v>2.7581546219673898</v>
      </c>
      <c r="F166" s="87" t="s">
        <v>1952</v>
      </c>
      <c r="G166" s="87" t="b">
        <v>0</v>
      </c>
      <c r="H166" s="87" t="b">
        <v>0</v>
      </c>
      <c r="I166" s="87" t="b">
        <v>0</v>
      </c>
      <c r="J166" s="87" t="b">
        <v>1</v>
      </c>
      <c r="K166" s="87" t="b">
        <v>0</v>
      </c>
      <c r="L166" s="87" t="b">
        <v>0</v>
      </c>
    </row>
    <row r="167" spans="1:12" x14ac:dyDescent="0.25">
      <c r="A167" s="84" t="s">
        <v>1792</v>
      </c>
      <c r="B167" s="87" t="s">
        <v>1912</v>
      </c>
      <c r="C167" s="87">
        <v>2</v>
      </c>
      <c r="D167" s="111">
        <v>1.9583979595619782E-3</v>
      </c>
      <c r="E167" s="111">
        <v>2.7581546219673898</v>
      </c>
      <c r="F167" s="87" t="s">
        <v>1952</v>
      </c>
      <c r="G167" s="87" t="b">
        <v>1</v>
      </c>
      <c r="H167" s="87" t="b">
        <v>0</v>
      </c>
      <c r="I167" s="87" t="b">
        <v>0</v>
      </c>
      <c r="J167" s="87" t="b">
        <v>0</v>
      </c>
      <c r="K167" s="87" t="b">
        <v>0</v>
      </c>
      <c r="L167" s="87" t="b">
        <v>0</v>
      </c>
    </row>
    <row r="168" spans="1:12" x14ac:dyDescent="0.25">
      <c r="A168" s="84" t="s">
        <v>1851</v>
      </c>
      <c r="B168" s="87" t="s">
        <v>1909</v>
      </c>
      <c r="C168" s="87">
        <v>2</v>
      </c>
      <c r="D168" s="111">
        <v>1.9583979595619782E-3</v>
      </c>
      <c r="E168" s="111">
        <v>2.9342458810230712</v>
      </c>
      <c r="F168" s="87" t="s">
        <v>1952</v>
      </c>
      <c r="G168" s="87" t="b">
        <v>0</v>
      </c>
      <c r="H168" s="87" t="b">
        <v>0</v>
      </c>
      <c r="I168" s="87" t="b">
        <v>0</v>
      </c>
      <c r="J168" s="87" t="b">
        <v>0</v>
      </c>
      <c r="K168" s="87" t="b">
        <v>0</v>
      </c>
      <c r="L168" s="87" t="b">
        <v>0</v>
      </c>
    </row>
    <row r="169" spans="1:12" x14ac:dyDescent="0.25">
      <c r="A169" s="84" t="s">
        <v>1712</v>
      </c>
      <c r="B169" s="87" t="s">
        <v>1895</v>
      </c>
      <c r="C169" s="87">
        <v>2</v>
      </c>
      <c r="D169" s="111">
        <v>1.9583979595619782E-3</v>
      </c>
      <c r="E169" s="111">
        <v>2.5363058723510337</v>
      </c>
      <c r="F169" s="87" t="s">
        <v>1952</v>
      </c>
      <c r="G169" s="87" t="b">
        <v>0</v>
      </c>
      <c r="H169" s="87" t="b">
        <v>1</v>
      </c>
      <c r="I169" s="87" t="b">
        <v>0</v>
      </c>
      <c r="J169" s="87" t="b">
        <v>0</v>
      </c>
      <c r="K169" s="87" t="b">
        <v>0</v>
      </c>
      <c r="L169" s="87" t="b">
        <v>0</v>
      </c>
    </row>
    <row r="170" spans="1:12" x14ac:dyDescent="0.25">
      <c r="A170" s="84" t="s">
        <v>1826</v>
      </c>
      <c r="B170" s="87" t="s">
        <v>1665</v>
      </c>
      <c r="C170" s="87">
        <v>2</v>
      </c>
      <c r="D170" s="111">
        <v>1.9583979595619782E-3</v>
      </c>
      <c r="E170" s="111">
        <v>2.3321858896951091</v>
      </c>
      <c r="F170" s="87" t="s">
        <v>1952</v>
      </c>
      <c r="G170" s="87" t="b">
        <v>0</v>
      </c>
      <c r="H170" s="87" t="b">
        <v>0</v>
      </c>
      <c r="I170" s="87" t="b">
        <v>0</v>
      </c>
      <c r="J170" s="87" t="b">
        <v>0</v>
      </c>
      <c r="K170" s="87" t="b">
        <v>0</v>
      </c>
      <c r="L170" s="87" t="b">
        <v>0</v>
      </c>
    </row>
    <row r="171" spans="1:12" x14ac:dyDescent="0.25">
      <c r="A171" s="84" t="s">
        <v>1794</v>
      </c>
      <c r="B171" s="87" t="s">
        <v>1854</v>
      </c>
      <c r="C171" s="87">
        <v>2</v>
      </c>
      <c r="D171" s="111">
        <v>1.9583979595619782E-3</v>
      </c>
      <c r="E171" s="111">
        <v>2.7581546219673898</v>
      </c>
      <c r="F171" s="87" t="s">
        <v>1952</v>
      </c>
      <c r="G171" s="87" t="b">
        <v>0</v>
      </c>
      <c r="H171" s="87" t="b">
        <v>0</v>
      </c>
      <c r="I171" s="87" t="b">
        <v>0</v>
      </c>
      <c r="J171" s="87" t="b">
        <v>0</v>
      </c>
      <c r="K171" s="87" t="b">
        <v>0</v>
      </c>
      <c r="L171" s="87" t="b">
        <v>0</v>
      </c>
    </row>
    <row r="172" spans="1:12" x14ac:dyDescent="0.25">
      <c r="A172" s="84" t="s">
        <v>1674</v>
      </c>
      <c r="B172" s="87" t="s">
        <v>1907</v>
      </c>
      <c r="C172" s="87">
        <v>2</v>
      </c>
      <c r="D172" s="111">
        <v>1.9583979595619782E-3</v>
      </c>
      <c r="E172" s="111">
        <v>2.3901778366727955</v>
      </c>
      <c r="F172" s="87" t="s">
        <v>1952</v>
      </c>
      <c r="G172" s="87" t="b">
        <v>0</v>
      </c>
      <c r="H172" s="87" t="b">
        <v>0</v>
      </c>
      <c r="I172" s="87" t="b">
        <v>0</v>
      </c>
      <c r="J172" s="87" t="b">
        <v>0</v>
      </c>
      <c r="K172" s="87" t="b">
        <v>0</v>
      </c>
      <c r="L172" s="87" t="b">
        <v>0</v>
      </c>
    </row>
    <row r="173" spans="1:12" x14ac:dyDescent="0.25">
      <c r="A173" s="84" t="s">
        <v>1896</v>
      </c>
      <c r="B173" s="87" t="s">
        <v>1936</v>
      </c>
      <c r="C173" s="87">
        <v>2</v>
      </c>
      <c r="D173" s="111">
        <v>1.9583979595619782E-3</v>
      </c>
      <c r="E173" s="111">
        <v>2.9342458810230712</v>
      </c>
      <c r="F173" s="87" t="s">
        <v>1952</v>
      </c>
      <c r="G173" s="87" t="b">
        <v>0</v>
      </c>
      <c r="H173" s="87" t="b">
        <v>0</v>
      </c>
      <c r="I173" s="87" t="b">
        <v>0</v>
      </c>
      <c r="J173" s="87" t="b">
        <v>0</v>
      </c>
      <c r="K173" s="87" t="b">
        <v>0</v>
      </c>
      <c r="L173" s="87" t="b">
        <v>0</v>
      </c>
    </row>
    <row r="174" spans="1:12" x14ac:dyDescent="0.25">
      <c r="A174" s="84" t="s">
        <v>1783</v>
      </c>
      <c r="B174" s="87" t="s">
        <v>1827</v>
      </c>
      <c r="C174" s="87">
        <v>2</v>
      </c>
      <c r="D174" s="111">
        <v>1.9583979595619782E-3</v>
      </c>
      <c r="E174" s="111">
        <v>2.7581546219673898</v>
      </c>
      <c r="F174" s="87" t="s">
        <v>1952</v>
      </c>
      <c r="G174" s="87" t="b">
        <v>0</v>
      </c>
      <c r="H174" s="87" t="b">
        <v>0</v>
      </c>
      <c r="I174" s="87" t="b">
        <v>0</v>
      </c>
      <c r="J174" s="87" t="b">
        <v>0</v>
      </c>
      <c r="K174" s="87" t="b">
        <v>0</v>
      </c>
      <c r="L174" s="87" t="b">
        <v>0</v>
      </c>
    </row>
    <row r="175" spans="1:12" x14ac:dyDescent="0.25">
      <c r="A175" s="84" t="s">
        <v>1665</v>
      </c>
      <c r="B175" s="87" t="s">
        <v>243</v>
      </c>
      <c r="C175" s="87">
        <v>2</v>
      </c>
      <c r="D175" s="111">
        <v>1.9583979595619782E-3</v>
      </c>
      <c r="E175" s="111">
        <v>2.1560946306394277</v>
      </c>
      <c r="F175" s="87" t="s">
        <v>1952</v>
      </c>
      <c r="G175" s="87" t="b">
        <v>0</v>
      </c>
      <c r="H175" s="87" t="b">
        <v>0</v>
      </c>
      <c r="I175" s="87" t="b">
        <v>0</v>
      </c>
      <c r="J175" s="87" t="b">
        <v>0</v>
      </c>
      <c r="K175" s="87" t="b">
        <v>0</v>
      </c>
      <c r="L175" s="87" t="b">
        <v>0</v>
      </c>
    </row>
    <row r="176" spans="1:12" x14ac:dyDescent="0.25">
      <c r="A176" s="84" t="s">
        <v>301</v>
      </c>
      <c r="B176" s="87" t="s">
        <v>356</v>
      </c>
      <c r="C176" s="87">
        <v>2</v>
      </c>
      <c r="D176" s="111">
        <v>1.9583979595619782E-3</v>
      </c>
      <c r="E176" s="111">
        <v>2.7581546219673898</v>
      </c>
      <c r="F176" s="87" t="s">
        <v>1952</v>
      </c>
      <c r="G176" s="87" t="b">
        <v>0</v>
      </c>
      <c r="H176" s="87" t="b">
        <v>0</v>
      </c>
      <c r="I176" s="87" t="b">
        <v>0</v>
      </c>
      <c r="J176" s="87" t="b">
        <v>0</v>
      </c>
      <c r="K176" s="87" t="b">
        <v>0</v>
      </c>
      <c r="L176" s="87" t="b">
        <v>0</v>
      </c>
    </row>
    <row r="177" spans="1:12" x14ac:dyDescent="0.25">
      <c r="A177" s="84" t="s">
        <v>1755</v>
      </c>
      <c r="B177" s="87" t="s">
        <v>1862</v>
      </c>
      <c r="C177" s="87">
        <v>2</v>
      </c>
      <c r="D177" s="111">
        <v>1.9583979595619782E-3</v>
      </c>
      <c r="E177" s="111">
        <v>2.6332158853590899</v>
      </c>
      <c r="F177" s="87" t="s">
        <v>1952</v>
      </c>
      <c r="G177" s="87" t="b">
        <v>0</v>
      </c>
      <c r="H177" s="87" t="b">
        <v>0</v>
      </c>
      <c r="I177" s="87" t="b">
        <v>0</v>
      </c>
      <c r="J177" s="87" t="b">
        <v>0</v>
      </c>
      <c r="K177" s="87" t="b">
        <v>0</v>
      </c>
      <c r="L177" s="87" t="b">
        <v>0</v>
      </c>
    </row>
    <row r="178" spans="1:12" x14ac:dyDescent="0.25">
      <c r="A178" s="84" t="s">
        <v>257</v>
      </c>
      <c r="B178" s="87" t="s">
        <v>1768</v>
      </c>
      <c r="C178" s="87">
        <v>2</v>
      </c>
      <c r="D178" s="111">
        <v>1.9583979595619782E-3</v>
      </c>
      <c r="E178" s="111">
        <v>2.9342458810230712</v>
      </c>
      <c r="F178" s="87" t="s">
        <v>1952</v>
      </c>
      <c r="G178" s="87" t="b">
        <v>0</v>
      </c>
      <c r="H178" s="87" t="b">
        <v>0</v>
      </c>
      <c r="I178" s="87" t="b">
        <v>0</v>
      </c>
      <c r="J178" s="87" t="b">
        <v>0</v>
      </c>
      <c r="K178" s="87" t="b">
        <v>0</v>
      </c>
      <c r="L178" s="87" t="b">
        <v>0</v>
      </c>
    </row>
    <row r="179" spans="1:12" x14ac:dyDescent="0.25">
      <c r="A179" s="84" t="s">
        <v>1905</v>
      </c>
      <c r="B179" s="87" t="s">
        <v>1735</v>
      </c>
      <c r="C179" s="87">
        <v>2</v>
      </c>
      <c r="D179" s="111">
        <v>1.9583979595619782E-3</v>
      </c>
      <c r="E179" s="111">
        <v>2.6332158853590899</v>
      </c>
      <c r="F179" s="87" t="s">
        <v>1952</v>
      </c>
      <c r="G179" s="87" t="b">
        <v>0</v>
      </c>
      <c r="H179" s="87" t="b">
        <v>0</v>
      </c>
      <c r="I179" s="87" t="b">
        <v>0</v>
      </c>
      <c r="J179" s="87" t="b">
        <v>0</v>
      </c>
      <c r="K179" s="87" t="b">
        <v>0</v>
      </c>
      <c r="L179" s="87" t="b">
        <v>0</v>
      </c>
    </row>
    <row r="180" spans="1:12" x14ac:dyDescent="0.25">
      <c r="A180" s="84" t="s">
        <v>1854</v>
      </c>
      <c r="B180" s="87" t="s">
        <v>1874</v>
      </c>
      <c r="C180" s="87">
        <v>2</v>
      </c>
      <c r="D180" s="111">
        <v>1.9583979595619782E-3</v>
      </c>
      <c r="E180" s="111">
        <v>2.9342458810230712</v>
      </c>
      <c r="F180" s="87" t="s">
        <v>1952</v>
      </c>
      <c r="G180" s="87" t="b">
        <v>0</v>
      </c>
      <c r="H180" s="87" t="b">
        <v>0</v>
      </c>
      <c r="I180" s="87" t="b">
        <v>0</v>
      </c>
      <c r="J180" s="87" t="b">
        <v>0</v>
      </c>
      <c r="K180" s="87" t="b">
        <v>0</v>
      </c>
      <c r="L180" s="87" t="b">
        <v>0</v>
      </c>
    </row>
    <row r="181" spans="1:12" x14ac:dyDescent="0.25">
      <c r="A181" s="84" t="s">
        <v>1906</v>
      </c>
      <c r="B181" s="87" t="s">
        <v>1689</v>
      </c>
      <c r="C181" s="87">
        <v>2</v>
      </c>
      <c r="D181" s="111">
        <v>1.9583979595619782E-3</v>
      </c>
      <c r="E181" s="111">
        <v>2.457124626303409</v>
      </c>
      <c r="F181" s="87" t="s">
        <v>1952</v>
      </c>
      <c r="G181" s="87" t="b">
        <v>0</v>
      </c>
      <c r="H181" s="87" t="b">
        <v>0</v>
      </c>
      <c r="I181" s="87" t="b">
        <v>0</v>
      </c>
      <c r="J181" s="87" t="b">
        <v>0</v>
      </c>
      <c r="K181" s="87" t="b">
        <v>0</v>
      </c>
      <c r="L181" s="87" t="b">
        <v>0</v>
      </c>
    </row>
    <row r="182" spans="1:12" x14ac:dyDescent="0.25">
      <c r="A182" s="84" t="s">
        <v>1924</v>
      </c>
      <c r="B182" s="87" t="s">
        <v>1807</v>
      </c>
      <c r="C182" s="87">
        <v>2</v>
      </c>
      <c r="D182" s="111">
        <v>1.9583979595619782E-3</v>
      </c>
      <c r="E182" s="111">
        <v>2.7581546219673898</v>
      </c>
      <c r="F182" s="87" t="s">
        <v>1952</v>
      </c>
      <c r="G182" s="87" t="b">
        <v>0</v>
      </c>
      <c r="H182" s="87" t="b">
        <v>0</v>
      </c>
      <c r="I182" s="87" t="b">
        <v>0</v>
      </c>
      <c r="J182" s="87" t="b">
        <v>0</v>
      </c>
      <c r="K182" s="87" t="b">
        <v>0</v>
      </c>
      <c r="L182" s="87" t="b">
        <v>0</v>
      </c>
    </row>
    <row r="183" spans="1:12" x14ac:dyDescent="0.25">
      <c r="A183" s="84" t="s">
        <v>1877</v>
      </c>
      <c r="B183" s="87" t="s">
        <v>1817</v>
      </c>
      <c r="C183" s="87">
        <v>2</v>
      </c>
      <c r="D183" s="111">
        <v>1.9583979595619782E-3</v>
      </c>
      <c r="E183" s="111">
        <v>2.9342458810230712</v>
      </c>
      <c r="F183" s="87" t="s">
        <v>1952</v>
      </c>
      <c r="G183" s="87" t="b">
        <v>0</v>
      </c>
      <c r="H183" s="87" t="b">
        <v>0</v>
      </c>
      <c r="I183" s="87" t="b">
        <v>0</v>
      </c>
      <c r="J183" s="87" t="b">
        <v>0</v>
      </c>
      <c r="K183" s="87" t="b">
        <v>0</v>
      </c>
      <c r="L183" s="87" t="b">
        <v>0</v>
      </c>
    </row>
    <row r="184" spans="1:12" x14ac:dyDescent="0.25">
      <c r="A184" s="84" t="s">
        <v>1739</v>
      </c>
      <c r="B184" s="87" t="s">
        <v>1773</v>
      </c>
      <c r="C184" s="87">
        <v>2</v>
      </c>
      <c r="D184" s="111">
        <v>1.9583979595619782E-3</v>
      </c>
      <c r="E184" s="111">
        <v>2.457124626303409</v>
      </c>
      <c r="F184" s="87" t="s">
        <v>1952</v>
      </c>
      <c r="G184" s="87" t="b">
        <v>0</v>
      </c>
      <c r="H184" s="87" t="b">
        <v>0</v>
      </c>
      <c r="I184" s="87" t="b">
        <v>0</v>
      </c>
      <c r="J184" s="87" t="b">
        <v>0</v>
      </c>
      <c r="K184" s="87" t="b">
        <v>0</v>
      </c>
      <c r="L184" s="87" t="b">
        <v>0</v>
      </c>
    </row>
    <row r="185" spans="1:12" x14ac:dyDescent="0.25">
      <c r="A185" s="84" t="s">
        <v>1890</v>
      </c>
      <c r="B185" s="87" t="s">
        <v>1700</v>
      </c>
      <c r="C185" s="87">
        <v>2</v>
      </c>
      <c r="D185" s="111">
        <v>1.9583979595619782E-3</v>
      </c>
      <c r="E185" s="111">
        <v>2.5363058723510337</v>
      </c>
      <c r="F185" s="87" t="s">
        <v>1952</v>
      </c>
      <c r="G185" s="87" t="b">
        <v>0</v>
      </c>
      <c r="H185" s="87" t="b">
        <v>0</v>
      </c>
      <c r="I185" s="87" t="b">
        <v>0</v>
      </c>
      <c r="J185" s="87" t="b">
        <v>0</v>
      </c>
      <c r="K185" s="87" t="b">
        <v>0</v>
      </c>
      <c r="L185" s="87" t="b">
        <v>0</v>
      </c>
    </row>
    <row r="186" spans="1:12" x14ac:dyDescent="0.25">
      <c r="A186" s="84" t="s">
        <v>1657</v>
      </c>
      <c r="B186" s="87" t="s">
        <v>1811</v>
      </c>
      <c r="C186" s="87">
        <v>2</v>
      </c>
      <c r="D186" s="111">
        <v>1.9583979595619782E-3</v>
      </c>
      <c r="E186" s="111">
        <v>2.2810333672477277</v>
      </c>
      <c r="F186" s="87" t="s">
        <v>1952</v>
      </c>
      <c r="G186" s="87" t="b">
        <v>0</v>
      </c>
      <c r="H186" s="87" t="b">
        <v>0</v>
      </c>
      <c r="I186" s="87" t="b">
        <v>0</v>
      </c>
      <c r="J186" s="87" t="b">
        <v>0</v>
      </c>
      <c r="K186" s="87" t="b">
        <v>0</v>
      </c>
      <c r="L186" s="87" t="b">
        <v>0</v>
      </c>
    </row>
    <row r="187" spans="1:12" x14ac:dyDescent="0.25">
      <c r="A187" s="84" t="s">
        <v>275</v>
      </c>
      <c r="B187" s="87" t="s">
        <v>1883</v>
      </c>
      <c r="C187" s="87">
        <v>2</v>
      </c>
      <c r="D187" s="111">
        <v>1.9583979595619782E-3</v>
      </c>
      <c r="E187" s="111">
        <v>2.0048269553087783</v>
      </c>
      <c r="F187" s="87" t="s">
        <v>1952</v>
      </c>
      <c r="G187" s="87" t="b">
        <v>0</v>
      </c>
      <c r="H187" s="87" t="b">
        <v>0</v>
      </c>
      <c r="I187" s="87" t="b">
        <v>0</v>
      </c>
      <c r="J187" s="87" t="b">
        <v>0</v>
      </c>
      <c r="K187" s="87" t="b">
        <v>0</v>
      </c>
      <c r="L187" s="87" t="b">
        <v>0</v>
      </c>
    </row>
    <row r="188" spans="1:12" x14ac:dyDescent="0.25">
      <c r="A188" s="84" t="s">
        <v>1824</v>
      </c>
      <c r="B188" s="87" t="s">
        <v>1868</v>
      </c>
      <c r="C188" s="87">
        <v>2</v>
      </c>
      <c r="D188" s="111">
        <v>1.9583979595619782E-3</v>
      </c>
      <c r="E188" s="111">
        <v>2.9342458810230712</v>
      </c>
      <c r="F188" s="87" t="s">
        <v>1952</v>
      </c>
      <c r="G188" s="87" t="b">
        <v>0</v>
      </c>
      <c r="H188" s="87" t="b">
        <v>0</v>
      </c>
      <c r="I188" s="87" t="b">
        <v>0</v>
      </c>
      <c r="J188" s="87" t="b">
        <v>0</v>
      </c>
      <c r="K188" s="87" t="b">
        <v>0</v>
      </c>
      <c r="L188" s="87" t="b">
        <v>0</v>
      </c>
    </row>
    <row r="189" spans="1:12" x14ac:dyDescent="0.25">
      <c r="A189" s="84" t="s">
        <v>1874</v>
      </c>
      <c r="B189" s="87" t="s">
        <v>1899</v>
      </c>
      <c r="C189" s="87">
        <v>2</v>
      </c>
      <c r="D189" s="111">
        <v>1.9583979595619782E-3</v>
      </c>
      <c r="E189" s="111">
        <v>2.9342458810230712</v>
      </c>
      <c r="F189" s="87" t="s">
        <v>1952</v>
      </c>
      <c r="G189" s="87" t="b">
        <v>0</v>
      </c>
      <c r="H189" s="87" t="b">
        <v>0</v>
      </c>
      <c r="I189" s="87" t="b">
        <v>0</v>
      </c>
      <c r="J189" s="87" t="b">
        <v>0</v>
      </c>
      <c r="K189" s="87" t="b">
        <v>0</v>
      </c>
      <c r="L189" s="87" t="b">
        <v>0</v>
      </c>
    </row>
    <row r="190" spans="1:12" x14ac:dyDescent="0.25">
      <c r="A190" s="84" t="s">
        <v>1883</v>
      </c>
      <c r="B190" s="87" t="s">
        <v>1871</v>
      </c>
      <c r="C190" s="87">
        <v>2</v>
      </c>
      <c r="D190" s="111">
        <v>1.9583979595619782E-3</v>
      </c>
      <c r="E190" s="111">
        <v>2.9342458810230712</v>
      </c>
      <c r="F190" s="87" t="s">
        <v>1952</v>
      </c>
      <c r="G190" s="87" t="b">
        <v>0</v>
      </c>
      <c r="H190" s="87" t="b">
        <v>0</v>
      </c>
      <c r="I190" s="87" t="b">
        <v>0</v>
      </c>
      <c r="J190" s="87" t="b">
        <v>0</v>
      </c>
      <c r="K190" s="87" t="b">
        <v>0</v>
      </c>
      <c r="L190" s="87" t="b">
        <v>0</v>
      </c>
    </row>
    <row r="191" spans="1:12" x14ac:dyDescent="0.25">
      <c r="A191" s="84" t="s">
        <v>1876</v>
      </c>
      <c r="B191" s="87" t="s">
        <v>1897</v>
      </c>
      <c r="C191" s="87">
        <v>2</v>
      </c>
      <c r="D191" s="111">
        <v>1.9583979595619782E-3</v>
      </c>
      <c r="E191" s="111">
        <v>2.9342458810230712</v>
      </c>
      <c r="F191" s="87" t="s">
        <v>1952</v>
      </c>
      <c r="G191" s="87" t="b">
        <v>0</v>
      </c>
      <c r="H191" s="87" t="b">
        <v>0</v>
      </c>
      <c r="I191" s="87" t="b">
        <v>0</v>
      </c>
      <c r="J191" s="87" t="b">
        <v>0</v>
      </c>
      <c r="K191" s="87" t="b">
        <v>0</v>
      </c>
      <c r="L191" s="87" t="b">
        <v>0</v>
      </c>
    </row>
    <row r="192" spans="1:12" x14ac:dyDescent="0.25">
      <c r="A192" s="84" t="s">
        <v>1688</v>
      </c>
      <c r="B192" s="87" t="s">
        <v>1890</v>
      </c>
      <c r="C192" s="87">
        <v>2</v>
      </c>
      <c r="D192" s="111">
        <v>1.9583979595619782E-3</v>
      </c>
      <c r="E192" s="111">
        <v>2.457124626303409</v>
      </c>
      <c r="F192" s="87" t="s">
        <v>1952</v>
      </c>
      <c r="G192" s="87" t="b">
        <v>0</v>
      </c>
      <c r="H192" s="87" t="b">
        <v>0</v>
      </c>
      <c r="I192" s="87" t="b">
        <v>0</v>
      </c>
      <c r="J192" s="87" t="b">
        <v>0</v>
      </c>
      <c r="K192" s="87" t="b">
        <v>0</v>
      </c>
      <c r="L192" s="87" t="b">
        <v>0</v>
      </c>
    </row>
    <row r="193" spans="1:12" x14ac:dyDescent="0.25">
      <c r="A193" s="84" t="s">
        <v>1645</v>
      </c>
      <c r="B193" s="87" t="s">
        <v>1828</v>
      </c>
      <c r="C193" s="87">
        <v>2</v>
      </c>
      <c r="D193" s="111">
        <v>1.9583979595619782E-3</v>
      </c>
      <c r="E193" s="111">
        <v>1.9800033715837464</v>
      </c>
      <c r="F193" s="87" t="s">
        <v>1952</v>
      </c>
      <c r="G193" s="87" t="b">
        <v>0</v>
      </c>
      <c r="H193" s="87" t="b">
        <v>0</v>
      </c>
      <c r="I193" s="87" t="b">
        <v>0</v>
      </c>
      <c r="J193" s="87" t="b">
        <v>0</v>
      </c>
      <c r="K193" s="87" t="b">
        <v>0</v>
      </c>
      <c r="L193" s="87" t="b">
        <v>0</v>
      </c>
    </row>
    <row r="194" spans="1:12" x14ac:dyDescent="0.25">
      <c r="A194" s="84" t="s">
        <v>1785</v>
      </c>
      <c r="B194" s="87" t="s">
        <v>1739</v>
      </c>
      <c r="C194" s="87">
        <v>2</v>
      </c>
      <c r="D194" s="111">
        <v>1.9583979595619782E-3</v>
      </c>
      <c r="E194" s="111">
        <v>2.5820633629117089</v>
      </c>
      <c r="F194" s="87" t="s">
        <v>1952</v>
      </c>
      <c r="G194" s="87" t="b">
        <v>0</v>
      </c>
      <c r="H194" s="87" t="b">
        <v>0</v>
      </c>
      <c r="I194" s="87" t="b">
        <v>0</v>
      </c>
      <c r="J194" s="87" t="b">
        <v>0</v>
      </c>
      <c r="K194" s="87" t="b">
        <v>0</v>
      </c>
      <c r="L194" s="87" t="b">
        <v>0</v>
      </c>
    </row>
    <row r="195" spans="1:12" x14ac:dyDescent="0.25">
      <c r="A195" s="84" t="s">
        <v>1674</v>
      </c>
      <c r="B195" s="87" t="s">
        <v>1645</v>
      </c>
      <c r="C195" s="87">
        <v>2</v>
      </c>
      <c r="D195" s="111">
        <v>1.9583979595619782E-3</v>
      </c>
      <c r="E195" s="111">
        <v>1.4607589109585029</v>
      </c>
      <c r="F195" s="87" t="s">
        <v>1952</v>
      </c>
      <c r="G195" s="87" t="b">
        <v>0</v>
      </c>
      <c r="H195" s="87" t="b">
        <v>0</v>
      </c>
      <c r="I195" s="87" t="b">
        <v>0</v>
      </c>
      <c r="J195" s="87" t="b">
        <v>0</v>
      </c>
      <c r="K195" s="87" t="b">
        <v>0</v>
      </c>
      <c r="L195" s="87" t="b">
        <v>0</v>
      </c>
    </row>
    <row r="196" spans="1:12" x14ac:dyDescent="0.25">
      <c r="A196" s="84" t="s">
        <v>1671</v>
      </c>
      <c r="B196" s="87" t="s">
        <v>1696</v>
      </c>
      <c r="C196" s="87">
        <v>2</v>
      </c>
      <c r="D196" s="111">
        <v>1.9583979595619782E-3</v>
      </c>
      <c r="E196" s="111">
        <v>1.9130565819531331</v>
      </c>
      <c r="F196" s="87" t="s">
        <v>1952</v>
      </c>
      <c r="G196" s="87" t="b">
        <v>0</v>
      </c>
      <c r="H196" s="87" t="b">
        <v>0</v>
      </c>
      <c r="I196" s="87" t="b">
        <v>0</v>
      </c>
      <c r="J196" s="87" t="b">
        <v>0</v>
      </c>
      <c r="K196" s="87" t="b">
        <v>0</v>
      </c>
      <c r="L196" s="87" t="b">
        <v>0</v>
      </c>
    </row>
    <row r="197" spans="1:12" x14ac:dyDescent="0.25">
      <c r="A197" s="84" t="s">
        <v>331</v>
      </c>
      <c r="B197" s="87" t="s">
        <v>330</v>
      </c>
      <c r="C197" s="87">
        <v>2</v>
      </c>
      <c r="D197" s="111">
        <v>1.9583979595619782E-3</v>
      </c>
      <c r="E197" s="111">
        <v>2.9342458810230712</v>
      </c>
      <c r="F197" s="87" t="s">
        <v>1952</v>
      </c>
      <c r="G197" s="87" t="b">
        <v>0</v>
      </c>
      <c r="H197" s="87" t="b">
        <v>0</v>
      </c>
      <c r="I197" s="87" t="b">
        <v>0</v>
      </c>
      <c r="J197" s="87" t="b">
        <v>0</v>
      </c>
      <c r="K197" s="87" t="b">
        <v>0</v>
      </c>
      <c r="L197" s="87" t="b">
        <v>0</v>
      </c>
    </row>
    <row r="198" spans="1:12" x14ac:dyDescent="0.25">
      <c r="A198" s="84" t="s">
        <v>1895</v>
      </c>
      <c r="B198" s="87" t="s">
        <v>1666</v>
      </c>
      <c r="C198" s="87">
        <v>2</v>
      </c>
      <c r="D198" s="111">
        <v>1.9583979595619782E-3</v>
      </c>
      <c r="E198" s="111">
        <v>2.3901778366727955</v>
      </c>
      <c r="F198" s="87" t="s">
        <v>1952</v>
      </c>
      <c r="G198" s="87" t="b">
        <v>0</v>
      </c>
      <c r="H198" s="87" t="b">
        <v>0</v>
      </c>
      <c r="I198" s="87" t="b">
        <v>0</v>
      </c>
      <c r="J198" s="87" t="b">
        <v>1</v>
      </c>
      <c r="K198" s="87" t="b">
        <v>0</v>
      </c>
      <c r="L198" s="87" t="b">
        <v>0</v>
      </c>
    </row>
    <row r="199" spans="1:12" x14ac:dyDescent="0.25">
      <c r="A199" s="84" t="s">
        <v>1819</v>
      </c>
      <c r="B199" s="87" t="s">
        <v>1937</v>
      </c>
      <c r="C199" s="87">
        <v>2</v>
      </c>
      <c r="D199" s="111">
        <v>1.9583979595619782E-3</v>
      </c>
      <c r="E199" s="111">
        <v>2.9342458810230712</v>
      </c>
      <c r="F199" s="87" t="s">
        <v>1952</v>
      </c>
      <c r="G199" s="87" t="b">
        <v>0</v>
      </c>
      <c r="H199" s="87" t="b">
        <v>0</v>
      </c>
      <c r="I199" s="87" t="b">
        <v>0</v>
      </c>
      <c r="J199" s="87" t="b">
        <v>0</v>
      </c>
      <c r="K199" s="87" t="b">
        <v>0</v>
      </c>
      <c r="L199" s="87" t="b">
        <v>0</v>
      </c>
    </row>
    <row r="200" spans="1:12" x14ac:dyDescent="0.25">
      <c r="A200" s="84" t="s">
        <v>298</v>
      </c>
      <c r="B200" s="87" t="s">
        <v>357</v>
      </c>
      <c r="C200" s="87">
        <v>2</v>
      </c>
      <c r="D200" s="111">
        <v>1.9583979595619782E-3</v>
      </c>
      <c r="E200" s="111">
        <v>2.9342458810230712</v>
      </c>
      <c r="F200" s="87" t="s">
        <v>1952</v>
      </c>
      <c r="G200" s="87" t="b">
        <v>0</v>
      </c>
      <c r="H200" s="87" t="b">
        <v>0</v>
      </c>
      <c r="I200" s="87" t="b">
        <v>0</v>
      </c>
      <c r="J200" s="87" t="b">
        <v>0</v>
      </c>
      <c r="K200" s="87" t="b">
        <v>0</v>
      </c>
      <c r="L200" s="87" t="b">
        <v>0</v>
      </c>
    </row>
    <row r="201" spans="1:12" x14ac:dyDescent="0.25">
      <c r="A201" s="84" t="s">
        <v>1829</v>
      </c>
      <c r="B201" s="87" t="s">
        <v>309</v>
      </c>
      <c r="C201" s="87">
        <v>2</v>
      </c>
      <c r="D201" s="111">
        <v>1.9583979595619782E-3</v>
      </c>
      <c r="E201" s="111">
        <v>2.9342458810230712</v>
      </c>
      <c r="F201" s="87" t="s">
        <v>1952</v>
      </c>
      <c r="G201" s="87" t="b">
        <v>1</v>
      </c>
      <c r="H201" s="87" t="b">
        <v>0</v>
      </c>
      <c r="I201" s="87" t="b">
        <v>0</v>
      </c>
      <c r="J201" s="87" t="b">
        <v>0</v>
      </c>
      <c r="K201" s="87" t="b">
        <v>0</v>
      </c>
      <c r="L201" s="87" t="b">
        <v>0</v>
      </c>
    </row>
    <row r="202" spans="1:12" x14ac:dyDescent="0.25">
      <c r="A202" s="84" t="s">
        <v>1855</v>
      </c>
      <c r="B202" s="87" t="s">
        <v>1799</v>
      </c>
      <c r="C202" s="87">
        <v>2</v>
      </c>
      <c r="D202" s="111">
        <v>1.9583979595619782E-3</v>
      </c>
      <c r="E202" s="111">
        <v>2.7581546219673898</v>
      </c>
      <c r="F202" s="87" t="s">
        <v>1952</v>
      </c>
      <c r="G202" s="87" t="b">
        <v>0</v>
      </c>
      <c r="H202" s="87" t="b">
        <v>0</v>
      </c>
      <c r="I202" s="87" t="b">
        <v>0</v>
      </c>
      <c r="J202" s="87" t="b">
        <v>0</v>
      </c>
      <c r="K202" s="87" t="b">
        <v>0</v>
      </c>
      <c r="L202" s="87" t="b">
        <v>0</v>
      </c>
    </row>
    <row r="203" spans="1:12" x14ac:dyDescent="0.25">
      <c r="A203" s="84" t="s">
        <v>1850</v>
      </c>
      <c r="B203" s="87" t="s">
        <v>1831</v>
      </c>
      <c r="C203" s="87">
        <v>2</v>
      </c>
      <c r="D203" s="111">
        <v>1.9583979595619782E-3</v>
      </c>
      <c r="E203" s="111">
        <v>2.9342458810230712</v>
      </c>
      <c r="F203" s="87" t="s">
        <v>1952</v>
      </c>
      <c r="G203" s="87" t="b">
        <v>0</v>
      </c>
      <c r="H203" s="87" t="b">
        <v>0</v>
      </c>
      <c r="I203" s="87" t="b">
        <v>0</v>
      </c>
      <c r="J203" s="87" t="b">
        <v>0</v>
      </c>
      <c r="K203" s="87" t="b">
        <v>0</v>
      </c>
      <c r="L203" s="87" t="b">
        <v>0</v>
      </c>
    </row>
    <row r="204" spans="1:12" x14ac:dyDescent="0.25">
      <c r="A204" s="84" t="s">
        <v>1842</v>
      </c>
      <c r="B204" s="87" t="s">
        <v>1770</v>
      </c>
      <c r="C204" s="87">
        <v>2</v>
      </c>
      <c r="D204" s="111">
        <v>1.9583979595619782E-3</v>
      </c>
      <c r="E204" s="111">
        <v>2.7581546219673898</v>
      </c>
      <c r="F204" s="87" t="s">
        <v>1952</v>
      </c>
      <c r="G204" s="87" t="b">
        <v>0</v>
      </c>
      <c r="H204" s="87" t="b">
        <v>0</v>
      </c>
      <c r="I204" s="87" t="b">
        <v>0</v>
      </c>
      <c r="J204" s="87" t="b">
        <v>0</v>
      </c>
      <c r="K204" s="87" t="b">
        <v>0</v>
      </c>
      <c r="L204" s="87" t="b">
        <v>0</v>
      </c>
    </row>
    <row r="205" spans="1:12" x14ac:dyDescent="0.25">
      <c r="A205" s="84" t="s">
        <v>1894</v>
      </c>
      <c r="B205" s="87" t="s">
        <v>1657</v>
      </c>
      <c r="C205" s="87">
        <v>2</v>
      </c>
      <c r="D205" s="111">
        <v>1.9583979595619782E-3</v>
      </c>
      <c r="E205" s="111">
        <v>2.2810333672477277</v>
      </c>
      <c r="F205" s="87" t="s">
        <v>1952</v>
      </c>
      <c r="G205" s="87" t="b">
        <v>0</v>
      </c>
      <c r="H205" s="87" t="b">
        <v>0</v>
      </c>
      <c r="I205" s="87" t="b">
        <v>0</v>
      </c>
      <c r="J205" s="87" t="b">
        <v>0</v>
      </c>
      <c r="K205" s="87" t="b">
        <v>0</v>
      </c>
      <c r="L205" s="87" t="b">
        <v>0</v>
      </c>
    </row>
    <row r="206" spans="1:12" x14ac:dyDescent="0.25">
      <c r="A206" s="84" t="s">
        <v>1804</v>
      </c>
      <c r="B206" s="87" t="s">
        <v>1686</v>
      </c>
      <c r="C206" s="87">
        <v>2</v>
      </c>
      <c r="D206" s="111">
        <v>1.9583979595619782E-3</v>
      </c>
      <c r="E206" s="111">
        <v>2.2810333672477277</v>
      </c>
      <c r="F206" s="87" t="s">
        <v>1952</v>
      </c>
      <c r="G206" s="87" t="b">
        <v>0</v>
      </c>
      <c r="H206" s="87" t="b">
        <v>0</v>
      </c>
      <c r="I206" s="87" t="b">
        <v>0</v>
      </c>
      <c r="J206" s="87" t="b">
        <v>0</v>
      </c>
      <c r="K206" s="87" t="b">
        <v>0</v>
      </c>
      <c r="L206" s="87" t="b">
        <v>0</v>
      </c>
    </row>
    <row r="207" spans="1:12" x14ac:dyDescent="0.25">
      <c r="A207" s="84" t="s">
        <v>1818</v>
      </c>
      <c r="B207" s="87" t="s">
        <v>1927</v>
      </c>
      <c r="C207" s="87">
        <v>2</v>
      </c>
      <c r="D207" s="111">
        <v>1.9583979595619782E-3</v>
      </c>
      <c r="E207" s="111">
        <v>2.9342458810230712</v>
      </c>
      <c r="F207" s="87" t="s">
        <v>1952</v>
      </c>
      <c r="G207" s="87" t="b">
        <v>0</v>
      </c>
      <c r="H207" s="87" t="b">
        <v>0</v>
      </c>
      <c r="I207" s="87" t="b">
        <v>0</v>
      </c>
      <c r="J207" s="87" t="b">
        <v>0</v>
      </c>
      <c r="K207" s="87" t="b">
        <v>0</v>
      </c>
      <c r="L207" s="87" t="b">
        <v>0</v>
      </c>
    </row>
    <row r="208" spans="1:12" x14ac:dyDescent="0.25">
      <c r="A208" s="84" t="s">
        <v>356</v>
      </c>
      <c r="B208" s="87" t="s">
        <v>355</v>
      </c>
      <c r="C208" s="87">
        <v>2</v>
      </c>
      <c r="D208" s="111">
        <v>1.9583979595619782E-3</v>
      </c>
      <c r="E208" s="111">
        <v>2.9342458810230712</v>
      </c>
      <c r="F208" s="87" t="s">
        <v>1952</v>
      </c>
      <c r="G208" s="87" t="b">
        <v>0</v>
      </c>
      <c r="H208" s="87" t="b">
        <v>0</v>
      </c>
      <c r="I208" s="87" t="b">
        <v>0</v>
      </c>
      <c r="J208" s="87" t="b">
        <v>0</v>
      </c>
      <c r="K208" s="87" t="b">
        <v>0</v>
      </c>
      <c r="L208" s="87" t="b">
        <v>0</v>
      </c>
    </row>
    <row r="209" spans="1:12" x14ac:dyDescent="0.25">
      <c r="A209" s="84" t="s">
        <v>1922</v>
      </c>
      <c r="B209" s="87" t="s">
        <v>1833</v>
      </c>
      <c r="C209" s="87">
        <v>2</v>
      </c>
      <c r="D209" s="111">
        <v>1.9583979595619782E-3</v>
      </c>
      <c r="E209" s="111">
        <v>2.9342458810230712</v>
      </c>
      <c r="F209" s="87" t="s">
        <v>1952</v>
      </c>
      <c r="G209" s="87" t="b">
        <v>1</v>
      </c>
      <c r="H209" s="87" t="b">
        <v>0</v>
      </c>
      <c r="I209" s="87" t="b">
        <v>0</v>
      </c>
      <c r="J209" s="87" t="b">
        <v>0</v>
      </c>
      <c r="K209" s="87" t="b">
        <v>0</v>
      </c>
      <c r="L209" s="87" t="b">
        <v>0</v>
      </c>
    </row>
    <row r="210" spans="1:12" x14ac:dyDescent="0.25">
      <c r="A210" s="84" t="s">
        <v>1742</v>
      </c>
      <c r="B210" s="87" t="s">
        <v>1880</v>
      </c>
      <c r="C210" s="87">
        <v>2</v>
      </c>
      <c r="D210" s="111">
        <v>1.9583979595619782E-3</v>
      </c>
      <c r="E210" s="111">
        <v>2.6332158853590899</v>
      </c>
      <c r="F210" s="87" t="s">
        <v>1952</v>
      </c>
      <c r="G210" s="87" t="b">
        <v>1</v>
      </c>
      <c r="H210" s="87" t="b">
        <v>0</v>
      </c>
      <c r="I210" s="87" t="b">
        <v>0</v>
      </c>
      <c r="J210" s="87" t="b">
        <v>0</v>
      </c>
      <c r="K210" s="87" t="b">
        <v>0</v>
      </c>
      <c r="L210" s="87" t="b">
        <v>0</v>
      </c>
    </row>
    <row r="211" spans="1:12" x14ac:dyDescent="0.25">
      <c r="A211" s="84" t="s">
        <v>1831</v>
      </c>
      <c r="B211" s="87" t="s">
        <v>1767</v>
      </c>
      <c r="C211" s="87">
        <v>2</v>
      </c>
      <c r="D211" s="111">
        <v>1.9583979595619782E-3</v>
      </c>
      <c r="E211" s="111">
        <v>2.9342458810230712</v>
      </c>
      <c r="F211" s="87" t="s">
        <v>1952</v>
      </c>
      <c r="G211" s="87" t="b">
        <v>0</v>
      </c>
      <c r="H211" s="87" t="b">
        <v>0</v>
      </c>
      <c r="I211" s="87" t="b">
        <v>0</v>
      </c>
      <c r="J211" s="87" t="b">
        <v>0</v>
      </c>
      <c r="K211" s="87" t="b">
        <v>0</v>
      </c>
      <c r="L211" s="87" t="b">
        <v>0</v>
      </c>
    </row>
    <row r="212" spans="1:12" x14ac:dyDescent="0.25">
      <c r="A212" s="84" t="s">
        <v>1778</v>
      </c>
      <c r="B212" s="87" t="s">
        <v>1931</v>
      </c>
      <c r="C212" s="87">
        <v>2</v>
      </c>
      <c r="D212" s="111">
        <v>1.9583979595619782E-3</v>
      </c>
      <c r="E212" s="111">
        <v>2.7581546219673898</v>
      </c>
      <c r="F212" s="87" t="s">
        <v>1952</v>
      </c>
      <c r="G212" s="87" t="b">
        <v>0</v>
      </c>
      <c r="H212" s="87" t="b">
        <v>0</v>
      </c>
      <c r="I212" s="87" t="b">
        <v>0</v>
      </c>
      <c r="J212" s="87" t="b">
        <v>0</v>
      </c>
      <c r="K212" s="87" t="b">
        <v>0</v>
      </c>
      <c r="L212" s="87" t="b">
        <v>0</v>
      </c>
    </row>
    <row r="213" spans="1:12" x14ac:dyDescent="0.25">
      <c r="A213" s="84" t="s">
        <v>1648</v>
      </c>
      <c r="B213" s="87" t="s">
        <v>1792</v>
      </c>
      <c r="C213" s="87">
        <v>2</v>
      </c>
      <c r="D213" s="111">
        <v>1.9583979595619782E-3</v>
      </c>
      <c r="E213" s="111">
        <v>1.9452412653245343</v>
      </c>
      <c r="F213" s="87" t="s">
        <v>1952</v>
      </c>
      <c r="G213" s="87" t="b">
        <v>0</v>
      </c>
      <c r="H213" s="87" t="b">
        <v>0</v>
      </c>
      <c r="I213" s="87" t="b">
        <v>0</v>
      </c>
      <c r="J213" s="87" t="b">
        <v>1</v>
      </c>
      <c r="K213" s="87" t="b">
        <v>0</v>
      </c>
      <c r="L213" s="87" t="b">
        <v>0</v>
      </c>
    </row>
    <row r="214" spans="1:12" x14ac:dyDescent="0.25">
      <c r="A214" s="84" t="s">
        <v>334</v>
      </c>
      <c r="B214" s="87" t="s">
        <v>1722</v>
      </c>
      <c r="C214" s="87">
        <v>2</v>
      </c>
      <c r="D214" s="111">
        <v>1.9583979595619782E-3</v>
      </c>
      <c r="E214" s="111">
        <v>2.5363058723510337</v>
      </c>
      <c r="F214" s="87" t="s">
        <v>1952</v>
      </c>
      <c r="G214" s="87" t="b">
        <v>0</v>
      </c>
      <c r="H214" s="87" t="b">
        <v>0</v>
      </c>
      <c r="I214" s="87" t="b">
        <v>0</v>
      </c>
      <c r="J214" s="87" t="b">
        <v>0</v>
      </c>
      <c r="K214" s="87" t="b">
        <v>0</v>
      </c>
      <c r="L214" s="87" t="b">
        <v>0</v>
      </c>
    </row>
    <row r="215" spans="1:12" x14ac:dyDescent="0.25">
      <c r="A215" s="84" t="s">
        <v>1909</v>
      </c>
      <c r="B215" s="87" t="s">
        <v>1673</v>
      </c>
      <c r="C215" s="87">
        <v>2</v>
      </c>
      <c r="D215" s="111">
        <v>1.9583979595619782E-3</v>
      </c>
      <c r="E215" s="111">
        <v>2.457124626303409</v>
      </c>
      <c r="F215" s="87" t="s">
        <v>1952</v>
      </c>
      <c r="G215" s="87" t="b">
        <v>0</v>
      </c>
      <c r="H215" s="87" t="b">
        <v>0</v>
      </c>
      <c r="I215" s="87" t="b">
        <v>0</v>
      </c>
      <c r="J215" s="87" t="b">
        <v>0</v>
      </c>
      <c r="K215" s="87" t="b">
        <v>0</v>
      </c>
      <c r="L215" s="87" t="b">
        <v>0</v>
      </c>
    </row>
    <row r="216" spans="1:12" x14ac:dyDescent="0.25">
      <c r="A216" s="84" t="s">
        <v>1676</v>
      </c>
      <c r="B216" s="87" t="s">
        <v>1661</v>
      </c>
      <c r="C216" s="87">
        <v>2</v>
      </c>
      <c r="D216" s="111">
        <v>1.9583979595619782E-3</v>
      </c>
      <c r="E216" s="111">
        <v>1.7369653228974518</v>
      </c>
      <c r="F216" s="87" t="s">
        <v>1952</v>
      </c>
      <c r="G216" s="87" t="b">
        <v>0</v>
      </c>
      <c r="H216" s="87" t="b">
        <v>0</v>
      </c>
      <c r="I216" s="87" t="b">
        <v>0</v>
      </c>
      <c r="J216" s="87" t="b">
        <v>0</v>
      </c>
      <c r="K216" s="87" t="b">
        <v>0</v>
      </c>
      <c r="L216" s="87" t="b">
        <v>0</v>
      </c>
    </row>
    <row r="217" spans="1:12" x14ac:dyDescent="0.25">
      <c r="A217" s="84" t="s">
        <v>261</v>
      </c>
      <c r="B217" s="87" t="s">
        <v>1651</v>
      </c>
      <c r="C217" s="87">
        <v>2</v>
      </c>
      <c r="D217" s="111">
        <v>1.9583979595619782E-3</v>
      </c>
      <c r="E217" s="111">
        <v>1.5540346393114652</v>
      </c>
      <c r="F217" s="87" t="s">
        <v>1952</v>
      </c>
      <c r="G217" s="87" t="b">
        <v>0</v>
      </c>
      <c r="H217" s="87" t="b">
        <v>0</v>
      </c>
      <c r="I217" s="87" t="b">
        <v>0</v>
      </c>
      <c r="J217" s="87" t="b">
        <v>0</v>
      </c>
      <c r="K217" s="87" t="b">
        <v>0</v>
      </c>
      <c r="L217" s="87" t="b">
        <v>0</v>
      </c>
    </row>
    <row r="218" spans="1:12" x14ac:dyDescent="0.25">
      <c r="A218" s="84" t="s">
        <v>1789</v>
      </c>
      <c r="B218" s="87" t="s">
        <v>1674</v>
      </c>
      <c r="C218" s="87">
        <v>2</v>
      </c>
      <c r="D218" s="111">
        <v>1.9583979595619782E-3</v>
      </c>
      <c r="E218" s="111">
        <v>2.2140865776171141</v>
      </c>
      <c r="F218" s="87" t="s">
        <v>1952</v>
      </c>
      <c r="G218" s="87" t="b">
        <v>0</v>
      </c>
      <c r="H218" s="87" t="b">
        <v>0</v>
      </c>
      <c r="I218" s="87" t="b">
        <v>0</v>
      </c>
      <c r="J218" s="87" t="b">
        <v>0</v>
      </c>
      <c r="K218" s="87" t="b">
        <v>0</v>
      </c>
      <c r="L218" s="87" t="b">
        <v>0</v>
      </c>
    </row>
    <row r="219" spans="1:12" x14ac:dyDescent="0.25">
      <c r="A219" s="84" t="s">
        <v>1917</v>
      </c>
      <c r="B219" s="87" t="s">
        <v>1755</v>
      </c>
      <c r="C219" s="87">
        <v>2</v>
      </c>
      <c r="D219" s="111">
        <v>1.9583979595619782E-3</v>
      </c>
      <c r="E219" s="111">
        <v>2.6332158853590899</v>
      </c>
      <c r="F219" s="87" t="s">
        <v>1952</v>
      </c>
      <c r="G219" s="87" t="b">
        <v>0</v>
      </c>
      <c r="H219" s="87" t="b">
        <v>0</v>
      </c>
      <c r="I219" s="87" t="b">
        <v>0</v>
      </c>
      <c r="J219" s="87" t="b">
        <v>0</v>
      </c>
      <c r="K219" s="87" t="b">
        <v>0</v>
      </c>
      <c r="L219" s="87" t="b">
        <v>0</v>
      </c>
    </row>
    <row r="220" spans="1:12" x14ac:dyDescent="0.25">
      <c r="A220" s="84" t="s">
        <v>1868</v>
      </c>
      <c r="B220" s="87" t="s">
        <v>1784</v>
      </c>
      <c r="C220" s="87">
        <v>2</v>
      </c>
      <c r="D220" s="111">
        <v>1.9583979595619782E-3</v>
      </c>
      <c r="E220" s="111">
        <v>2.7581546219673898</v>
      </c>
      <c r="F220" s="87" t="s">
        <v>1952</v>
      </c>
      <c r="G220" s="87" t="b">
        <v>0</v>
      </c>
      <c r="H220" s="87" t="b">
        <v>0</v>
      </c>
      <c r="I220" s="87" t="b">
        <v>0</v>
      </c>
      <c r="J220" s="87" t="b">
        <v>0</v>
      </c>
      <c r="K220" s="87" t="b">
        <v>0</v>
      </c>
      <c r="L220" s="87" t="b">
        <v>0</v>
      </c>
    </row>
    <row r="221" spans="1:12" x14ac:dyDescent="0.25">
      <c r="A221" s="84" t="s">
        <v>1776</v>
      </c>
      <c r="B221" s="87" t="s">
        <v>1742</v>
      </c>
      <c r="C221" s="87">
        <v>2</v>
      </c>
      <c r="D221" s="111">
        <v>1.9583979595619782E-3</v>
      </c>
      <c r="E221" s="111">
        <v>2.457124626303409</v>
      </c>
      <c r="F221" s="87" t="s">
        <v>1952</v>
      </c>
      <c r="G221" s="87" t="b">
        <v>0</v>
      </c>
      <c r="H221" s="87" t="b">
        <v>0</v>
      </c>
      <c r="I221" s="87" t="b">
        <v>0</v>
      </c>
      <c r="J221" s="87" t="b">
        <v>1</v>
      </c>
      <c r="K221" s="87" t="b">
        <v>0</v>
      </c>
      <c r="L221" s="87" t="b">
        <v>0</v>
      </c>
    </row>
    <row r="222" spans="1:12" x14ac:dyDescent="0.25">
      <c r="A222" s="84" t="s">
        <v>1891</v>
      </c>
      <c r="B222" s="87" t="s">
        <v>1924</v>
      </c>
      <c r="C222" s="87">
        <v>2</v>
      </c>
      <c r="D222" s="111">
        <v>1.9583979595619782E-3</v>
      </c>
      <c r="E222" s="111">
        <v>2.9342458810230712</v>
      </c>
      <c r="F222" s="87" t="s">
        <v>1952</v>
      </c>
      <c r="G222" s="87" t="b">
        <v>0</v>
      </c>
      <c r="H222" s="87" t="b">
        <v>0</v>
      </c>
      <c r="I222" s="87" t="b">
        <v>0</v>
      </c>
      <c r="J222" s="87" t="b">
        <v>0</v>
      </c>
      <c r="K222" s="87" t="b">
        <v>0</v>
      </c>
      <c r="L222" s="87" t="b">
        <v>0</v>
      </c>
    </row>
    <row r="223" spans="1:12" x14ac:dyDescent="0.25">
      <c r="A223" s="84" t="s">
        <v>1932</v>
      </c>
      <c r="B223" s="87" t="s">
        <v>308</v>
      </c>
      <c r="C223" s="87">
        <v>2</v>
      </c>
      <c r="D223" s="111">
        <v>1.9583979595619782E-3</v>
      </c>
      <c r="E223" s="111">
        <v>2.9342458810230712</v>
      </c>
      <c r="F223" s="87" t="s">
        <v>1952</v>
      </c>
      <c r="G223" s="87" t="b">
        <v>0</v>
      </c>
      <c r="H223" s="87" t="b">
        <v>0</v>
      </c>
      <c r="I223" s="87" t="b">
        <v>0</v>
      </c>
      <c r="J223" s="87" t="b">
        <v>0</v>
      </c>
      <c r="K223" s="87" t="b">
        <v>0</v>
      </c>
      <c r="L223" s="87" t="b">
        <v>0</v>
      </c>
    </row>
    <row r="224" spans="1:12" x14ac:dyDescent="0.25">
      <c r="A224" s="84" t="s">
        <v>243</v>
      </c>
      <c r="B224" s="87" t="s">
        <v>1747</v>
      </c>
      <c r="C224" s="87">
        <v>2</v>
      </c>
      <c r="D224" s="111">
        <v>1.9583979595619782E-3</v>
      </c>
      <c r="E224" s="111">
        <v>2.2352758766870524</v>
      </c>
      <c r="F224" s="87" t="s">
        <v>1952</v>
      </c>
      <c r="G224" s="87" t="b">
        <v>0</v>
      </c>
      <c r="H224" s="87" t="b">
        <v>0</v>
      </c>
      <c r="I224" s="87" t="b">
        <v>0</v>
      </c>
      <c r="J224" s="87" t="b">
        <v>0</v>
      </c>
      <c r="K224" s="87" t="b">
        <v>0</v>
      </c>
      <c r="L224" s="87" t="b">
        <v>0</v>
      </c>
    </row>
    <row r="225" spans="1:12" x14ac:dyDescent="0.25">
      <c r="A225" s="84" t="s">
        <v>1918</v>
      </c>
      <c r="B225" s="87" t="s">
        <v>1760</v>
      </c>
      <c r="C225" s="87">
        <v>2</v>
      </c>
      <c r="D225" s="111">
        <v>1.9583979595619782E-3</v>
      </c>
      <c r="E225" s="111">
        <v>2.7581546219673898</v>
      </c>
      <c r="F225" s="87" t="s">
        <v>1952</v>
      </c>
      <c r="G225" s="87" t="b">
        <v>0</v>
      </c>
      <c r="H225" s="87" t="b">
        <v>0</v>
      </c>
      <c r="I225" s="87" t="b">
        <v>0</v>
      </c>
      <c r="J225" s="87" t="b">
        <v>0</v>
      </c>
      <c r="K225" s="87" t="b">
        <v>0</v>
      </c>
      <c r="L225" s="87" t="b">
        <v>0</v>
      </c>
    </row>
    <row r="226" spans="1:12" x14ac:dyDescent="0.25">
      <c r="A226" s="84" t="s">
        <v>1827</v>
      </c>
      <c r="B226" s="87" t="s">
        <v>1836</v>
      </c>
      <c r="C226" s="87">
        <v>2</v>
      </c>
      <c r="D226" s="111">
        <v>1.9583979595619782E-3</v>
      </c>
      <c r="E226" s="111">
        <v>2.9342458810230712</v>
      </c>
      <c r="F226" s="87" t="s">
        <v>1952</v>
      </c>
      <c r="G226" s="87" t="b">
        <v>0</v>
      </c>
      <c r="H226" s="87" t="b">
        <v>0</v>
      </c>
      <c r="I226" s="87" t="b">
        <v>0</v>
      </c>
      <c r="J226" s="87" t="b">
        <v>0</v>
      </c>
      <c r="K226" s="87" t="b">
        <v>0</v>
      </c>
      <c r="L226" s="87" t="b">
        <v>0</v>
      </c>
    </row>
    <row r="227" spans="1:12" x14ac:dyDescent="0.25">
      <c r="A227" s="84" t="s">
        <v>1939</v>
      </c>
      <c r="B227" s="87" t="s">
        <v>1843</v>
      </c>
      <c r="C227" s="87">
        <v>2</v>
      </c>
      <c r="D227" s="111">
        <v>1.9583979595619782E-3</v>
      </c>
      <c r="E227" s="111">
        <v>2.9342458810230712</v>
      </c>
      <c r="F227" s="87" t="s">
        <v>1952</v>
      </c>
      <c r="G227" s="87" t="b">
        <v>0</v>
      </c>
      <c r="H227" s="87" t="b">
        <v>0</v>
      </c>
      <c r="I227" s="87" t="b">
        <v>0</v>
      </c>
      <c r="J227" s="87" t="b">
        <v>0</v>
      </c>
      <c r="K227" s="87" t="b">
        <v>0</v>
      </c>
      <c r="L227" s="87" t="b">
        <v>0</v>
      </c>
    </row>
    <row r="228" spans="1:12" x14ac:dyDescent="0.25">
      <c r="A228" s="84" t="s">
        <v>1937</v>
      </c>
      <c r="B228" s="87" t="s">
        <v>1918</v>
      </c>
      <c r="C228" s="87">
        <v>2</v>
      </c>
      <c r="D228" s="111">
        <v>1.9583979595619782E-3</v>
      </c>
      <c r="E228" s="111">
        <v>2.9342458810230712</v>
      </c>
      <c r="F228" s="87" t="s">
        <v>1952</v>
      </c>
      <c r="G228" s="87" t="b">
        <v>0</v>
      </c>
      <c r="H228" s="87" t="b">
        <v>0</v>
      </c>
      <c r="I228" s="87" t="b">
        <v>0</v>
      </c>
      <c r="J228" s="87" t="b">
        <v>0</v>
      </c>
      <c r="K228" s="87" t="b">
        <v>0</v>
      </c>
      <c r="L228" s="87" t="b">
        <v>0</v>
      </c>
    </row>
    <row r="229" spans="1:12" x14ac:dyDescent="0.25">
      <c r="A229" s="84" t="s">
        <v>1812</v>
      </c>
      <c r="B229" s="87" t="s">
        <v>1651</v>
      </c>
      <c r="C229" s="87">
        <v>2</v>
      </c>
      <c r="D229" s="111">
        <v>1.9583979595619782E-3</v>
      </c>
      <c r="E229" s="111">
        <v>2.1560946306394277</v>
      </c>
      <c r="F229" s="87" t="s">
        <v>1952</v>
      </c>
      <c r="G229" s="87" t="b">
        <v>0</v>
      </c>
      <c r="H229" s="87" t="b">
        <v>0</v>
      </c>
      <c r="I229" s="87" t="b">
        <v>0</v>
      </c>
      <c r="J229" s="87" t="b">
        <v>0</v>
      </c>
      <c r="K229" s="87" t="b">
        <v>0</v>
      </c>
      <c r="L229" s="87" t="b">
        <v>0</v>
      </c>
    </row>
    <row r="230" spans="1:12" x14ac:dyDescent="0.25">
      <c r="A230" s="84" t="s">
        <v>1793</v>
      </c>
      <c r="B230" s="87" t="s">
        <v>1825</v>
      </c>
      <c r="C230" s="87">
        <v>2</v>
      </c>
      <c r="D230" s="111">
        <v>1.9583979595619782E-3</v>
      </c>
      <c r="E230" s="111">
        <v>2.7581546219673898</v>
      </c>
      <c r="F230" s="87" t="s">
        <v>1952</v>
      </c>
      <c r="G230" s="87" t="b">
        <v>1</v>
      </c>
      <c r="H230" s="87" t="b">
        <v>0</v>
      </c>
      <c r="I230" s="87" t="b">
        <v>0</v>
      </c>
      <c r="J230" s="87" t="b">
        <v>1</v>
      </c>
      <c r="K230" s="87" t="b">
        <v>0</v>
      </c>
      <c r="L230" s="87" t="b">
        <v>0</v>
      </c>
    </row>
    <row r="231" spans="1:12" x14ac:dyDescent="0.25">
      <c r="A231" s="84" t="s">
        <v>1867</v>
      </c>
      <c r="B231" s="87" t="s">
        <v>298</v>
      </c>
      <c r="C231" s="87">
        <v>2</v>
      </c>
      <c r="D231" s="111">
        <v>1.9583979595619782E-3</v>
      </c>
      <c r="E231" s="111">
        <v>2.9342458810230712</v>
      </c>
      <c r="F231" s="87" t="s">
        <v>1952</v>
      </c>
      <c r="G231" s="87" t="b">
        <v>0</v>
      </c>
      <c r="H231" s="87" t="b">
        <v>0</v>
      </c>
      <c r="I231" s="87" t="b">
        <v>0</v>
      </c>
      <c r="J231" s="87" t="b">
        <v>0</v>
      </c>
      <c r="K231" s="87" t="b">
        <v>0</v>
      </c>
      <c r="L231" s="87" t="b">
        <v>0</v>
      </c>
    </row>
    <row r="232" spans="1:12" x14ac:dyDescent="0.25">
      <c r="A232" s="84" t="s">
        <v>1839</v>
      </c>
      <c r="B232" s="87" t="s">
        <v>1861</v>
      </c>
      <c r="C232" s="87">
        <v>2</v>
      </c>
      <c r="D232" s="111">
        <v>1.9583979595619782E-3</v>
      </c>
      <c r="E232" s="111">
        <v>2.9342458810230712</v>
      </c>
      <c r="F232" s="87" t="s">
        <v>1952</v>
      </c>
      <c r="G232" s="87" t="b">
        <v>0</v>
      </c>
      <c r="H232" s="87" t="b">
        <v>0</v>
      </c>
      <c r="I232" s="87" t="b">
        <v>0</v>
      </c>
      <c r="J232" s="87" t="b">
        <v>0</v>
      </c>
      <c r="K232" s="87" t="b">
        <v>0</v>
      </c>
      <c r="L232" s="87" t="b">
        <v>0</v>
      </c>
    </row>
    <row r="233" spans="1:12" x14ac:dyDescent="0.25">
      <c r="A233" s="84" t="s">
        <v>1878</v>
      </c>
      <c r="B233" s="87" t="s">
        <v>1941</v>
      </c>
      <c r="C233" s="87">
        <v>2</v>
      </c>
      <c r="D233" s="111">
        <v>1.9583979595619782E-3</v>
      </c>
      <c r="E233" s="111">
        <v>2.9342458810230712</v>
      </c>
      <c r="F233" s="87" t="s">
        <v>1952</v>
      </c>
      <c r="G233" s="87" t="b">
        <v>0</v>
      </c>
      <c r="H233" s="87" t="b">
        <v>0</v>
      </c>
      <c r="I233" s="87" t="b">
        <v>0</v>
      </c>
      <c r="J233" s="87" t="b">
        <v>0</v>
      </c>
      <c r="K233" s="87" t="b">
        <v>0</v>
      </c>
      <c r="L233" s="87" t="b">
        <v>0</v>
      </c>
    </row>
    <row r="234" spans="1:12" x14ac:dyDescent="0.25">
      <c r="A234" s="84" t="s">
        <v>1828</v>
      </c>
      <c r="B234" s="87" t="s">
        <v>1905</v>
      </c>
      <c r="C234" s="87">
        <v>2</v>
      </c>
      <c r="D234" s="111">
        <v>1.9583979595619782E-3</v>
      </c>
      <c r="E234" s="111">
        <v>2.9342458810230712</v>
      </c>
      <c r="F234" s="87" t="s">
        <v>1952</v>
      </c>
      <c r="G234" s="87" t="b">
        <v>0</v>
      </c>
      <c r="H234" s="87" t="b">
        <v>0</v>
      </c>
      <c r="I234" s="87" t="b">
        <v>0</v>
      </c>
      <c r="J234" s="87" t="b">
        <v>0</v>
      </c>
      <c r="K234" s="87" t="b">
        <v>0</v>
      </c>
      <c r="L234" s="87" t="b">
        <v>0</v>
      </c>
    </row>
    <row r="235" spans="1:12" x14ac:dyDescent="0.25">
      <c r="A235" s="84" t="s">
        <v>1696</v>
      </c>
      <c r="B235" s="87" t="s">
        <v>1647</v>
      </c>
      <c r="C235" s="87">
        <v>2</v>
      </c>
      <c r="D235" s="111">
        <v>1.9583979595619782E-3</v>
      </c>
      <c r="E235" s="111">
        <v>1.6442112696605533</v>
      </c>
      <c r="F235" s="87" t="s">
        <v>1952</v>
      </c>
      <c r="G235" s="87" t="b">
        <v>0</v>
      </c>
      <c r="H235" s="87" t="b">
        <v>0</v>
      </c>
      <c r="I235" s="87" t="b">
        <v>0</v>
      </c>
      <c r="J235" s="87" t="b">
        <v>0</v>
      </c>
      <c r="K235" s="87" t="b">
        <v>0</v>
      </c>
      <c r="L235" s="87" t="b">
        <v>0</v>
      </c>
    </row>
    <row r="236" spans="1:12" x14ac:dyDescent="0.25">
      <c r="A236" s="84" t="s">
        <v>248</v>
      </c>
      <c r="B236" s="87" t="s">
        <v>281</v>
      </c>
      <c r="C236" s="87">
        <v>2</v>
      </c>
      <c r="D236" s="111">
        <v>1.9583979595619782E-3</v>
      </c>
      <c r="E236" s="111">
        <v>2.9342458810230712</v>
      </c>
      <c r="F236" s="87" t="s">
        <v>1952</v>
      </c>
      <c r="G236" s="87" t="b">
        <v>0</v>
      </c>
      <c r="H236" s="87" t="b">
        <v>0</v>
      </c>
      <c r="I236" s="87" t="b">
        <v>0</v>
      </c>
      <c r="J236" s="87" t="b">
        <v>0</v>
      </c>
      <c r="K236" s="87" t="b">
        <v>0</v>
      </c>
      <c r="L236" s="87" t="b">
        <v>0</v>
      </c>
    </row>
    <row r="237" spans="1:12" x14ac:dyDescent="0.25">
      <c r="A237" s="84" t="s">
        <v>1752</v>
      </c>
      <c r="B237" s="87" t="s">
        <v>1667</v>
      </c>
      <c r="C237" s="87">
        <v>2</v>
      </c>
      <c r="D237" s="111">
        <v>1.9583979595619782E-3</v>
      </c>
      <c r="E237" s="111">
        <v>2.0891478410088142</v>
      </c>
      <c r="F237" s="87" t="s">
        <v>1952</v>
      </c>
      <c r="G237" s="87" t="b">
        <v>0</v>
      </c>
      <c r="H237" s="87" t="b">
        <v>0</v>
      </c>
      <c r="I237" s="87" t="b">
        <v>0</v>
      </c>
      <c r="J237" s="87" t="b">
        <v>0</v>
      </c>
      <c r="K237" s="87" t="b">
        <v>0</v>
      </c>
      <c r="L237" s="87" t="b">
        <v>0</v>
      </c>
    </row>
    <row r="238" spans="1:12" x14ac:dyDescent="0.25">
      <c r="A238" s="84" t="s">
        <v>1654</v>
      </c>
      <c r="B238" s="87" t="s">
        <v>1915</v>
      </c>
      <c r="C238" s="87">
        <v>2</v>
      </c>
      <c r="D238" s="111">
        <v>1.9583979595619782E-3</v>
      </c>
      <c r="E238" s="111">
        <v>2.2352758766870524</v>
      </c>
      <c r="F238" s="87" t="s">
        <v>1952</v>
      </c>
      <c r="G238" s="87" t="b">
        <v>1</v>
      </c>
      <c r="H238" s="87" t="b">
        <v>0</v>
      </c>
      <c r="I238" s="87" t="b">
        <v>0</v>
      </c>
      <c r="J238" s="87" t="b">
        <v>0</v>
      </c>
      <c r="K238" s="87" t="b">
        <v>0</v>
      </c>
      <c r="L238" s="87" t="b">
        <v>0</v>
      </c>
    </row>
    <row r="239" spans="1:12" x14ac:dyDescent="0.25">
      <c r="A239" s="84" t="s">
        <v>1801</v>
      </c>
      <c r="B239" s="87" t="s">
        <v>1929</v>
      </c>
      <c r="C239" s="87">
        <v>2</v>
      </c>
      <c r="D239" s="111">
        <v>1.9583979595619782E-3</v>
      </c>
      <c r="E239" s="111">
        <v>2.7581546219673898</v>
      </c>
      <c r="F239" s="87" t="s">
        <v>1952</v>
      </c>
      <c r="G239" s="87" t="b">
        <v>0</v>
      </c>
      <c r="H239" s="87" t="b">
        <v>0</v>
      </c>
      <c r="I239" s="87" t="b">
        <v>0</v>
      </c>
      <c r="J239" s="87" t="b">
        <v>0</v>
      </c>
      <c r="K239" s="87" t="b">
        <v>0</v>
      </c>
      <c r="L239" s="87" t="b">
        <v>0</v>
      </c>
    </row>
    <row r="240" spans="1:12" x14ac:dyDescent="0.25">
      <c r="A240" s="84" t="s">
        <v>1901</v>
      </c>
      <c r="B240" s="87" t="s">
        <v>1818</v>
      </c>
      <c r="C240" s="87">
        <v>2</v>
      </c>
      <c r="D240" s="111">
        <v>1.9583979595619782E-3</v>
      </c>
      <c r="E240" s="111">
        <v>2.9342458810230712</v>
      </c>
      <c r="F240" s="87" t="s">
        <v>1952</v>
      </c>
      <c r="G240" s="87" t="b">
        <v>0</v>
      </c>
      <c r="H240" s="87" t="b">
        <v>0</v>
      </c>
      <c r="I240" s="87" t="b">
        <v>0</v>
      </c>
      <c r="J240" s="87" t="b">
        <v>0</v>
      </c>
      <c r="K240" s="87" t="b">
        <v>0</v>
      </c>
      <c r="L240" s="87" t="b">
        <v>0</v>
      </c>
    </row>
    <row r="241" spans="1:12" x14ac:dyDescent="0.25">
      <c r="A241" s="84" t="s">
        <v>1927</v>
      </c>
      <c r="B241" s="87" t="s">
        <v>1813</v>
      </c>
      <c r="C241" s="87">
        <v>2</v>
      </c>
      <c r="D241" s="111">
        <v>1.9583979595619782E-3</v>
      </c>
      <c r="E241" s="111">
        <v>2.9342458810230712</v>
      </c>
      <c r="F241" s="87" t="s">
        <v>1952</v>
      </c>
      <c r="G241" s="87" t="b">
        <v>0</v>
      </c>
      <c r="H241" s="87" t="b">
        <v>0</v>
      </c>
      <c r="I241" s="87" t="b">
        <v>0</v>
      </c>
      <c r="J241" s="87" t="b">
        <v>0</v>
      </c>
      <c r="K241" s="87" t="b">
        <v>1</v>
      </c>
      <c r="L241" s="87" t="b">
        <v>0</v>
      </c>
    </row>
    <row r="242" spans="1:12" x14ac:dyDescent="0.25">
      <c r="A242" s="84" t="s">
        <v>1747</v>
      </c>
      <c r="B242" s="87" t="s">
        <v>1902</v>
      </c>
      <c r="C242" s="87">
        <v>2</v>
      </c>
      <c r="D242" s="111">
        <v>1.9583979595619782E-3</v>
      </c>
      <c r="E242" s="111">
        <v>2.6332158853590899</v>
      </c>
      <c r="F242" s="87" t="s">
        <v>1952</v>
      </c>
      <c r="G242" s="87" t="b">
        <v>0</v>
      </c>
      <c r="H242" s="87" t="b">
        <v>0</v>
      </c>
      <c r="I242" s="87" t="b">
        <v>0</v>
      </c>
      <c r="J242" s="87" t="b">
        <v>0</v>
      </c>
      <c r="K242" s="87" t="b">
        <v>0</v>
      </c>
      <c r="L242" s="87" t="b">
        <v>0</v>
      </c>
    </row>
    <row r="243" spans="1:12" x14ac:dyDescent="0.25">
      <c r="A243" s="84" t="s">
        <v>1933</v>
      </c>
      <c r="B243" s="87" t="s">
        <v>1849</v>
      </c>
      <c r="C243" s="87">
        <v>2</v>
      </c>
      <c r="D243" s="111">
        <v>1.9583979595619782E-3</v>
      </c>
      <c r="E243" s="111">
        <v>2.9342458810230712</v>
      </c>
      <c r="F243" s="87" t="s">
        <v>1952</v>
      </c>
      <c r="G243" s="87" t="b">
        <v>0</v>
      </c>
      <c r="H243" s="87" t="b">
        <v>0</v>
      </c>
      <c r="I243" s="87" t="b">
        <v>0</v>
      </c>
      <c r="J243" s="87" t="b">
        <v>0</v>
      </c>
      <c r="K243" s="87" t="b">
        <v>0</v>
      </c>
      <c r="L243" s="87" t="b">
        <v>0</v>
      </c>
    </row>
    <row r="244" spans="1:12" x14ac:dyDescent="0.25">
      <c r="A244" s="84" t="s">
        <v>1838</v>
      </c>
      <c r="B244" s="87" t="s">
        <v>1782</v>
      </c>
      <c r="C244" s="87">
        <v>2</v>
      </c>
      <c r="D244" s="111">
        <v>1.9583979595619782E-3</v>
      </c>
      <c r="E244" s="111">
        <v>2.9342458810230712</v>
      </c>
      <c r="F244" s="87" t="s">
        <v>1952</v>
      </c>
      <c r="G244" s="87" t="b">
        <v>0</v>
      </c>
      <c r="H244" s="87" t="b">
        <v>0</v>
      </c>
      <c r="I244" s="87" t="b">
        <v>0</v>
      </c>
      <c r="J244" s="87" t="b">
        <v>0</v>
      </c>
      <c r="K244" s="87" t="b">
        <v>0</v>
      </c>
      <c r="L244" s="87" t="b">
        <v>0</v>
      </c>
    </row>
    <row r="245" spans="1:12" x14ac:dyDescent="0.25">
      <c r="A245" s="84" t="s">
        <v>243</v>
      </c>
      <c r="B245" s="87" t="s">
        <v>295</v>
      </c>
      <c r="C245" s="87">
        <v>2</v>
      </c>
      <c r="D245" s="111">
        <v>1.9583979595619782E-3</v>
      </c>
      <c r="E245" s="111">
        <v>2.5363058723510337</v>
      </c>
      <c r="F245" s="87" t="s">
        <v>1952</v>
      </c>
      <c r="G245" s="87" t="b">
        <v>0</v>
      </c>
      <c r="H245" s="87" t="b">
        <v>0</v>
      </c>
      <c r="I245" s="87" t="b">
        <v>0</v>
      </c>
      <c r="J245" s="87" t="b">
        <v>0</v>
      </c>
      <c r="K245" s="87" t="b">
        <v>0</v>
      </c>
      <c r="L245" s="87" t="b">
        <v>0</v>
      </c>
    </row>
    <row r="246" spans="1:12" x14ac:dyDescent="0.25">
      <c r="A246" s="84" t="s">
        <v>1814</v>
      </c>
      <c r="B246" s="87" t="s">
        <v>1795</v>
      </c>
      <c r="C246" s="87">
        <v>2</v>
      </c>
      <c r="D246" s="111">
        <v>1.9583979595619782E-3</v>
      </c>
      <c r="E246" s="111">
        <v>2.7581546219673898</v>
      </c>
      <c r="F246" s="87" t="s">
        <v>1952</v>
      </c>
      <c r="G246" s="87" t="b">
        <v>0</v>
      </c>
      <c r="H246" s="87" t="b">
        <v>0</v>
      </c>
      <c r="I246" s="87" t="b">
        <v>0</v>
      </c>
      <c r="J246" s="87" t="b">
        <v>0</v>
      </c>
      <c r="K246" s="87" t="b">
        <v>0</v>
      </c>
      <c r="L246" s="87" t="b">
        <v>0</v>
      </c>
    </row>
    <row r="247" spans="1:12" x14ac:dyDescent="0.25">
      <c r="A247" s="84" t="s">
        <v>1857</v>
      </c>
      <c r="B247" s="87" t="s">
        <v>1878</v>
      </c>
      <c r="C247" s="87">
        <v>2</v>
      </c>
      <c r="D247" s="111">
        <v>1.9583979595619782E-3</v>
      </c>
      <c r="E247" s="111">
        <v>2.9342458810230712</v>
      </c>
      <c r="F247" s="87" t="s">
        <v>1952</v>
      </c>
      <c r="G247" s="87" t="b">
        <v>0</v>
      </c>
      <c r="H247" s="87" t="b">
        <v>0</v>
      </c>
      <c r="I247" s="87" t="b">
        <v>0</v>
      </c>
      <c r="J247" s="87" t="b">
        <v>0</v>
      </c>
      <c r="K247" s="87" t="b">
        <v>0</v>
      </c>
      <c r="L247" s="87" t="b">
        <v>0</v>
      </c>
    </row>
    <row r="248" spans="1:12" x14ac:dyDescent="0.25">
      <c r="A248" s="84" t="s">
        <v>1651</v>
      </c>
      <c r="B248" s="87" t="s">
        <v>1819</v>
      </c>
      <c r="C248" s="87">
        <v>2</v>
      </c>
      <c r="D248" s="111">
        <v>1.9583979595619782E-3</v>
      </c>
      <c r="E248" s="111">
        <v>2.1560946306394277</v>
      </c>
      <c r="F248" s="87" t="s">
        <v>1952</v>
      </c>
      <c r="G248" s="87" t="b">
        <v>0</v>
      </c>
      <c r="H248" s="87" t="b">
        <v>0</v>
      </c>
      <c r="I248" s="87" t="b">
        <v>0</v>
      </c>
      <c r="J248" s="87" t="b">
        <v>0</v>
      </c>
      <c r="K248" s="87" t="b">
        <v>0</v>
      </c>
      <c r="L248" s="87" t="b">
        <v>0</v>
      </c>
    </row>
    <row r="249" spans="1:12" x14ac:dyDescent="0.25">
      <c r="A249" s="84" t="s">
        <v>1908</v>
      </c>
      <c r="B249" s="87" t="s">
        <v>1940</v>
      </c>
      <c r="C249" s="87">
        <v>2</v>
      </c>
      <c r="D249" s="111">
        <v>1.9583979595619782E-3</v>
      </c>
      <c r="E249" s="111">
        <v>2.9342458810230712</v>
      </c>
      <c r="F249" s="87" t="s">
        <v>1952</v>
      </c>
      <c r="G249" s="87" t="b">
        <v>0</v>
      </c>
      <c r="H249" s="87" t="b">
        <v>0</v>
      </c>
      <c r="I249" s="87" t="b">
        <v>0</v>
      </c>
      <c r="J249" s="87" t="b">
        <v>0</v>
      </c>
      <c r="K249" s="87" t="b">
        <v>0</v>
      </c>
      <c r="L249" s="87" t="b">
        <v>0</v>
      </c>
    </row>
    <row r="250" spans="1:12" x14ac:dyDescent="0.25">
      <c r="A250" s="84" t="s">
        <v>1692</v>
      </c>
      <c r="B250" s="87" t="s">
        <v>1723</v>
      </c>
      <c r="C250" s="87">
        <v>2</v>
      </c>
      <c r="D250" s="111">
        <v>1.9583979595619782E-3</v>
      </c>
      <c r="E250" s="111">
        <v>2.0591846176313711</v>
      </c>
      <c r="F250" s="87" t="s">
        <v>1952</v>
      </c>
      <c r="G250" s="87" t="b">
        <v>0</v>
      </c>
      <c r="H250" s="87" t="b">
        <v>0</v>
      </c>
      <c r="I250" s="87" t="b">
        <v>0</v>
      </c>
      <c r="J250" s="87" t="b">
        <v>0</v>
      </c>
      <c r="K250" s="87" t="b">
        <v>0</v>
      </c>
      <c r="L250" s="87" t="b">
        <v>0</v>
      </c>
    </row>
    <row r="251" spans="1:12" x14ac:dyDescent="0.25">
      <c r="A251" s="84" t="s">
        <v>333</v>
      </c>
      <c r="B251" s="87" t="s">
        <v>332</v>
      </c>
      <c r="C251" s="87">
        <v>2</v>
      </c>
      <c r="D251" s="111">
        <v>1.9583979595619782E-3</v>
      </c>
      <c r="E251" s="111">
        <v>2.9342458810230712</v>
      </c>
      <c r="F251" s="87" t="s">
        <v>1952</v>
      </c>
      <c r="G251" s="87" t="b">
        <v>0</v>
      </c>
      <c r="H251" s="87" t="b">
        <v>0</v>
      </c>
      <c r="I251" s="87" t="b">
        <v>0</v>
      </c>
      <c r="J251" s="87" t="b">
        <v>0</v>
      </c>
      <c r="K251" s="87" t="b">
        <v>0</v>
      </c>
      <c r="L251" s="87" t="b">
        <v>0</v>
      </c>
    </row>
    <row r="252" spans="1:12" x14ac:dyDescent="0.25">
      <c r="A252" s="84" t="s">
        <v>1911</v>
      </c>
      <c r="B252" s="87" t="s">
        <v>1919</v>
      </c>
      <c r="C252" s="87">
        <v>2</v>
      </c>
      <c r="D252" s="111">
        <v>1.9583979595619782E-3</v>
      </c>
      <c r="E252" s="111">
        <v>2.9342458810230712</v>
      </c>
      <c r="F252" s="87" t="s">
        <v>1952</v>
      </c>
      <c r="G252" s="87" t="b">
        <v>0</v>
      </c>
      <c r="H252" s="87" t="b">
        <v>0</v>
      </c>
      <c r="I252" s="87" t="b">
        <v>0</v>
      </c>
      <c r="J252" s="87" t="b">
        <v>0</v>
      </c>
      <c r="K252" s="87" t="b">
        <v>0</v>
      </c>
      <c r="L252" s="87" t="b">
        <v>0</v>
      </c>
    </row>
    <row r="253" spans="1:12" x14ac:dyDescent="0.25">
      <c r="A253" s="84" t="s">
        <v>1666</v>
      </c>
      <c r="B253" s="87" t="s">
        <v>1888</v>
      </c>
      <c r="C253" s="87">
        <v>2</v>
      </c>
      <c r="D253" s="111">
        <v>1.9583979595619782E-3</v>
      </c>
      <c r="E253" s="111">
        <v>2.3321858896951091</v>
      </c>
      <c r="F253" s="87" t="s">
        <v>1952</v>
      </c>
      <c r="G253" s="87" t="b">
        <v>1</v>
      </c>
      <c r="H253" s="87" t="b">
        <v>0</v>
      </c>
      <c r="I253" s="87" t="b">
        <v>0</v>
      </c>
      <c r="J253" s="87" t="b">
        <v>0</v>
      </c>
      <c r="K253" s="87" t="b">
        <v>0</v>
      </c>
      <c r="L253" s="87" t="b">
        <v>0</v>
      </c>
    </row>
    <row r="254" spans="1:12" x14ac:dyDescent="0.25">
      <c r="A254" s="84" t="s">
        <v>1644</v>
      </c>
      <c r="B254" s="87" t="s">
        <v>1922</v>
      </c>
      <c r="C254" s="87">
        <v>2</v>
      </c>
      <c r="D254" s="111">
        <v>1.9583979595619782E-3</v>
      </c>
      <c r="E254" s="111">
        <v>1.9565222757342235</v>
      </c>
      <c r="F254" s="87" t="s">
        <v>1952</v>
      </c>
      <c r="G254" s="87" t="b">
        <v>0</v>
      </c>
      <c r="H254" s="87" t="b">
        <v>0</v>
      </c>
      <c r="I254" s="87" t="b">
        <v>0</v>
      </c>
      <c r="J254" s="87" t="b">
        <v>1</v>
      </c>
      <c r="K254" s="87" t="b">
        <v>0</v>
      </c>
      <c r="L254" s="87" t="b">
        <v>0</v>
      </c>
    </row>
    <row r="255" spans="1:12" x14ac:dyDescent="0.25">
      <c r="A255" s="84" t="s">
        <v>357</v>
      </c>
      <c r="B255" s="87" t="s">
        <v>301</v>
      </c>
      <c r="C255" s="87">
        <v>2</v>
      </c>
      <c r="D255" s="111">
        <v>1.9583979595619782E-3</v>
      </c>
      <c r="E255" s="111">
        <v>2.9342458810230712</v>
      </c>
      <c r="F255" s="87" t="s">
        <v>1952</v>
      </c>
      <c r="G255" s="87" t="b">
        <v>0</v>
      </c>
      <c r="H255" s="87" t="b">
        <v>0</v>
      </c>
      <c r="I255" s="87" t="b">
        <v>0</v>
      </c>
      <c r="J255" s="87" t="b">
        <v>0</v>
      </c>
      <c r="K255" s="87" t="b">
        <v>0</v>
      </c>
      <c r="L255" s="87" t="b">
        <v>0</v>
      </c>
    </row>
    <row r="256" spans="1:12" x14ac:dyDescent="0.25">
      <c r="A256" s="84" t="s">
        <v>1767</v>
      </c>
      <c r="B256" s="87" t="s">
        <v>1933</v>
      </c>
      <c r="C256" s="87">
        <v>2</v>
      </c>
      <c r="D256" s="111">
        <v>1.9583979595619782E-3</v>
      </c>
      <c r="E256" s="111">
        <v>2.7581546219673898</v>
      </c>
      <c r="F256" s="87" t="s">
        <v>1952</v>
      </c>
      <c r="G256" s="87" t="b">
        <v>0</v>
      </c>
      <c r="H256" s="87" t="b">
        <v>0</v>
      </c>
      <c r="I256" s="87" t="b">
        <v>0</v>
      </c>
      <c r="J256" s="87" t="b">
        <v>0</v>
      </c>
      <c r="K256" s="87" t="b">
        <v>0</v>
      </c>
      <c r="L256" s="87" t="b">
        <v>0</v>
      </c>
    </row>
    <row r="257" spans="1:12" x14ac:dyDescent="0.25">
      <c r="A257" s="84" t="s">
        <v>1861</v>
      </c>
      <c r="B257" s="87" t="s">
        <v>1855</v>
      </c>
      <c r="C257" s="87">
        <v>2</v>
      </c>
      <c r="D257" s="111">
        <v>1.9583979595619782E-3</v>
      </c>
      <c r="E257" s="111">
        <v>2.9342458810230712</v>
      </c>
      <c r="F257" s="87" t="s">
        <v>1952</v>
      </c>
      <c r="G257" s="87" t="b">
        <v>0</v>
      </c>
      <c r="H257" s="87" t="b">
        <v>0</v>
      </c>
      <c r="I257" s="87" t="b">
        <v>0</v>
      </c>
      <c r="J257" s="87" t="b">
        <v>0</v>
      </c>
      <c r="K257" s="87" t="b">
        <v>0</v>
      </c>
      <c r="L257" s="87" t="b">
        <v>0</v>
      </c>
    </row>
    <row r="258" spans="1:12" x14ac:dyDescent="0.25">
      <c r="A258" s="84" t="s">
        <v>1921</v>
      </c>
      <c r="B258" s="87" t="s">
        <v>1747</v>
      </c>
      <c r="C258" s="87">
        <v>2</v>
      </c>
      <c r="D258" s="111">
        <v>1.9583979595619782E-3</v>
      </c>
      <c r="E258" s="111">
        <v>2.6332158853590899</v>
      </c>
      <c r="F258" s="87" t="s">
        <v>1952</v>
      </c>
      <c r="G258" s="87" t="b">
        <v>0</v>
      </c>
      <c r="H258" s="87" t="b">
        <v>0</v>
      </c>
      <c r="I258" s="87" t="b">
        <v>0</v>
      </c>
      <c r="J258" s="87" t="b">
        <v>0</v>
      </c>
      <c r="K258" s="87" t="b">
        <v>0</v>
      </c>
      <c r="L258" s="87" t="b">
        <v>0</v>
      </c>
    </row>
    <row r="259" spans="1:12" x14ac:dyDescent="0.25">
      <c r="A259" s="84" t="s">
        <v>1881</v>
      </c>
      <c r="B259" s="87" t="s">
        <v>1866</v>
      </c>
      <c r="C259" s="87">
        <v>2</v>
      </c>
      <c r="D259" s="111">
        <v>1.9583979595619782E-3</v>
      </c>
      <c r="E259" s="111">
        <v>2.9342458810230712</v>
      </c>
      <c r="F259" s="87" t="s">
        <v>1952</v>
      </c>
      <c r="G259" s="87" t="b">
        <v>0</v>
      </c>
      <c r="H259" s="87" t="b">
        <v>0</v>
      </c>
      <c r="I259" s="87" t="b">
        <v>0</v>
      </c>
      <c r="J259" s="87" t="b">
        <v>0</v>
      </c>
      <c r="K259" s="87" t="b">
        <v>0</v>
      </c>
      <c r="L259" s="87" t="b">
        <v>0</v>
      </c>
    </row>
    <row r="260" spans="1:12" x14ac:dyDescent="0.25">
      <c r="A260" s="84" t="s">
        <v>1817</v>
      </c>
      <c r="B260" s="87" t="s">
        <v>275</v>
      </c>
      <c r="C260" s="87">
        <v>2</v>
      </c>
      <c r="D260" s="111">
        <v>1.9583979595619782E-3</v>
      </c>
      <c r="E260" s="111">
        <v>1.9800033715837464</v>
      </c>
      <c r="F260" s="87" t="s">
        <v>1952</v>
      </c>
      <c r="G260" s="87" t="b">
        <v>0</v>
      </c>
      <c r="H260" s="87" t="b">
        <v>0</v>
      </c>
      <c r="I260" s="87" t="b">
        <v>0</v>
      </c>
      <c r="J260" s="87" t="b">
        <v>0</v>
      </c>
      <c r="K260" s="87" t="b">
        <v>0</v>
      </c>
      <c r="L260" s="87" t="b">
        <v>0</v>
      </c>
    </row>
    <row r="261" spans="1:12" x14ac:dyDescent="0.25">
      <c r="A261" s="84" t="s">
        <v>328</v>
      </c>
      <c r="B261" s="87" t="s">
        <v>1751</v>
      </c>
      <c r="C261" s="87">
        <v>2</v>
      </c>
      <c r="D261" s="111">
        <v>1.9583979595619782E-3</v>
      </c>
      <c r="E261" s="111">
        <v>2.6332158853590899</v>
      </c>
      <c r="F261" s="87" t="s">
        <v>1952</v>
      </c>
      <c r="G261" s="87" t="b">
        <v>0</v>
      </c>
      <c r="H261" s="87" t="b">
        <v>0</v>
      </c>
      <c r="I261" s="87" t="b">
        <v>0</v>
      </c>
      <c r="J261" s="87" t="b">
        <v>0</v>
      </c>
      <c r="K261" s="87" t="b">
        <v>0</v>
      </c>
      <c r="L261" s="87" t="b">
        <v>0</v>
      </c>
    </row>
    <row r="262" spans="1:12" x14ac:dyDescent="0.25">
      <c r="A262" s="84" t="s">
        <v>1899</v>
      </c>
      <c r="B262" s="87" t="s">
        <v>1752</v>
      </c>
      <c r="C262" s="87">
        <v>2</v>
      </c>
      <c r="D262" s="111">
        <v>1.9583979595619782E-3</v>
      </c>
      <c r="E262" s="111">
        <v>2.6332158853590899</v>
      </c>
      <c r="F262" s="87" t="s">
        <v>1952</v>
      </c>
      <c r="G262" s="87" t="b">
        <v>0</v>
      </c>
      <c r="H262" s="87" t="b">
        <v>0</v>
      </c>
      <c r="I262" s="87" t="b">
        <v>0</v>
      </c>
      <c r="J262" s="87" t="b">
        <v>0</v>
      </c>
      <c r="K262" s="87" t="b">
        <v>0</v>
      </c>
      <c r="L262" s="87" t="b">
        <v>0</v>
      </c>
    </row>
    <row r="263" spans="1:12" x14ac:dyDescent="0.25">
      <c r="A263" s="84" t="s">
        <v>1863</v>
      </c>
      <c r="B263" s="87" t="s">
        <v>1646</v>
      </c>
      <c r="C263" s="87">
        <v>2</v>
      </c>
      <c r="D263" s="111">
        <v>1.9583979595619782E-3</v>
      </c>
      <c r="E263" s="111">
        <v>1.9800033715837464</v>
      </c>
      <c r="F263" s="87" t="s">
        <v>1952</v>
      </c>
      <c r="G263" s="87" t="b">
        <v>0</v>
      </c>
      <c r="H263" s="87" t="b">
        <v>0</v>
      </c>
      <c r="I263" s="87" t="b">
        <v>0</v>
      </c>
      <c r="J263" s="87" t="b">
        <v>0</v>
      </c>
      <c r="K263" s="87" t="b">
        <v>0</v>
      </c>
      <c r="L263" s="87" t="b">
        <v>0</v>
      </c>
    </row>
    <row r="264" spans="1:12" x14ac:dyDescent="0.25">
      <c r="A264" s="84" t="s">
        <v>1902</v>
      </c>
      <c r="B264" s="87" t="s">
        <v>1829</v>
      </c>
      <c r="C264" s="87">
        <v>2</v>
      </c>
      <c r="D264" s="111">
        <v>1.9583979595619782E-3</v>
      </c>
      <c r="E264" s="111">
        <v>2.9342458810230712</v>
      </c>
      <c r="F264" s="87" t="s">
        <v>1952</v>
      </c>
      <c r="G264" s="87" t="b">
        <v>0</v>
      </c>
      <c r="H264" s="87" t="b">
        <v>0</v>
      </c>
      <c r="I264" s="87" t="b">
        <v>0</v>
      </c>
      <c r="J264" s="87" t="b">
        <v>1</v>
      </c>
      <c r="K264" s="87" t="b">
        <v>0</v>
      </c>
      <c r="L264" s="87" t="b">
        <v>0</v>
      </c>
    </row>
    <row r="265" spans="1:12" x14ac:dyDescent="0.25">
      <c r="A265" s="84" t="s">
        <v>280</v>
      </c>
      <c r="B265" s="87" t="s">
        <v>334</v>
      </c>
      <c r="C265" s="87">
        <v>2</v>
      </c>
      <c r="D265" s="111">
        <v>1.9583979595619782E-3</v>
      </c>
      <c r="E265" s="111">
        <v>2.457124626303409</v>
      </c>
      <c r="F265" s="87" t="s">
        <v>1952</v>
      </c>
      <c r="G265" s="87" t="b">
        <v>0</v>
      </c>
      <c r="H265" s="87" t="b">
        <v>0</v>
      </c>
      <c r="I265" s="87" t="b">
        <v>0</v>
      </c>
      <c r="J265" s="87" t="b">
        <v>0</v>
      </c>
      <c r="K265" s="87" t="b">
        <v>0</v>
      </c>
      <c r="L265" s="87" t="b">
        <v>0</v>
      </c>
    </row>
    <row r="266" spans="1:12" x14ac:dyDescent="0.25">
      <c r="A266" s="84" t="s">
        <v>321</v>
      </c>
      <c r="B266" s="87" t="s">
        <v>1859</v>
      </c>
      <c r="C266" s="87">
        <v>2</v>
      </c>
      <c r="D266" s="111">
        <v>1.9583979595619782E-3</v>
      </c>
      <c r="E266" s="111">
        <v>2.9342458810230712</v>
      </c>
      <c r="F266" s="87" t="s">
        <v>1952</v>
      </c>
      <c r="G266" s="87" t="b">
        <v>0</v>
      </c>
      <c r="H266" s="87" t="b">
        <v>0</v>
      </c>
      <c r="I266" s="87" t="b">
        <v>0</v>
      </c>
      <c r="J266" s="87" t="b">
        <v>0</v>
      </c>
      <c r="K266" s="87" t="b">
        <v>0</v>
      </c>
      <c r="L266" s="87" t="b">
        <v>0</v>
      </c>
    </row>
    <row r="267" spans="1:12" x14ac:dyDescent="0.25">
      <c r="A267" s="84" t="s">
        <v>1925</v>
      </c>
      <c r="B267" s="87" t="s">
        <v>1756</v>
      </c>
      <c r="C267" s="87">
        <v>2</v>
      </c>
      <c r="D267" s="111">
        <v>1.9583979595619782E-3</v>
      </c>
      <c r="E267" s="111">
        <v>2.6332158853590899</v>
      </c>
      <c r="F267" s="87" t="s">
        <v>1952</v>
      </c>
      <c r="G267" s="87" t="b">
        <v>0</v>
      </c>
      <c r="H267" s="87" t="b">
        <v>0</v>
      </c>
      <c r="I267" s="87" t="b">
        <v>0</v>
      </c>
      <c r="J267" s="87" t="b">
        <v>0</v>
      </c>
      <c r="K267" s="87" t="b">
        <v>0</v>
      </c>
      <c r="L267" s="87" t="b">
        <v>0</v>
      </c>
    </row>
    <row r="268" spans="1:12" x14ac:dyDescent="0.25">
      <c r="A268" s="84" t="s">
        <v>1941</v>
      </c>
      <c r="B268" s="87" t="s">
        <v>1845</v>
      </c>
      <c r="C268" s="87">
        <v>2</v>
      </c>
      <c r="D268" s="111">
        <v>1.9583979595619782E-3</v>
      </c>
      <c r="E268" s="111">
        <v>2.9342458810230712</v>
      </c>
      <c r="F268" s="87" t="s">
        <v>1952</v>
      </c>
      <c r="G268" s="87" t="b">
        <v>0</v>
      </c>
      <c r="H268" s="87" t="b">
        <v>0</v>
      </c>
      <c r="I268" s="87" t="b">
        <v>0</v>
      </c>
      <c r="J268" s="87" t="b">
        <v>0</v>
      </c>
      <c r="K268" s="87" t="b">
        <v>0</v>
      </c>
      <c r="L268" s="87" t="b">
        <v>0</v>
      </c>
    </row>
    <row r="269" spans="1:12" x14ac:dyDescent="0.25">
      <c r="A269" s="84" t="s">
        <v>1695</v>
      </c>
      <c r="B269" s="87" t="s">
        <v>1695</v>
      </c>
      <c r="C269" s="87">
        <v>2</v>
      </c>
      <c r="D269" s="111">
        <v>1.9583979595619782E-3</v>
      </c>
      <c r="E269" s="111">
        <v>1.9800033715837464</v>
      </c>
      <c r="F269" s="87" t="s">
        <v>1952</v>
      </c>
      <c r="G269" s="87" t="b">
        <v>1</v>
      </c>
      <c r="H269" s="87" t="b">
        <v>0</v>
      </c>
      <c r="I269" s="87" t="b">
        <v>0</v>
      </c>
      <c r="J269" s="87" t="b">
        <v>1</v>
      </c>
      <c r="K269" s="87" t="b">
        <v>0</v>
      </c>
      <c r="L269" s="87" t="b">
        <v>0</v>
      </c>
    </row>
    <row r="270" spans="1:12" x14ac:dyDescent="0.25">
      <c r="A270" s="84" t="s">
        <v>1843</v>
      </c>
      <c r="B270" s="87" t="s">
        <v>1901</v>
      </c>
      <c r="C270" s="87">
        <v>2</v>
      </c>
      <c r="D270" s="111">
        <v>1.9583979595619782E-3</v>
      </c>
      <c r="E270" s="111">
        <v>2.9342458810230712</v>
      </c>
      <c r="F270" s="87" t="s">
        <v>1952</v>
      </c>
      <c r="G270" s="87" t="b">
        <v>0</v>
      </c>
      <c r="H270" s="87" t="b">
        <v>0</v>
      </c>
      <c r="I270" s="87" t="b">
        <v>0</v>
      </c>
      <c r="J270" s="87" t="b">
        <v>0</v>
      </c>
      <c r="K270" s="87" t="b">
        <v>0</v>
      </c>
      <c r="L270" s="87" t="b">
        <v>0</v>
      </c>
    </row>
    <row r="271" spans="1:12" x14ac:dyDescent="0.25">
      <c r="A271" s="84" t="s">
        <v>1813</v>
      </c>
      <c r="B271" s="87" t="s">
        <v>1881</v>
      </c>
      <c r="C271" s="87">
        <v>2</v>
      </c>
      <c r="D271" s="111">
        <v>1.9583979595619782E-3</v>
      </c>
      <c r="E271" s="111">
        <v>2.9342458810230712</v>
      </c>
      <c r="F271" s="87" t="s">
        <v>1952</v>
      </c>
      <c r="G271" s="87" t="b">
        <v>0</v>
      </c>
      <c r="H271" s="87" t="b">
        <v>1</v>
      </c>
      <c r="I271" s="87" t="b">
        <v>0</v>
      </c>
      <c r="J271" s="87" t="b">
        <v>0</v>
      </c>
      <c r="K271" s="87" t="b">
        <v>0</v>
      </c>
      <c r="L271" s="87" t="b">
        <v>0</v>
      </c>
    </row>
    <row r="272" spans="1:12" x14ac:dyDescent="0.25">
      <c r="A272" s="84" t="s">
        <v>329</v>
      </c>
      <c r="B272" s="87" t="s">
        <v>328</v>
      </c>
      <c r="C272" s="87">
        <v>2</v>
      </c>
      <c r="D272" s="111">
        <v>1.9583979595619782E-3</v>
      </c>
      <c r="E272" s="111">
        <v>2.9342458810230712</v>
      </c>
      <c r="F272" s="87" t="s">
        <v>1952</v>
      </c>
      <c r="G272" s="87" t="b">
        <v>0</v>
      </c>
      <c r="H272" s="87" t="b">
        <v>0</v>
      </c>
      <c r="I272" s="87" t="b">
        <v>0</v>
      </c>
      <c r="J272" s="87" t="b">
        <v>0</v>
      </c>
      <c r="K272" s="87" t="b">
        <v>0</v>
      </c>
      <c r="L272" s="87" t="b">
        <v>0</v>
      </c>
    </row>
    <row r="273" spans="1:12" x14ac:dyDescent="0.25">
      <c r="A273" s="84" t="s">
        <v>1942</v>
      </c>
      <c r="B273" s="87" t="s">
        <v>1834</v>
      </c>
      <c r="C273" s="87">
        <v>2</v>
      </c>
      <c r="D273" s="111">
        <v>1.9583979595619782E-3</v>
      </c>
      <c r="E273" s="111">
        <v>2.9342458810230712</v>
      </c>
      <c r="F273" s="87" t="s">
        <v>1952</v>
      </c>
      <c r="G273" s="87" t="b">
        <v>0</v>
      </c>
      <c r="H273" s="87" t="b">
        <v>0</v>
      </c>
      <c r="I273" s="87" t="b">
        <v>0</v>
      </c>
      <c r="J273" s="87" t="b">
        <v>0</v>
      </c>
      <c r="K273" s="87" t="b">
        <v>0</v>
      </c>
      <c r="L273" s="87" t="b">
        <v>0</v>
      </c>
    </row>
    <row r="274" spans="1:12" x14ac:dyDescent="0.25">
      <c r="A274" s="84" t="s">
        <v>252</v>
      </c>
      <c r="B274" s="87" t="s">
        <v>1798</v>
      </c>
      <c r="C274" s="87">
        <v>2</v>
      </c>
      <c r="D274" s="111">
        <v>1.9583979595619782E-3</v>
      </c>
      <c r="E274" s="111">
        <v>2.2352758766870524</v>
      </c>
      <c r="F274" s="87" t="s">
        <v>1952</v>
      </c>
      <c r="G274" s="87" t="b">
        <v>0</v>
      </c>
      <c r="H274" s="87" t="b">
        <v>0</v>
      </c>
      <c r="I274" s="87" t="b">
        <v>0</v>
      </c>
      <c r="J274" s="87" t="b">
        <v>0</v>
      </c>
      <c r="K274" s="87" t="b">
        <v>0</v>
      </c>
      <c r="L274" s="87" t="b">
        <v>0</v>
      </c>
    </row>
    <row r="275" spans="1:12" x14ac:dyDescent="0.25">
      <c r="A275" s="84" t="s">
        <v>267</v>
      </c>
      <c r="B275" s="87" t="s">
        <v>1677</v>
      </c>
      <c r="C275" s="87">
        <v>2</v>
      </c>
      <c r="D275" s="111">
        <v>1.9583979595619782E-3</v>
      </c>
      <c r="E275" s="111">
        <v>2.2140865776171141</v>
      </c>
      <c r="F275" s="87" t="s">
        <v>1952</v>
      </c>
      <c r="G275" s="87" t="b">
        <v>0</v>
      </c>
      <c r="H275" s="87" t="b">
        <v>0</v>
      </c>
      <c r="I275" s="87" t="b">
        <v>0</v>
      </c>
      <c r="J275" s="87" t="b">
        <v>0</v>
      </c>
      <c r="K275" s="87" t="b">
        <v>0</v>
      </c>
      <c r="L275" s="87" t="b">
        <v>0</v>
      </c>
    </row>
    <row r="276" spans="1:12" x14ac:dyDescent="0.25">
      <c r="A276" s="84" t="s">
        <v>1864</v>
      </c>
      <c r="B276" s="87" t="s">
        <v>1911</v>
      </c>
      <c r="C276" s="87">
        <v>2</v>
      </c>
      <c r="D276" s="111">
        <v>1.9583979595619782E-3</v>
      </c>
      <c r="E276" s="111">
        <v>2.9342458810230712</v>
      </c>
      <c r="F276" s="87" t="s">
        <v>1952</v>
      </c>
      <c r="G276" s="87" t="b">
        <v>0</v>
      </c>
      <c r="H276" s="87" t="b">
        <v>0</v>
      </c>
      <c r="I276" s="87" t="b">
        <v>0</v>
      </c>
      <c r="J276" s="87" t="b">
        <v>0</v>
      </c>
      <c r="K276" s="87" t="b">
        <v>0</v>
      </c>
      <c r="L276" s="87" t="b">
        <v>0</v>
      </c>
    </row>
    <row r="277" spans="1:12" x14ac:dyDescent="0.25">
      <c r="A277" s="84" t="s">
        <v>1790</v>
      </c>
      <c r="B277" s="87" t="s">
        <v>1917</v>
      </c>
      <c r="C277" s="87">
        <v>2</v>
      </c>
      <c r="D277" s="111">
        <v>1.9583979595619782E-3</v>
      </c>
      <c r="E277" s="111">
        <v>2.7581546219673898</v>
      </c>
      <c r="F277" s="87" t="s">
        <v>1952</v>
      </c>
      <c r="G277" s="87" t="b">
        <v>0</v>
      </c>
      <c r="H277" s="87" t="b">
        <v>0</v>
      </c>
      <c r="I277" s="87" t="b">
        <v>0</v>
      </c>
      <c r="J277" s="87" t="b">
        <v>0</v>
      </c>
      <c r="K277" s="87" t="b">
        <v>0</v>
      </c>
      <c r="L277" s="87" t="b">
        <v>0</v>
      </c>
    </row>
    <row r="278" spans="1:12" x14ac:dyDescent="0.25">
      <c r="A278" s="84" t="s">
        <v>1647</v>
      </c>
      <c r="B278" s="87" t="s">
        <v>261</v>
      </c>
      <c r="C278" s="87">
        <v>2</v>
      </c>
      <c r="D278" s="111">
        <v>1.9583979595619782E-3</v>
      </c>
      <c r="E278" s="111">
        <v>1.5540346393114652</v>
      </c>
      <c r="F278" s="87" t="s">
        <v>1952</v>
      </c>
      <c r="G278" s="87" t="b">
        <v>0</v>
      </c>
      <c r="H278" s="87" t="b">
        <v>0</v>
      </c>
      <c r="I278" s="87" t="b">
        <v>0</v>
      </c>
      <c r="J278" s="87" t="b">
        <v>0</v>
      </c>
      <c r="K278" s="87" t="b">
        <v>0</v>
      </c>
      <c r="L278" s="87" t="b">
        <v>0</v>
      </c>
    </row>
    <row r="279" spans="1:12" x14ac:dyDescent="0.25">
      <c r="A279" s="84" t="s">
        <v>268</v>
      </c>
      <c r="B279" s="87" t="s">
        <v>1884</v>
      </c>
      <c r="C279" s="87">
        <v>2</v>
      </c>
      <c r="D279" s="111">
        <v>1.9583979595619782E-3</v>
      </c>
      <c r="E279" s="111">
        <v>1.4718478831241151</v>
      </c>
      <c r="F279" s="87" t="s">
        <v>1952</v>
      </c>
      <c r="G279" s="87" t="b">
        <v>0</v>
      </c>
      <c r="H279" s="87" t="b">
        <v>0</v>
      </c>
      <c r="I279" s="87" t="b">
        <v>0</v>
      </c>
      <c r="J279" s="87" t="b">
        <v>0</v>
      </c>
      <c r="K279" s="87" t="b">
        <v>0</v>
      </c>
      <c r="L279" s="87" t="b">
        <v>0</v>
      </c>
    </row>
    <row r="280" spans="1:12" x14ac:dyDescent="0.25">
      <c r="A280" s="84" t="s">
        <v>1847</v>
      </c>
      <c r="B280" s="87" t="s">
        <v>1851</v>
      </c>
      <c r="C280" s="87">
        <v>2</v>
      </c>
      <c r="D280" s="111">
        <v>1.9583979595619782E-3</v>
      </c>
      <c r="E280" s="111">
        <v>2.9342458810230712</v>
      </c>
      <c r="F280" s="87" t="s">
        <v>1952</v>
      </c>
      <c r="G280" s="87" t="b">
        <v>0</v>
      </c>
      <c r="H280" s="87" t="b">
        <v>0</v>
      </c>
      <c r="I280" s="87" t="b">
        <v>0</v>
      </c>
      <c r="J280" s="87" t="b">
        <v>0</v>
      </c>
      <c r="K280" s="87" t="b">
        <v>0</v>
      </c>
      <c r="L280" s="87" t="b">
        <v>0</v>
      </c>
    </row>
    <row r="281" spans="1:12" x14ac:dyDescent="0.25">
      <c r="A281" s="84" t="s">
        <v>1669</v>
      </c>
      <c r="B281" s="87" t="s">
        <v>350</v>
      </c>
      <c r="C281" s="87">
        <v>2</v>
      </c>
      <c r="D281" s="111">
        <v>1.9583979595619782E-3</v>
      </c>
      <c r="E281" s="111">
        <v>2.2810333672477277</v>
      </c>
      <c r="F281" s="87" t="s">
        <v>1952</v>
      </c>
      <c r="G281" s="87" t="b">
        <v>0</v>
      </c>
      <c r="H281" s="87" t="b">
        <v>0</v>
      </c>
      <c r="I281" s="87" t="b">
        <v>0</v>
      </c>
      <c r="J281" s="87" t="b">
        <v>0</v>
      </c>
      <c r="K281" s="87" t="b">
        <v>0</v>
      </c>
      <c r="L281" s="87" t="b">
        <v>0</v>
      </c>
    </row>
    <row r="282" spans="1:12" x14ac:dyDescent="0.25">
      <c r="A282" s="84" t="s">
        <v>1943</v>
      </c>
      <c r="B282" s="87" t="s">
        <v>1671</v>
      </c>
      <c r="C282" s="87">
        <v>2</v>
      </c>
      <c r="D282" s="111">
        <v>1.9583979595619782E-3</v>
      </c>
      <c r="E282" s="111">
        <v>2.3901778366727955</v>
      </c>
      <c r="F282" s="87" t="s">
        <v>1952</v>
      </c>
      <c r="G282" s="87" t="b">
        <v>0</v>
      </c>
      <c r="H282" s="87" t="b">
        <v>0</v>
      </c>
      <c r="I282" s="87" t="b">
        <v>0</v>
      </c>
      <c r="J282" s="87" t="b">
        <v>0</v>
      </c>
      <c r="K282" s="87" t="b">
        <v>0</v>
      </c>
      <c r="L282" s="87" t="b">
        <v>0</v>
      </c>
    </row>
    <row r="283" spans="1:12" x14ac:dyDescent="0.25">
      <c r="A283" s="84" t="s">
        <v>1769</v>
      </c>
      <c r="B283" s="87" t="s">
        <v>1930</v>
      </c>
      <c r="C283" s="87">
        <v>2</v>
      </c>
      <c r="D283" s="111">
        <v>1.9583979595619782E-3</v>
      </c>
      <c r="E283" s="111">
        <v>2.7581546219673898</v>
      </c>
      <c r="F283" s="87" t="s">
        <v>1952</v>
      </c>
      <c r="G283" s="87" t="b">
        <v>0</v>
      </c>
      <c r="H283" s="87" t="b">
        <v>0</v>
      </c>
      <c r="I283" s="87" t="b">
        <v>0</v>
      </c>
      <c r="J283" s="87" t="b">
        <v>0</v>
      </c>
      <c r="K283" s="87" t="b">
        <v>0</v>
      </c>
      <c r="L283" s="87" t="b">
        <v>0</v>
      </c>
    </row>
    <row r="284" spans="1:12" x14ac:dyDescent="0.25">
      <c r="A284" s="84" t="s">
        <v>1647</v>
      </c>
      <c r="B284" s="87" t="s">
        <v>1783</v>
      </c>
      <c r="C284" s="87">
        <v>2</v>
      </c>
      <c r="D284" s="111">
        <v>1.9583979595619782E-3</v>
      </c>
      <c r="E284" s="111">
        <v>1.8550646349754465</v>
      </c>
      <c r="F284" s="87" t="s">
        <v>1952</v>
      </c>
      <c r="G284" s="87" t="b">
        <v>0</v>
      </c>
      <c r="H284" s="87" t="b">
        <v>0</v>
      </c>
      <c r="I284" s="87" t="b">
        <v>0</v>
      </c>
      <c r="J284" s="87" t="b">
        <v>0</v>
      </c>
      <c r="K284" s="87" t="b">
        <v>0</v>
      </c>
      <c r="L284" s="87" t="b">
        <v>0</v>
      </c>
    </row>
    <row r="285" spans="1:12" x14ac:dyDescent="0.25">
      <c r="A285" s="84" t="s">
        <v>1647</v>
      </c>
      <c r="B285" s="87" t="s">
        <v>1812</v>
      </c>
      <c r="C285" s="87">
        <v>2</v>
      </c>
      <c r="D285" s="111">
        <v>1.9583979595619782E-3</v>
      </c>
      <c r="E285" s="111">
        <v>2.0311558940311278</v>
      </c>
      <c r="F285" s="87" t="s">
        <v>1952</v>
      </c>
      <c r="G285" s="87" t="b">
        <v>0</v>
      </c>
      <c r="H285" s="87" t="b">
        <v>0</v>
      </c>
      <c r="I285" s="87" t="b">
        <v>0</v>
      </c>
      <c r="J285" s="87" t="b">
        <v>0</v>
      </c>
      <c r="K285" s="87" t="b">
        <v>0</v>
      </c>
      <c r="L285" s="87" t="b">
        <v>0</v>
      </c>
    </row>
    <row r="286" spans="1:12" x14ac:dyDescent="0.25">
      <c r="A286" s="84" t="s">
        <v>1825</v>
      </c>
      <c r="B286" s="87" t="s">
        <v>1821</v>
      </c>
      <c r="C286" s="87">
        <v>2</v>
      </c>
      <c r="D286" s="111">
        <v>1.9583979595619782E-3</v>
      </c>
      <c r="E286" s="111">
        <v>2.9342458810230712</v>
      </c>
      <c r="F286" s="87" t="s">
        <v>1952</v>
      </c>
      <c r="G286" s="87" t="b">
        <v>1</v>
      </c>
      <c r="H286" s="87" t="b">
        <v>0</v>
      </c>
      <c r="I286" s="87" t="b">
        <v>0</v>
      </c>
      <c r="J286" s="87" t="b">
        <v>0</v>
      </c>
      <c r="K286" s="87" t="b">
        <v>0</v>
      </c>
      <c r="L286" s="87" t="b">
        <v>0</v>
      </c>
    </row>
    <row r="287" spans="1:12" x14ac:dyDescent="0.25">
      <c r="A287" s="84" t="s">
        <v>1641</v>
      </c>
      <c r="B287" s="87" t="s">
        <v>1944</v>
      </c>
      <c r="C287" s="87">
        <v>2</v>
      </c>
      <c r="D287" s="111">
        <v>1.9583979595619782E-3</v>
      </c>
      <c r="E287" s="111">
        <v>1.9342458810230712</v>
      </c>
      <c r="F287" s="87" t="s">
        <v>1952</v>
      </c>
      <c r="G287" s="87" t="b">
        <v>1</v>
      </c>
      <c r="H287" s="87" t="b">
        <v>0</v>
      </c>
      <c r="I287" s="87" t="b">
        <v>0</v>
      </c>
      <c r="J287" s="87" t="b">
        <v>0</v>
      </c>
      <c r="K287" s="87" t="b">
        <v>0</v>
      </c>
      <c r="L287" s="87" t="b">
        <v>0</v>
      </c>
    </row>
    <row r="288" spans="1:12" x14ac:dyDescent="0.25">
      <c r="A288" s="84" t="s">
        <v>1689</v>
      </c>
      <c r="B288" s="87" t="s">
        <v>1864</v>
      </c>
      <c r="C288" s="87">
        <v>2</v>
      </c>
      <c r="D288" s="111">
        <v>1.9583979595619782E-3</v>
      </c>
      <c r="E288" s="111">
        <v>2.5363058723510337</v>
      </c>
      <c r="F288" s="87" t="s">
        <v>1952</v>
      </c>
      <c r="G288" s="87" t="b">
        <v>0</v>
      </c>
      <c r="H288" s="87" t="b">
        <v>0</v>
      </c>
      <c r="I288" s="87" t="b">
        <v>0</v>
      </c>
      <c r="J288" s="87" t="b">
        <v>0</v>
      </c>
      <c r="K288" s="87" t="b">
        <v>0</v>
      </c>
      <c r="L288" s="87" t="b">
        <v>0</v>
      </c>
    </row>
    <row r="289" spans="1:12" x14ac:dyDescent="0.25">
      <c r="A289" s="84" t="s">
        <v>1923</v>
      </c>
      <c r="B289" s="87" t="s">
        <v>1689</v>
      </c>
      <c r="C289" s="87">
        <v>2</v>
      </c>
      <c r="D289" s="111">
        <v>1.9583979595619782E-3</v>
      </c>
      <c r="E289" s="111">
        <v>2.457124626303409</v>
      </c>
      <c r="F289" s="87" t="s">
        <v>1952</v>
      </c>
      <c r="G289" s="87" t="b">
        <v>0</v>
      </c>
      <c r="H289" s="87" t="b">
        <v>0</v>
      </c>
      <c r="I289" s="87" t="b">
        <v>0</v>
      </c>
      <c r="J289" s="87" t="b">
        <v>0</v>
      </c>
      <c r="K289" s="87" t="b">
        <v>0</v>
      </c>
      <c r="L289" s="87" t="b">
        <v>0</v>
      </c>
    </row>
    <row r="290" spans="1:12" x14ac:dyDescent="0.25">
      <c r="A290" s="84" t="s">
        <v>1821</v>
      </c>
      <c r="B290" s="87" t="s">
        <v>1759</v>
      </c>
      <c r="C290" s="87">
        <v>2</v>
      </c>
      <c r="D290" s="111">
        <v>1.9583979595619782E-3</v>
      </c>
      <c r="E290" s="111">
        <v>2.7581546219673898</v>
      </c>
      <c r="F290" s="87" t="s">
        <v>1952</v>
      </c>
      <c r="G290" s="87" t="b">
        <v>0</v>
      </c>
      <c r="H290" s="87" t="b">
        <v>0</v>
      </c>
      <c r="I290" s="87" t="b">
        <v>0</v>
      </c>
      <c r="J290" s="87" t="b">
        <v>0</v>
      </c>
      <c r="K290" s="87" t="b">
        <v>0</v>
      </c>
      <c r="L290" s="87" t="b">
        <v>0</v>
      </c>
    </row>
    <row r="291" spans="1:12" x14ac:dyDescent="0.25">
      <c r="A291" s="84" t="s">
        <v>1739</v>
      </c>
      <c r="B291" s="87" t="s">
        <v>1875</v>
      </c>
      <c r="C291" s="87">
        <v>2</v>
      </c>
      <c r="D291" s="111">
        <v>1.9583979595619782E-3</v>
      </c>
      <c r="E291" s="111">
        <v>2.6332158853590899</v>
      </c>
      <c r="F291" s="87" t="s">
        <v>1952</v>
      </c>
      <c r="G291" s="87" t="b">
        <v>0</v>
      </c>
      <c r="H291" s="87" t="b">
        <v>0</v>
      </c>
      <c r="I291" s="87" t="b">
        <v>0</v>
      </c>
      <c r="J291" s="87" t="b">
        <v>0</v>
      </c>
      <c r="K291" s="87" t="b">
        <v>0</v>
      </c>
      <c r="L291" s="87" t="b">
        <v>0</v>
      </c>
    </row>
    <row r="292" spans="1:12" x14ac:dyDescent="0.25">
      <c r="A292" s="84" t="s">
        <v>1859</v>
      </c>
      <c r="B292" s="87" t="s">
        <v>1928</v>
      </c>
      <c r="C292" s="87">
        <v>2</v>
      </c>
      <c r="D292" s="111">
        <v>1.9583979595619782E-3</v>
      </c>
      <c r="E292" s="111">
        <v>2.9342458810230712</v>
      </c>
      <c r="F292" s="87" t="s">
        <v>1952</v>
      </c>
      <c r="G292" s="87" t="b">
        <v>0</v>
      </c>
      <c r="H292" s="87" t="b">
        <v>0</v>
      </c>
      <c r="I292" s="87" t="b">
        <v>0</v>
      </c>
      <c r="J292" s="87" t="b">
        <v>0</v>
      </c>
      <c r="K292" s="87" t="b">
        <v>0</v>
      </c>
      <c r="L292" s="87" t="b">
        <v>0</v>
      </c>
    </row>
    <row r="293" spans="1:12" x14ac:dyDescent="0.25">
      <c r="A293" s="84" t="s">
        <v>1686</v>
      </c>
      <c r="B293" s="87" t="s">
        <v>1790</v>
      </c>
      <c r="C293" s="87">
        <v>2</v>
      </c>
      <c r="D293" s="111">
        <v>1.9583979595619782E-3</v>
      </c>
      <c r="E293" s="111">
        <v>2.2810333672477277</v>
      </c>
      <c r="F293" s="87" t="s">
        <v>1952</v>
      </c>
      <c r="G293" s="87" t="b">
        <v>0</v>
      </c>
      <c r="H293" s="87" t="b">
        <v>0</v>
      </c>
      <c r="I293" s="87" t="b">
        <v>0</v>
      </c>
      <c r="J293" s="87" t="b">
        <v>0</v>
      </c>
      <c r="K293" s="87" t="b">
        <v>0</v>
      </c>
      <c r="L293" s="87" t="b">
        <v>0</v>
      </c>
    </row>
    <row r="294" spans="1:12" x14ac:dyDescent="0.25">
      <c r="A294" s="84" t="s">
        <v>1853</v>
      </c>
      <c r="B294" s="87" t="s">
        <v>1648</v>
      </c>
      <c r="C294" s="87">
        <v>2</v>
      </c>
      <c r="D294" s="111">
        <v>1.9583979595619782E-3</v>
      </c>
      <c r="E294" s="111">
        <v>2.0591846176313711</v>
      </c>
      <c r="F294" s="87" t="s">
        <v>1952</v>
      </c>
      <c r="G294" s="87" t="b">
        <v>0</v>
      </c>
      <c r="H294" s="87" t="b">
        <v>0</v>
      </c>
      <c r="I294" s="87" t="b">
        <v>0</v>
      </c>
      <c r="J294" s="87" t="b">
        <v>0</v>
      </c>
      <c r="K294" s="87" t="b">
        <v>0</v>
      </c>
      <c r="L294" s="87" t="b">
        <v>0</v>
      </c>
    </row>
    <row r="295" spans="1:12" x14ac:dyDescent="0.25">
      <c r="A295" s="84" t="s">
        <v>1837</v>
      </c>
      <c r="B295" s="87" t="s">
        <v>1889</v>
      </c>
      <c r="C295" s="87">
        <v>2</v>
      </c>
      <c r="D295" s="111">
        <v>1.9583979595619782E-3</v>
      </c>
      <c r="E295" s="111">
        <v>2.9342458810230712</v>
      </c>
      <c r="F295" s="87" t="s">
        <v>1952</v>
      </c>
      <c r="G295" s="87" t="b">
        <v>0</v>
      </c>
      <c r="H295" s="87" t="b">
        <v>0</v>
      </c>
      <c r="I295" s="87" t="b">
        <v>0</v>
      </c>
      <c r="J295" s="87" t="b">
        <v>0</v>
      </c>
      <c r="K295" s="87" t="b">
        <v>0</v>
      </c>
      <c r="L295" s="87" t="b">
        <v>0</v>
      </c>
    </row>
    <row r="296" spans="1:12" x14ac:dyDescent="0.25">
      <c r="A296" s="84" t="s">
        <v>1782</v>
      </c>
      <c r="B296" s="87" t="s">
        <v>1904</v>
      </c>
      <c r="C296" s="87">
        <v>2</v>
      </c>
      <c r="D296" s="111">
        <v>1.9583979595619782E-3</v>
      </c>
      <c r="E296" s="111">
        <v>2.7581546219673898</v>
      </c>
      <c r="F296" s="87" t="s">
        <v>1952</v>
      </c>
      <c r="G296" s="87" t="b">
        <v>0</v>
      </c>
      <c r="H296" s="87" t="b">
        <v>0</v>
      </c>
      <c r="I296" s="87" t="b">
        <v>0</v>
      </c>
      <c r="J296" s="87" t="b">
        <v>0</v>
      </c>
      <c r="K296" s="87" t="b">
        <v>0</v>
      </c>
      <c r="L296" s="87" t="b">
        <v>0</v>
      </c>
    </row>
    <row r="297" spans="1:12" x14ac:dyDescent="0.25">
      <c r="A297" s="84" t="s">
        <v>1930</v>
      </c>
      <c r="B297" s="87" t="s">
        <v>1692</v>
      </c>
      <c r="C297" s="87">
        <v>2</v>
      </c>
      <c r="D297" s="111">
        <v>1.9583979595619782E-3</v>
      </c>
      <c r="E297" s="111">
        <v>2.457124626303409</v>
      </c>
      <c r="F297" s="87" t="s">
        <v>1952</v>
      </c>
      <c r="G297" s="87" t="b">
        <v>0</v>
      </c>
      <c r="H297" s="87" t="b">
        <v>0</v>
      </c>
      <c r="I297" s="87" t="b">
        <v>0</v>
      </c>
      <c r="J297" s="87" t="b">
        <v>0</v>
      </c>
      <c r="K297" s="87" t="b">
        <v>0</v>
      </c>
      <c r="L297" s="87" t="b">
        <v>0</v>
      </c>
    </row>
    <row r="298" spans="1:12" x14ac:dyDescent="0.25">
      <c r="A298" s="84" t="s">
        <v>1823</v>
      </c>
      <c r="B298" s="87" t="s">
        <v>1662</v>
      </c>
      <c r="C298" s="87">
        <v>2</v>
      </c>
      <c r="D298" s="111">
        <v>1.9583979595619782E-3</v>
      </c>
      <c r="E298" s="111">
        <v>2.2810333672477277</v>
      </c>
      <c r="F298" s="87" t="s">
        <v>1952</v>
      </c>
      <c r="G298" s="87" t="b">
        <v>0</v>
      </c>
      <c r="H298" s="87" t="b">
        <v>0</v>
      </c>
      <c r="I298" s="87" t="b">
        <v>0</v>
      </c>
      <c r="J298" s="87" t="b">
        <v>0</v>
      </c>
      <c r="K298" s="87" t="b">
        <v>0</v>
      </c>
      <c r="L298" s="87" t="b">
        <v>0</v>
      </c>
    </row>
    <row r="299" spans="1:12" x14ac:dyDescent="0.25">
      <c r="A299" s="84" t="s">
        <v>1759</v>
      </c>
      <c r="B299" s="87" t="s">
        <v>1908</v>
      </c>
      <c r="C299" s="87">
        <v>2</v>
      </c>
      <c r="D299" s="111">
        <v>1.9583979595619782E-3</v>
      </c>
      <c r="E299" s="111">
        <v>2.6332158853590899</v>
      </c>
      <c r="F299" s="87" t="s">
        <v>1952</v>
      </c>
      <c r="G299" s="87" t="b">
        <v>0</v>
      </c>
      <c r="H299" s="87" t="b">
        <v>0</v>
      </c>
      <c r="I299" s="87" t="b">
        <v>0</v>
      </c>
      <c r="J299" s="87" t="b">
        <v>0</v>
      </c>
      <c r="K299" s="87" t="b">
        <v>0</v>
      </c>
      <c r="L299" s="87" t="b">
        <v>0</v>
      </c>
    </row>
    <row r="300" spans="1:12" x14ac:dyDescent="0.25">
      <c r="A300" s="84" t="s">
        <v>1880</v>
      </c>
      <c r="B300" s="87" t="s">
        <v>1705</v>
      </c>
      <c r="C300" s="87">
        <v>2</v>
      </c>
      <c r="D300" s="111">
        <v>1.9583979595619782E-3</v>
      </c>
      <c r="E300" s="111">
        <v>2.5363058723510337</v>
      </c>
      <c r="F300" s="87" t="s">
        <v>1952</v>
      </c>
      <c r="G300" s="87" t="b">
        <v>0</v>
      </c>
      <c r="H300" s="87" t="b">
        <v>0</v>
      </c>
      <c r="I300" s="87" t="b">
        <v>0</v>
      </c>
      <c r="J300" s="87" t="b">
        <v>0</v>
      </c>
      <c r="K300" s="87" t="b">
        <v>0</v>
      </c>
      <c r="L300" s="87" t="b">
        <v>0</v>
      </c>
    </row>
    <row r="301" spans="1:12" x14ac:dyDescent="0.25">
      <c r="A301" s="84" t="s">
        <v>1735</v>
      </c>
      <c r="B301" s="87" t="s">
        <v>1644</v>
      </c>
      <c r="C301" s="87">
        <v>2</v>
      </c>
      <c r="D301" s="111">
        <v>1.9583979595619782E-3</v>
      </c>
      <c r="E301" s="111">
        <v>1.9565222757342235</v>
      </c>
      <c r="F301" s="87" t="s">
        <v>1952</v>
      </c>
      <c r="G301" s="87" t="b">
        <v>0</v>
      </c>
      <c r="H301" s="87" t="b">
        <v>0</v>
      </c>
      <c r="I301" s="87" t="b">
        <v>0</v>
      </c>
      <c r="J301" s="87" t="b">
        <v>0</v>
      </c>
      <c r="K301" s="87" t="b">
        <v>0</v>
      </c>
      <c r="L301" s="87" t="b">
        <v>0</v>
      </c>
    </row>
    <row r="302" spans="1:12" x14ac:dyDescent="0.25">
      <c r="A302" s="84" t="s">
        <v>1657</v>
      </c>
      <c r="B302" s="87" t="s">
        <v>249</v>
      </c>
      <c r="C302" s="87">
        <v>2</v>
      </c>
      <c r="D302" s="111">
        <v>1.9583979595619782E-3</v>
      </c>
      <c r="E302" s="111">
        <v>1.3516144415334348</v>
      </c>
      <c r="F302" s="87" t="s">
        <v>1952</v>
      </c>
      <c r="G302" s="87" t="b">
        <v>0</v>
      </c>
      <c r="H302" s="87" t="b">
        <v>0</v>
      </c>
      <c r="I302" s="87" t="b">
        <v>0</v>
      </c>
      <c r="J302" s="87" t="b">
        <v>0</v>
      </c>
      <c r="K302" s="87" t="b">
        <v>0</v>
      </c>
      <c r="L302" s="87" t="b">
        <v>0</v>
      </c>
    </row>
    <row r="303" spans="1:12" x14ac:dyDescent="0.25">
      <c r="A303" s="84" t="s">
        <v>1916</v>
      </c>
      <c r="B303" s="87" t="s">
        <v>1769</v>
      </c>
      <c r="C303" s="87">
        <v>2</v>
      </c>
      <c r="D303" s="111">
        <v>1.9583979595619782E-3</v>
      </c>
      <c r="E303" s="111">
        <v>2.7581546219673898</v>
      </c>
      <c r="F303" s="87" t="s">
        <v>1952</v>
      </c>
      <c r="G303" s="87" t="b">
        <v>0</v>
      </c>
      <c r="H303" s="87" t="b">
        <v>0</v>
      </c>
      <c r="I303" s="87" t="b">
        <v>0</v>
      </c>
      <c r="J303" s="87" t="b">
        <v>0</v>
      </c>
      <c r="K303" s="87" t="b">
        <v>0</v>
      </c>
      <c r="L303" s="87" t="b">
        <v>0</v>
      </c>
    </row>
    <row r="304" spans="1:12" x14ac:dyDescent="0.25">
      <c r="A304" s="84" t="s">
        <v>1833</v>
      </c>
      <c r="B304" s="87" t="s">
        <v>1644</v>
      </c>
      <c r="C304" s="87">
        <v>2</v>
      </c>
      <c r="D304" s="111">
        <v>1.9583979595619782E-3</v>
      </c>
      <c r="E304" s="111">
        <v>1.9565222757342235</v>
      </c>
      <c r="F304" s="87" t="s">
        <v>1952</v>
      </c>
      <c r="G304" s="87" t="b">
        <v>0</v>
      </c>
      <c r="H304" s="87" t="b">
        <v>0</v>
      </c>
      <c r="I304" s="87" t="b">
        <v>0</v>
      </c>
      <c r="J304" s="87" t="b">
        <v>0</v>
      </c>
      <c r="K304" s="87" t="b">
        <v>0</v>
      </c>
      <c r="L304" s="87" t="b">
        <v>0</v>
      </c>
    </row>
    <row r="305" spans="1:12" x14ac:dyDescent="0.25">
      <c r="A305" s="84" t="s">
        <v>1695</v>
      </c>
      <c r="B305" s="87" t="s">
        <v>243</v>
      </c>
      <c r="C305" s="87">
        <v>2</v>
      </c>
      <c r="D305" s="111">
        <v>1.9583979595619782E-3</v>
      </c>
      <c r="E305" s="111">
        <v>2.1560946306394277</v>
      </c>
      <c r="F305" s="87" t="s">
        <v>1952</v>
      </c>
      <c r="G305" s="87" t="b">
        <v>1</v>
      </c>
      <c r="H305" s="87" t="b">
        <v>0</v>
      </c>
      <c r="I305" s="87" t="b">
        <v>0</v>
      </c>
      <c r="J305" s="87" t="b">
        <v>0</v>
      </c>
      <c r="K305" s="87" t="b">
        <v>0</v>
      </c>
      <c r="L305" s="87" t="b">
        <v>0</v>
      </c>
    </row>
    <row r="306" spans="1:12" x14ac:dyDescent="0.25">
      <c r="A306" s="84" t="s">
        <v>1770</v>
      </c>
      <c r="B306" s="87" t="s">
        <v>1925</v>
      </c>
      <c r="C306" s="87">
        <v>2</v>
      </c>
      <c r="D306" s="111">
        <v>1.9583979595619782E-3</v>
      </c>
      <c r="E306" s="111">
        <v>2.7581546219673898</v>
      </c>
      <c r="F306" s="87" t="s">
        <v>1952</v>
      </c>
      <c r="G306" s="87" t="b">
        <v>0</v>
      </c>
      <c r="H306" s="87" t="b">
        <v>0</v>
      </c>
      <c r="I306" s="87" t="b">
        <v>0</v>
      </c>
      <c r="J306" s="87" t="b">
        <v>0</v>
      </c>
      <c r="K306" s="87" t="b">
        <v>0</v>
      </c>
      <c r="L306" s="87" t="b">
        <v>0</v>
      </c>
    </row>
    <row r="307" spans="1:12" x14ac:dyDescent="0.25">
      <c r="A307" s="84" t="s">
        <v>1897</v>
      </c>
      <c r="B307" s="87" t="s">
        <v>1842</v>
      </c>
      <c r="C307" s="87">
        <v>2</v>
      </c>
      <c r="D307" s="111">
        <v>1.9583979595619782E-3</v>
      </c>
      <c r="E307" s="111">
        <v>2.9342458810230712</v>
      </c>
      <c r="F307" s="87" t="s">
        <v>1952</v>
      </c>
      <c r="G307" s="87" t="b">
        <v>0</v>
      </c>
      <c r="H307" s="87" t="b">
        <v>0</v>
      </c>
      <c r="I307" s="87" t="b">
        <v>0</v>
      </c>
      <c r="J307" s="87" t="b">
        <v>0</v>
      </c>
      <c r="K307" s="87" t="b">
        <v>0</v>
      </c>
      <c r="L307" s="87" t="b">
        <v>0</v>
      </c>
    </row>
    <row r="308" spans="1:12" x14ac:dyDescent="0.25">
      <c r="A308" s="84" t="s">
        <v>1659</v>
      </c>
      <c r="B308" s="87" t="s">
        <v>1916</v>
      </c>
      <c r="C308" s="87">
        <v>2</v>
      </c>
      <c r="D308" s="111">
        <v>1.9583979595619782E-3</v>
      </c>
      <c r="E308" s="111">
        <v>2.2810333672477277</v>
      </c>
      <c r="F308" s="87" t="s">
        <v>1952</v>
      </c>
      <c r="G308" s="87" t="b">
        <v>0</v>
      </c>
      <c r="H308" s="87" t="b">
        <v>0</v>
      </c>
      <c r="I308" s="87" t="b">
        <v>0</v>
      </c>
      <c r="J308" s="87" t="b">
        <v>0</v>
      </c>
      <c r="K308" s="87" t="b">
        <v>0</v>
      </c>
      <c r="L308" s="87" t="b">
        <v>0</v>
      </c>
    </row>
    <row r="309" spans="1:12" x14ac:dyDescent="0.25">
      <c r="A309" s="84" t="s">
        <v>1875</v>
      </c>
      <c r="B309" s="87" t="s">
        <v>268</v>
      </c>
      <c r="C309" s="87">
        <v>2</v>
      </c>
      <c r="D309" s="111">
        <v>1.9583979595619782E-3</v>
      </c>
      <c r="E309" s="111">
        <v>1.502882116864084</v>
      </c>
      <c r="F309" s="87" t="s">
        <v>1952</v>
      </c>
      <c r="G309" s="87" t="b">
        <v>0</v>
      </c>
      <c r="H309" s="87" t="b">
        <v>0</v>
      </c>
      <c r="I309" s="87" t="b">
        <v>0</v>
      </c>
      <c r="J309" s="87" t="b">
        <v>0</v>
      </c>
      <c r="K309" s="87" t="b">
        <v>0</v>
      </c>
      <c r="L309" s="87" t="b">
        <v>0</v>
      </c>
    </row>
    <row r="310" spans="1:12" x14ac:dyDescent="0.25">
      <c r="A310" s="84" t="s">
        <v>1649</v>
      </c>
      <c r="B310" s="87" t="s">
        <v>268</v>
      </c>
      <c r="C310" s="87">
        <v>2</v>
      </c>
      <c r="D310" s="111">
        <v>1.9583979595619782E-3</v>
      </c>
      <c r="E310" s="111">
        <v>0.62782085347238381</v>
      </c>
      <c r="F310" s="87" t="s">
        <v>1952</v>
      </c>
      <c r="G310" s="87" t="b">
        <v>0</v>
      </c>
      <c r="H310" s="87" t="b">
        <v>0</v>
      </c>
      <c r="I310" s="87" t="b">
        <v>0</v>
      </c>
      <c r="J310" s="87" t="b">
        <v>0</v>
      </c>
      <c r="K310" s="87" t="b">
        <v>0</v>
      </c>
      <c r="L310" s="87" t="b">
        <v>0</v>
      </c>
    </row>
    <row r="311" spans="1:12" x14ac:dyDescent="0.25">
      <c r="A311" s="84" t="s">
        <v>249</v>
      </c>
      <c r="B311" s="87" t="s">
        <v>1877</v>
      </c>
      <c r="C311" s="87">
        <v>2</v>
      </c>
      <c r="D311" s="111">
        <v>1.9583979595619782E-3</v>
      </c>
      <c r="E311" s="111">
        <v>1.6554922800702423</v>
      </c>
      <c r="F311" s="87" t="s">
        <v>1952</v>
      </c>
      <c r="G311" s="87" t="b">
        <v>0</v>
      </c>
      <c r="H311" s="87" t="b">
        <v>0</v>
      </c>
      <c r="I311" s="87" t="b">
        <v>0</v>
      </c>
      <c r="J311" s="87" t="b">
        <v>0</v>
      </c>
      <c r="K311" s="87" t="b">
        <v>0</v>
      </c>
      <c r="L311" s="87" t="b">
        <v>0</v>
      </c>
    </row>
    <row r="312" spans="1:12" x14ac:dyDescent="0.25">
      <c r="A312" s="84" t="s">
        <v>1640</v>
      </c>
      <c r="B312" s="87" t="s">
        <v>1847</v>
      </c>
      <c r="C312" s="87">
        <v>2</v>
      </c>
      <c r="D312" s="111">
        <v>1.9583979595619782E-3</v>
      </c>
      <c r="E312" s="111">
        <v>1.8203025287162344</v>
      </c>
      <c r="F312" s="87" t="s">
        <v>1952</v>
      </c>
      <c r="G312" s="87" t="b">
        <v>0</v>
      </c>
      <c r="H312" s="87" t="b">
        <v>0</v>
      </c>
      <c r="I312" s="87" t="b">
        <v>0</v>
      </c>
      <c r="J312" s="87" t="b">
        <v>0</v>
      </c>
      <c r="K312" s="87" t="b">
        <v>0</v>
      </c>
      <c r="L312" s="87" t="b">
        <v>0</v>
      </c>
    </row>
    <row r="313" spans="1:12" x14ac:dyDescent="0.25">
      <c r="A313" s="84" t="s">
        <v>1915</v>
      </c>
      <c r="B313" s="87" t="s">
        <v>1647</v>
      </c>
      <c r="C313" s="87">
        <v>2</v>
      </c>
      <c r="D313" s="111">
        <v>1.9583979595619782E-3</v>
      </c>
      <c r="E313" s="111">
        <v>2.1213325243802155</v>
      </c>
      <c r="F313" s="87" t="s">
        <v>1952</v>
      </c>
      <c r="G313" s="87" t="b">
        <v>0</v>
      </c>
      <c r="H313" s="87" t="b">
        <v>0</v>
      </c>
      <c r="I313" s="87" t="b">
        <v>0</v>
      </c>
      <c r="J313" s="87" t="b">
        <v>0</v>
      </c>
      <c r="K313" s="87" t="b">
        <v>0</v>
      </c>
      <c r="L313" s="87" t="b">
        <v>0</v>
      </c>
    </row>
    <row r="314" spans="1:12" x14ac:dyDescent="0.25">
      <c r="A314" s="84" t="s">
        <v>268</v>
      </c>
      <c r="B314" s="87" t="s">
        <v>1756</v>
      </c>
      <c r="C314" s="87">
        <v>2</v>
      </c>
      <c r="D314" s="111">
        <v>1.9583979595619782E-3</v>
      </c>
      <c r="E314" s="111">
        <v>1.1708178874601338</v>
      </c>
      <c r="F314" s="87" t="s">
        <v>1952</v>
      </c>
      <c r="G314" s="87" t="b">
        <v>0</v>
      </c>
      <c r="H314" s="87" t="b">
        <v>0</v>
      </c>
      <c r="I314" s="87" t="b">
        <v>0</v>
      </c>
      <c r="J314" s="87" t="b">
        <v>0</v>
      </c>
      <c r="K314" s="87" t="b">
        <v>0</v>
      </c>
      <c r="L314" s="87" t="b">
        <v>0</v>
      </c>
    </row>
    <row r="315" spans="1:12" x14ac:dyDescent="0.25">
      <c r="A315" s="84" t="s">
        <v>279</v>
      </c>
      <c r="B315" s="87" t="s">
        <v>1765</v>
      </c>
      <c r="C315" s="87">
        <v>2</v>
      </c>
      <c r="D315" s="111">
        <v>1.9583979595619782E-3</v>
      </c>
      <c r="E315" s="111">
        <v>2.9342458810230712</v>
      </c>
      <c r="F315" s="87" t="s">
        <v>1952</v>
      </c>
      <c r="G315" s="87" t="b">
        <v>0</v>
      </c>
      <c r="H315" s="87" t="b">
        <v>0</v>
      </c>
      <c r="I315" s="87" t="b">
        <v>0</v>
      </c>
      <c r="J315" s="87" t="b">
        <v>0</v>
      </c>
      <c r="K315" s="87" t="b">
        <v>0</v>
      </c>
      <c r="L315" s="87" t="b">
        <v>0</v>
      </c>
    </row>
    <row r="316" spans="1:12" x14ac:dyDescent="0.25">
      <c r="A316" s="84" t="s">
        <v>1884</v>
      </c>
      <c r="B316" s="87" t="s">
        <v>1669</v>
      </c>
      <c r="C316" s="87">
        <v>2</v>
      </c>
      <c r="D316" s="111">
        <v>1.9583979595619782E-3</v>
      </c>
      <c r="E316" s="111">
        <v>2.3901778366727955</v>
      </c>
      <c r="F316" s="87" t="s">
        <v>1952</v>
      </c>
      <c r="G316" s="87" t="b">
        <v>0</v>
      </c>
      <c r="H316" s="87" t="b">
        <v>0</v>
      </c>
      <c r="I316" s="87" t="b">
        <v>0</v>
      </c>
      <c r="J316" s="87" t="b">
        <v>0</v>
      </c>
      <c r="K316" s="87" t="b">
        <v>0</v>
      </c>
      <c r="L316" s="87" t="b">
        <v>0</v>
      </c>
    </row>
    <row r="317" spans="1:12" x14ac:dyDescent="0.25">
      <c r="A317" s="84" t="s">
        <v>1856</v>
      </c>
      <c r="B317" s="87" t="s">
        <v>1776</v>
      </c>
      <c r="C317" s="87">
        <v>2</v>
      </c>
      <c r="D317" s="111">
        <v>1.9583979595619782E-3</v>
      </c>
      <c r="E317" s="111">
        <v>2.7581546219673898</v>
      </c>
      <c r="F317" s="87" t="s">
        <v>1952</v>
      </c>
      <c r="G317" s="87" t="b">
        <v>0</v>
      </c>
      <c r="H317" s="87" t="b">
        <v>0</v>
      </c>
      <c r="I317" s="87" t="b">
        <v>0</v>
      </c>
      <c r="J317" s="87" t="b">
        <v>0</v>
      </c>
      <c r="K317" s="87" t="b">
        <v>0</v>
      </c>
      <c r="L317" s="87" t="b">
        <v>0</v>
      </c>
    </row>
    <row r="318" spans="1:12" x14ac:dyDescent="0.25">
      <c r="A318" s="84" t="s">
        <v>1903</v>
      </c>
      <c r="B318" s="87" t="s">
        <v>1844</v>
      </c>
      <c r="C318" s="87">
        <v>2</v>
      </c>
      <c r="D318" s="111">
        <v>1.9583979595619782E-3</v>
      </c>
      <c r="E318" s="111">
        <v>2.9342458810230712</v>
      </c>
      <c r="F318" s="87" t="s">
        <v>1952</v>
      </c>
      <c r="G318" s="87" t="b">
        <v>0</v>
      </c>
      <c r="H318" s="87" t="b">
        <v>0</v>
      </c>
      <c r="I318" s="87" t="b">
        <v>0</v>
      </c>
      <c r="J318" s="87" t="b">
        <v>0</v>
      </c>
      <c r="K318" s="87" t="b">
        <v>0</v>
      </c>
      <c r="L318" s="87" t="b">
        <v>0</v>
      </c>
    </row>
    <row r="319" spans="1:12" x14ac:dyDescent="0.25">
      <c r="A319" s="84" t="s">
        <v>1840</v>
      </c>
      <c r="B319" s="87" t="s">
        <v>1894</v>
      </c>
      <c r="C319" s="87">
        <v>2</v>
      </c>
      <c r="D319" s="111">
        <v>1.9583979595619782E-3</v>
      </c>
      <c r="E319" s="111">
        <v>2.9342458810230712</v>
      </c>
      <c r="F319" s="87" t="s">
        <v>1952</v>
      </c>
      <c r="G319" s="87" t="b">
        <v>0</v>
      </c>
      <c r="H319" s="87" t="b">
        <v>0</v>
      </c>
      <c r="I319" s="87" t="b">
        <v>0</v>
      </c>
      <c r="J319" s="87" t="b">
        <v>0</v>
      </c>
      <c r="K319" s="87" t="b">
        <v>0</v>
      </c>
      <c r="L319" s="87" t="b">
        <v>0</v>
      </c>
    </row>
    <row r="320" spans="1:12" x14ac:dyDescent="0.25">
      <c r="A320" s="84" t="s">
        <v>1649</v>
      </c>
      <c r="B320" s="87" t="s">
        <v>1923</v>
      </c>
      <c r="C320" s="87">
        <v>2</v>
      </c>
      <c r="D320" s="111">
        <v>1.9583979595619782E-3</v>
      </c>
      <c r="E320" s="111">
        <v>2.0591846176313711</v>
      </c>
      <c r="F320" s="87" t="s">
        <v>1952</v>
      </c>
      <c r="G320" s="87" t="b">
        <v>0</v>
      </c>
      <c r="H320" s="87" t="b">
        <v>0</v>
      </c>
      <c r="I320" s="87" t="b">
        <v>0</v>
      </c>
      <c r="J320" s="87" t="b">
        <v>0</v>
      </c>
      <c r="K320" s="87" t="b">
        <v>0</v>
      </c>
      <c r="L320" s="87" t="b">
        <v>0</v>
      </c>
    </row>
    <row r="321" spans="1:12" x14ac:dyDescent="0.25">
      <c r="A321" s="84" t="s">
        <v>1689</v>
      </c>
      <c r="B321" s="87" t="s">
        <v>1824</v>
      </c>
      <c r="C321" s="87">
        <v>2</v>
      </c>
      <c r="D321" s="111">
        <v>1.9583979595619782E-3</v>
      </c>
      <c r="E321" s="111">
        <v>2.5363058723510337</v>
      </c>
      <c r="F321" s="87" t="s">
        <v>1952</v>
      </c>
      <c r="G321" s="87" t="b">
        <v>0</v>
      </c>
      <c r="H321" s="87" t="b">
        <v>0</v>
      </c>
      <c r="I321" s="87" t="b">
        <v>0</v>
      </c>
      <c r="J321" s="87" t="b">
        <v>0</v>
      </c>
      <c r="K321" s="87" t="b">
        <v>0</v>
      </c>
      <c r="L321" s="87" t="b">
        <v>0</v>
      </c>
    </row>
    <row r="322" spans="1:12" x14ac:dyDescent="0.25">
      <c r="A322" s="84" t="s">
        <v>1654</v>
      </c>
      <c r="B322" s="87" t="s">
        <v>1932</v>
      </c>
      <c r="C322" s="87">
        <v>2</v>
      </c>
      <c r="D322" s="111">
        <v>1.9583979595619782E-3</v>
      </c>
      <c r="E322" s="111">
        <v>2.2352758766870524</v>
      </c>
      <c r="F322" s="87" t="s">
        <v>1952</v>
      </c>
      <c r="G322" s="87" t="b">
        <v>1</v>
      </c>
      <c r="H322" s="87" t="b">
        <v>0</v>
      </c>
      <c r="I322" s="87" t="b">
        <v>0</v>
      </c>
      <c r="J322" s="87" t="b">
        <v>0</v>
      </c>
      <c r="K322" s="87" t="b">
        <v>0</v>
      </c>
      <c r="L322" s="87" t="b">
        <v>0</v>
      </c>
    </row>
    <row r="323" spans="1:12" x14ac:dyDescent="0.25">
      <c r="A323" s="84" t="s">
        <v>1904</v>
      </c>
      <c r="B323" s="87" t="s">
        <v>1876</v>
      </c>
      <c r="C323" s="87">
        <v>2</v>
      </c>
      <c r="D323" s="111">
        <v>1.9583979595619782E-3</v>
      </c>
      <c r="E323" s="111">
        <v>2.9342458810230712</v>
      </c>
      <c r="F323" s="87" t="s">
        <v>1952</v>
      </c>
      <c r="G323" s="87" t="b">
        <v>0</v>
      </c>
      <c r="H323" s="87" t="b">
        <v>0</v>
      </c>
      <c r="I323" s="87" t="b">
        <v>0</v>
      </c>
      <c r="J323" s="87" t="b">
        <v>0</v>
      </c>
      <c r="K323" s="87" t="b">
        <v>0</v>
      </c>
      <c r="L323" s="87" t="b">
        <v>0</v>
      </c>
    </row>
    <row r="324" spans="1:12" x14ac:dyDescent="0.25">
      <c r="A324" s="84" t="s">
        <v>1671</v>
      </c>
      <c r="B324" s="87" t="s">
        <v>1706</v>
      </c>
      <c r="C324" s="87">
        <v>2</v>
      </c>
      <c r="D324" s="111">
        <v>1.9583979595619782E-3</v>
      </c>
      <c r="E324" s="111">
        <v>1.992237828000758</v>
      </c>
      <c r="F324" s="87" t="s">
        <v>1952</v>
      </c>
      <c r="G324" s="87" t="b">
        <v>0</v>
      </c>
      <c r="H324" s="87" t="b">
        <v>0</v>
      </c>
      <c r="I324" s="87" t="b">
        <v>0</v>
      </c>
      <c r="J324" s="87" t="b">
        <v>0</v>
      </c>
      <c r="K324" s="87" t="b">
        <v>0</v>
      </c>
      <c r="L324" s="87" t="b">
        <v>0</v>
      </c>
    </row>
    <row r="325" spans="1:12" x14ac:dyDescent="0.25">
      <c r="A325" s="84" t="s">
        <v>1936</v>
      </c>
      <c r="B325" s="87" t="s">
        <v>1659</v>
      </c>
      <c r="C325" s="87">
        <v>2</v>
      </c>
      <c r="D325" s="111">
        <v>1.9583979595619782E-3</v>
      </c>
      <c r="E325" s="111">
        <v>2.2810333672477277</v>
      </c>
      <c r="F325" s="87" t="s">
        <v>1952</v>
      </c>
      <c r="G325" s="87" t="b">
        <v>0</v>
      </c>
      <c r="H325" s="87" t="b">
        <v>0</v>
      </c>
      <c r="I325" s="87" t="b">
        <v>0</v>
      </c>
      <c r="J325" s="87" t="b">
        <v>0</v>
      </c>
      <c r="K325" s="87" t="b">
        <v>0</v>
      </c>
      <c r="L325" s="87" t="b">
        <v>0</v>
      </c>
    </row>
    <row r="326" spans="1:12" x14ac:dyDescent="0.25">
      <c r="A326" s="84" t="s">
        <v>1940</v>
      </c>
      <c r="B326" s="87" t="s">
        <v>1789</v>
      </c>
      <c r="C326" s="87">
        <v>2</v>
      </c>
      <c r="D326" s="111">
        <v>1.9583979595619782E-3</v>
      </c>
      <c r="E326" s="111">
        <v>2.7581546219673898</v>
      </c>
      <c r="F326" s="87" t="s">
        <v>1952</v>
      </c>
      <c r="G326" s="87" t="b">
        <v>0</v>
      </c>
      <c r="H326" s="87" t="b">
        <v>0</v>
      </c>
      <c r="I326" s="87" t="b">
        <v>0</v>
      </c>
      <c r="J326" s="87" t="b">
        <v>0</v>
      </c>
      <c r="K326" s="87" t="b">
        <v>0</v>
      </c>
      <c r="L326" s="87" t="b">
        <v>0</v>
      </c>
    </row>
    <row r="327" spans="1:12" x14ac:dyDescent="0.25">
      <c r="A327" s="84" t="s">
        <v>1836</v>
      </c>
      <c r="B327" s="87" t="s">
        <v>336</v>
      </c>
      <c r="C327" s="87">
        <v>2</v>
      </c>
      <c r="D327" s="111">
        <v>1.9583979595619782E-3</v>
      </c>
      <c r="E327" s="111">
        <v>2.6332158853590899</v>
      </c>
      <c r="F327" s="87" t="s">
        <v>1952</v>
      </c>
      <c r="G327" s="87" t="b">
        <v>0</v>
      </c>
      <c r="H327" s="87" t="b">
        <v>0</v>
      </c>
      <c r="I327" s="87" t="b">
        <v>0</v>
      </c>
      <c r="J327" s="87" t="b">
        <v>0</v>
      </c>
      <c r="K327" s="87" t="b">
        <v>0</v>
      </c>
      <c r="L327" s="87" t="b">
        <v>0</v>
      </c>
    </row>
    <row r="328" spans="1:12" x14ac:dyDescent="0.25">
      <c r="A328" s="84" t="s">
        <v>249</v>
      </c>
      <c r="B328" s="87" t="s">
        <v>321</v>
      </c>
      <c r="C328" s="87">
        <v>2</v>
      </c>
      <c r="D328" s="111">
        <v>1.9583979595619782E-3</v>
      </c>
      <c r="E328" s="111">
        <v>1.6554922800702423</v>
      </c>
      <c r="F328" s="87" t="s">
        <v>1952</v>
      </c>
      <c r="G328" s="87" t="b">
        <v>0</v>
      </c>
      <c r="H328" s="87" t="b">
        <v>0</v>
      </c>
      <c r="I328" s="87" t="b">
        <v>0</v>
      </c>
      <c r="J328" s="87" t="b">
        <v>0</v>
      </c>
      <c r="K328" s="87" t="b">
        <v>0</v>
      </c>
      <c r="L328" s="87" t="b">
        <v>0</v>
      </c>
    </row>
    <row r="329" spans="1:12" x14ac:dyDescent="0.25">
      <c r="A329" s="84" t="s">
        <v>1674</v>
      </c>
      <c r="B329" s="87" t="s">
        <v>1658</v>
      </c>
      <c r="C329" s="87">
        <v>2</v>
      </c>
      <c r="D329" s="111">
        <v>1.9583979595619782E-3</v>
      </c>
      <c r="E329" s="111">
        <v>1.7369653228974518</v>
      </c>
      <c r="F329" s="87" t="s">
        <v>1952</v>
      </c>
      <c r="G329" s="87" t="b">
        <v>0</v>
      </c>
      <c r="H329" s="87" t="b">
        <v>0</v>
      </c>
      <c r="I329" s="87" t="b">
        <v>0</v>
      </c>
      <c r="J329" s="87" t="b">
        <v>0</v>
      </c>
      <c r="K329" s="87" t="b">
        <v>0</v>
      </c>
      <c r="L329" s="87" t="b">
        <v>0</v>
      </c>
    </row>
    <row r="330" spans="1:12" x14ac:dyDescent="0.25">
      <c r="A330" s="84" t="s">
        <v>1667</v>
      </c>
      <c r="B330" s="87" t="s">
        <v>1903</v>
      </c>
      <c r="C330" s="87">
        <v>2</v>
      </c>
      <c r="D330" s="111">
        <v>1.9583979595619782E-3</v>
      </c>
      <c r="E330" s="111">
        <v>2.3321858896951091</v>
      </c>
      <c r="F330" s="87" t="s">
        <v>1952</v>
      </c>
      <c r="G330" s="87" t="b">
        <v>0</v>
      </c>
      <c r="H330" s="87" t="b">
        <v>0</v>
      </c>
      <c r="I330" s="87" t="b">
        <v>0</v>
      </c>
      <c r="J330" s="87" t="b">
        <v>0</v>
      </c>
      <c r="K330" s="87" t="b">
        <v>0</v>
      </c>
      <c r="L330" s="87" t="b">
        <v>0</v>
      </c>
    </row>
    <row r="331" spans="1:12" x14ac:dyDescent="0.25">
      <c r="A331" s="84" t="s">
        <v>1858</v>
      </c>
      <c r="B331" s="87" t="s">
        <v>1945</v>
      </c>
      <c r="C331" s="87">
        <v>2</v>
      </c>
      <c r="D331" s="111">
        <v>1.9583979595619782E-3</v>
      </c>
      <c r="E331" s="111">
        <v>2.9342458810230712</v>
      </c>
      <c r="F331" s="87" t="s">
        <v>1952</v>
      </c>
      <c r="G331" s="87" t="b">
        <v>1</v>
      </c>
      <c r="H331" s="87" t="b">
        <v>0</v>
      </c>
      <c r="I331" s="87" t="b">
        <v>0</v>
      </c>
      <c r="J331" s="87" t="b">
        <v>1</v>
      </c>
      <c r="K331" s="87" t="b">
        <v>0</v>
      </c>
      <c r="L331" s="87" t="b">
        <v>0</v>
      </c>
    </row>
    <row r="332" spans="1:12" x14ac:dyDescent="0.25">
      <c r="A332" s="84" t="s">
        <v>1862</v>
      </c>
      <c r="B332" s="87" t="s">
        <v>1640</v>
      </c>
      <c r="C332" s="87">
        <v>2</v>
      </c>
      <c r="D332" s="111">
        <v>1.9583979595619782E-3</v>
      </c>
      <c r="E332" s="111">
        <v>1.8203025287162344</v>
      </c>
      <c r="F332" s="87" t="s">
        <v>1952</v>
      </c>
      <c r="G332" s="87" t="b">
        <v>0</v>
      </c>
      <c r="H332" s="87" t="b">
        <v>0</v>
      </c>
      <c r="I332" s="87" t="b">
        <v>0</v>
      </c>
      <c r="J332" s="87" t="b">
        <v>0</v>
      </c>
      <c r="K332" s="87" t="b">
        <v>0</v>
      </c>
      <c r="L332" s="87" t="b">
        <v>0</v>
      </c>
    </row>
    <row r="333" spans="1:12" x14ac:dyDescent="0.25">
      <c r="A333" s="84" t="s">
        <v>1845</v>
      </c>
      <c r="B333" s="87" t="s">
        <v>1898</v>
      </c>
      <c r="C333" s="87">
        <v>2</v>
      </c>
      <c r="D333" s="111">
        <v>1.9583979595619782E-3</v>
      </c>
      <c r="E333" s="111">
        <v>2.9342458810230712</v>
      </c>
      <c r="F333" s="87" t="s">
        <v>1952</v>
      </c>
      <c r="G333" s="87" t="b">
        <v>0</v>
      </c>
      <c r="H333" s="87" t="b">
        <v>0</v>
      </c>
      <c r="I333" s="87" t="b">
        <v>0</v>
      </c>
      <c r="J333" s="87" t="b">
        <v>1</v>
      </c>
      <c r="K333" s="87" t="b">
        <v>0</v>
      </c>
      <c r="L333" s="87" t="b">
        <v>0</v>
      </c>
    </row>
    <row r="334" spans="1:12" x14ac:dyDescent="0.25">
      <c r="A334" s="84" t="s">
        <v>1747</v>
      </c>
      <c r="B334" s="87" t="s">
        <v>1837</v>
      </c>
      <c r="C334" s="87">
        <v>2</v>
      </c>
      <c r="D334" s="111">
        <v>1.9583979595619782E-3</v>
      </c>
      <c r="E334" s="111">
        <v>2.6332158853590899</v>
      </c>
      <c r="F334" s="87" t="s">
        <v>1952</v>
      </c>
      <c r="G334" s="87" t="b">
        <v>0</v>
      </c>
      <c r="H334" s="87" t="b">
        <v>0</v>
      </c>
      <c r="I334" s="87" t="b">
        <v>0</v>
      </c>
      <c r="J334" s="87" t="b">
        <v>0</v>
      </c>
      <c r="K334" s="87" t="b">
        <v>0</v>
      </c>
      <c r="L334" s="87" t="b">
        <v>0</v>
      </c>
    </row>
    <row r="335" spans="1:12" x14ac:dyDescent="0.25">
      <c r="A335" s="84" t="s">
        <v>1803</v>
      </c>
      <c r="B335" s="87" t="s">
        <v>1856</v>
      </c>
      <c r="C335" s="87">
        <v>2</v>
      </c>
      <c r="D335" s="111">
        <v>1.9583979595619782E-3</v>
      </c>
      <c r="E335" s="111">
        <v>2.7581546219673898</v>
      </c>
      <c r="F335" s="87" t="s">
        <v>1952</v>
      </c>
      <c r="G335" s="87" t="b">
        <v>1</v>
      </c>
      <c r="H335" s="87" t="b">
        <v>0</v>
      </c>
      <c r="I335" s="87" t="b">
        <v>0</v>
      </c>
      <c r="J335" s="87" t="b">
        <v>0</v>
      </c>
      <c r="K335" s="87" t="b">
        <v>0</v>
      </c>
      <c r="L335" s="87" t="b">
        <v>0</v>
      </c>
    </row>
    <row r="336" spans="1:12" x14ac:dyDescent="0.25">
      <c r="A336" s="84" t="s">
        <v>1811</v>
      </c>
      <c r="B336" s="87" t="s">
        <v>1814</v>
      </c>
      <c r="C336" s="87">
        <v>2</v>
      </c>
      <c r="D336" s="111">
        <v>1.9583979595619782E-3</v>
      </c>
      <c r="E336" s="111">
        <v>2.9342458810230712</v>
      </c>
      <c r="F336" s="87" t="s">
        <v>1952</v>
      </c>
      <c r="G336" s="87" t="b">
        <v>0</v>
      </c>
      <c r="H336" s="87" t="b">
        <v>0</v>
      </c>
      <c r="I336" s="87" t="b">
        <v>0</v>
      </c>
      <c r="J336" s="87" t="b">
        <v>0</v>
      </c>
      <c r="K336" s="87" t="b">
        <v>0</v>
      </c>
      <c r="L336" s="87" t="b">
        <v>0</v>
      </c>
    </row>
    <row r="337" spans="1:12" x14ac:dyDescent="0.25">
      <c r="A337" s="84" t="s">
        <v>1945</v>
      </c>
      <c r="B337" s="87" t="s">
        <v>1867</v>
      </c>
      <c r="C337" s="87">
        <v>2</v>
      </c>
      <c r="D337" s="111">
        <v>1.9583979595619782E-3</v>
      </c>
      <c r="E337" s="111">
        <v>2.9342458810230712</v>
      </c>
      <c r="F337" s="87" t="s">
        <v>1952</v>
      </c>
      <c r="G337" s="87" t="b">
        <v>1</v>
      </c>
      <c r="H337" s="87" t="b">
        <v>0</v>
      </c>
      <c r="I337" s="87" t="b">
        <v>0</v>
      </c>
      <c r="J337" s="87" t="b">
        <v>0</v>
      </c>
      <c r="K337" s="87" t="b">
        <v>0</v>
      </c>
      <c r="L337" s="87" t="b">
        <v>0</v>
      </c>
    </row>
    <row r="338" spans="1:12" x14ac:dyDescent="0.25">
      <c r="A338" s="84" t="s">
        <v>1892</v>
      </c>
      <c r="B338" s="87" t="s">
        <v>338</v>
      </c>
      <c r="C338" s="87">
        <v>2</v>
      </c>
      <c r="D338" s="111">
        <v>1.9583979595619782E-3</v>
      </c>
      <c r="E338" s="111">
        <v>2.7581546219673898</v>
      </c>
      <c r="F338" s="87" t="s">
        <v>1952</v>
      </c>
      <c r="G338" s="87" t="b">
        <v>0</v>
      </c>
      <c r="H338" s="87" t="b">
        <v>0</v>
      </c>
      <c r="I338" s="87" t="b">
        <v>0</v>
      </c>
      <c r="J338" s="87" t="b">
        <v>1</v>
      </c>
      <c r="K338" s="87" t="b">
        <v>0</v>
      </c>
      <c r="L338" s="87" t="b">
        <v>0</v>
      </c>
    </row>
    <row r="339" spans="1:12" x14ac:dyDescent="0.25">
      <c r="A339" s="84" t="s">
        <v>1806</v>
      </c>
      <c r="B339" s="87" t="s">
        <v>1914</v>
      </c>
      <c r="C339" s="87">
        <v>2</v>
      </c>
      <c r="D339" s="111">
        <v>1.9583979595619782E-3</v>
      </c>
      <c r="E339" s="111">
        <v>2.7581546219673898</v>
      </c>
      <c r="F339" s="87" t="s">
        <v>1952</v>
      </c>
      <c r="G339" s="87" t="b">
        <v>0</v>
      </c>
      <c r="H339" s="87" t="b">
        <v>0</v>
      </c>
      <c r="I339" s="87" t="b">
        <v>0</v>
      </c>
      <c r="J339" s="87" t="b">
        <v>0</v>
      </c>
      <c r="K339" s="87" t="b">
        <v>0</v>
      </c>
      <c r="L339" s="87" t="b">
        <v>0</v>
      </c>
    </row>
    <row r="340" spans="1:12" x14ac:dyDescent="0.25">
      <c r="A340" s="84" t="s">
        <v>309</v>
      </c>
      <c r="B340" s="87" t="s">
        <v>268</v>
      </c>
      <c r="C340" s="87">
        <v>2</v>
      </c>
      <c r="D340" s="111">
        <v>1.9583979595619782E-3</v>
      </c>
      <c r="E340" s="111">
        <v>1.502882116864084</v>
      </c>
      <c r="F340" s="87" t="s">
        <v>1952</v>
      </c>
      <c r="G340" s="87" t="b">
        <v>0</v>
      </c>
      <c r="H340" s="87" t="b">
        <v>0</v>
      </c>
      <c r="I340" s="87" t="b">
        <v>0</v>
      </c>
      <c r="J340" s="87" t="b">
        <v>0</v>
      </c>
      <c r="K340" s="87" t="b">
        <v>0</v>
      </c>
      <c r="L340" s="87" t="b">
        <v>0</v>
      </c>
    </row>
    <row r="341" spans="1:12" x14ac:dyDescent="0.25">
      <c r="A341" s="84" t="s">
        <v>1885</v>
      </c>
      <c r="B341" s="87" t="s">
        <v>1857</v>
      </c>
      <c r="C341" s="87">
        <v>2</v>
      </c>
      <c r="D341" s="111">
        <v>1.9583979595619782E-3</v>
      </c>
      <c r="E341" s="111">
        <v>2.9342458810230712</v>
      </c>
      <c r="F341" s="87" t="s">
        <v>1952</v>
      </c>
      <c r="G341" s="87" t="b">
        <v>0</v>
      </c>
      <c r="H341" s="87" t="b">
        <v>0</v>
      </c>
      <c r="I341" s="87" t="b">
        <v>0</v>
      </c>
      <c r="J341" s="87" t="b">
        <v>0</v>
      </c>
      <c r="K341" s="87" t="b">
        <v>0</v>
      </c>
      <c r="L341" s="87" t="b">
        <v>0</v>
      </c>
    </row>
    <row r="342" spans="1:12" x14ac:dyDescent="0.25">
      <c r="A342" s="84" t="s">
        <v>1931</v>
      </c>
      <c r="B342" s="87" t="s">
        <v>1762</v>
      </c>
      <c r="C342" s="87">
        <v>2</v>
      </c>
      <c r="D342" s="111">
        <v>1.9583979595619782E-3</v>
      </c>
      <c r="E342" s="111">
        <v>2.7581546219673898</v>
      </c>
      <c r="F342" s="87" t="s">
        <v>1952</v>
      </c>
      <c r="G342" s="87" t="b">
        <v>0</v>
      </c>
      <c r="H342" s="87" t="b">
        <v>0</v>
      </c>
      <c r="I342" s="87" t="b">
        <v>0</v>
      </c>
      <c r="J342" s="87" t="b">
        <v>0</v>
      </c>
      <c r="K342" s="87" t="b">
        <v>0</v>
      </c>
      <c r="L342" s="87" t="b">
        <v>0</v>
      </c>
    </row>
    <row r="343" spans="1:12" x14ac:dyDescent="0.25">
      <c r="A343" s="84" t="s">
        <v>1914</v>
      </c>
      <c r="B343" s="87" t="s">
        <v>1943</v>
      </c>
      <c r="C343" s="87">
        <v>2</v>
      </c>
      <c r="D343" s="111">
        <v>1.9583979595619782E-3</v>
      </c>
      <c r="E343" s="111">
        <v>2.9342458810230712</v>
      </c>
      <c r="F343" s="87" t="s">
        <v>1952</v>
      </c>
      <c r="G343" s="87" t="b">
        <v>0</v>
      </c>
      <c r="H343" s="87" t="b">
        <v>0</v>
      </c>
      <c r="I343" s="87" t="b">
        <v>0</v>
      </c>
      <c r="J343" s="87" t="b">
        <v>0</v>
      </c>
      <c r="K343" s="87" t="b">
        <v>0</v>
      </c>
      <c r="L343" s="87" t="b">
        <v>0</v>
      </c>
    </row>
    <row r="344" spans="1:12" x14ac:dyDescent="0.25">
      <c r="A344" s="84" t="s">
        <v>1761</v>
      </c>
      <c r="B344" s="87" t="s">
        <v>1892</v>
      </c>
      <c r="C344" s="87">
        <v>2</v>
      </c>
      <c r="D344" s="111">
        <v>1.9583979595619782E-3</v>
      </c>
      <c r="E344" s="111">
        <v>2.7581546219673898</v>
      </c>
      <c r="F344" s="87" t="s">
        <v>1952</v>
      </c>
      <c r="G344" s="87" t="b">
        <v>0</v>
      </c>
      <c r="H344" s="87" t="b">
        <v>0</v>
      </c>
      <c r="I344" s="87" t="b">
        <v>0</v>
      </c>
      <c r="J344" s="87" t="b">
        <v>0</v>
      </c>
      <c r="K344" s="87" t="b">
        <v>0</v>
      </c>
      <c r="L344" s="87" t="b">
        <v>0</v>
      </c>
    </row>
    <row r="345" spans="1:12" x14ac:dyDescent="0.25">
      <c r="A345" s="84" t="s">
        <v>1834</v>
      </c>
      <c r="B345" s="87" t="s">
        <v>1939</v>
      </c>
      <c r="C345" s="87">
        <v>2</v>
      </c>
      <c r="D345" s="111">
        <v>1.9583979595619782E-3</v>
      </c>
      <c r="E345" s="111">
        <v>2.9342458810230712</v>
      </c>
      <c r="F345" s="87" t="s">
        <v>1952</v>
      </c>
      <c r="G345" s="87" t="b">
        <v>0</v>
      </c>
      <c r="H345" s="87" t="b">
        <v>0</v>
      </c>
      <c r="I345" s="87" t="b">
        <v>0</v>
      </c>
      <c r="J345" s="87" t="b">
        <v>0</v>
      </c>
      <c r="K345" s="87" t="b">
        <v>0</v>
      </c>
      <c r="L345" s="87" t="b">
        <v>0</v>
      </c>
    </row>
    <row r="346" spans="1:12" x14ac:dyDescent="0.25">
      <c r="A346" s="84" t="s">
        <v>1907</v>
      </c>
      <c r="B346" s="87" t="s">
        <v>1850</v>
      </c>
      <c r="C346" s="87">
        <v>2</v>
      </c>
      <c r="D346" s="111">
        <v>1.9583979595619782E-3</v>
      </c>
      <c r="E346" s="111">
        <v>2.9342458810230712</v>
      </c>
      <c r="F346" s="87" t="s">
        <v>1952</v>
      </c>
      <c r="G346" s="87" t="b">
        <v>0</v>
      </c>
      <c r="H346" s="87" t="b">
        <v>0</v>
      </c>
      <c r="I346" s="87" t="b">
        <v>0</v>
      </c>
      <c r="J346" s="87" t="b">
        <v>0</v>
      </c>
      <c r="K346" s="87" t="b">
        <v>0</v>
      </c>
      <c r="L346" s="87" t="b">
        <v>0</v>
      </c>
    </row>
    <row r="347" spans="1:12" x14ac:dyDescent="0.25">
      <c r="A347" s="84" t="s">
        <v>1946</v>
      </c>
      <c r="B347" s="87" t="s">
        <v>1644</v>
      </c>
      <c r="C347" s="87">
        <v>2</v>
      </c>
      <c r="D347" s="111">
        <v>1.9583979595619782E-3</v>
      </c>
      <c r="E347" s="111">
        <v>1.9565222757342235</v>
      </c>
      <c r="F347" s="87" t="s">
        <v>1952</v>
      </c>
      <c r="G347" s="87" t="b">
        <v>1</v>
      </c>
      <c r="H347" s="87" t="b">
        <v>0</v>
      </c>
      <c r="I347" s="87" t="b">
        <v>0</v>
      </c>
      <c r="J347" s="87" t="b">
        <v>0</v>
      </c>
      <c r="K347" s="87" t="b">
        <v>0</v>
      </c>
      <c r="L347" s="87" t="b">
        <v>0</v>
      </c>
    </row>
    <row r="348" spans="1:12" x14ac:dyDescent="0.25">
      <c r="A348" s="84" t="s">
        <v>330</v>
      </c>
      <c r="B348" s="87" t="s">
        <v>329</v>
      </c>
      <c r="C348" s="87">
        <v>2</v>
      </c>
      <c r="D348" s="111">
        <v>1.9583979595619782E-3</v>
      </c>
      <c r="E348" s="111">
        <v>2.9342458810230712</v>
      </c>
      <c r="F348" s="87" t="s">
        <v>1952</v>
      </c>
      <c r="G348" s="87" t="b">
        <v>0</v>
      </c>
      <c r="H348" s="87" t="b">
        <v>0</v>
      </c>
      <c r="I348" s="87" t="b">
        <v>0</v>
      </c>
      <c r="J348" s="87" t="b">
        <v>0</v>
      </c>
      <c r="K348" s="87" t="b">
        <v>0</v>
      </c>
      <c r="L348" s="87" t="b">
        <v>0</v>
      </c>
    </row>
    <row r="349" spans="1:12" x14ac:dyDescent="0.25">
      <c r="A349" s="84" t="s">
        <v>1759</v>
      </c>
      <c r="B349" s="87" t="s">
        <v>1657</v>
      </c>
      <c r="C349" s="87">
        <v>2</v>
      </c>
      <c r="D349" s="111">
        <v>1.9583979595619782E-3</v>
      </c>
      <c r="E349" s="111">
        <v>1.9800033715837464</v>
      </c>
      <c r="F349" s="87" t="s">
        <v>1952</v>
      </c>
      <c r="G349" s="87" t="b">
        <v>0</v>
      </c>
      <c r="H349" s="87" t="b">
        <v>0</v>
      </c>
      <c r="I349" s="87" t="b">
        <v>0</v>
      </c>
      <c r="J349" s="87" t="b">
        <v>0</v>
      </c>
      <c r="K349" s="87" t="b">
        <v>0</v>
      </c>
      <c r="L349" s="87" t="b">
        <v>0</v>
      </c>
    </row>
    <row r="350" spans="1:12" x14ac:dyDescent="0.25">
      <c r="A350" s="84" t="s">
        <v>1795</v>
      </c>
      <c r="B350" s="87" t="s">
        <v>1896</v>
      </c>
      <c r="C350" s="87">
        <v>2</v>
      </c>
      <c r="D350" s="111">
        <v>1.9583979595619782E-3</v>
      </c>
      <c r="E350" s="111">
        <v>2.9342458810230712</v>
      </c>
      <c r="F350" s="87" t="s">
        <v>1952</v>
      </c>
      <c r="G350" s="87" t="b">
        <v>0</v>
      </c>
      <c r="H350" s="87" t="b">
        <v>0</v>
      </c>
      <c r="I350" s="87" t="b">
        <v>0</v>
      </c>
      <c r="J350" s="87" t="b">
        <v>0</v>
      </c>
      <c r="K350" s="87" t="b">
        <v>0</v>
      </c>
      <c r="L350" s="87" t="b">
        <v>0</v>
      </c>
    </row>
    <row r="351" spans="1:12" x14ac:dyDescent="0.25">
      <c r="A351" s="84" t="s">
        <v>1912</v>
      </c>
      <c r="B351" s="87" t="s">
        <v>1823</v>
      </c>
      <c r="C351" s="87">
        <v>2</v>
      </c>
      <c r="D351" s="111">
        <v>1.9583979595619782E-3</v>
      </c>
      <c r="E351" s="111">
        <v>2.9342458810230712</v>
      </c>
      <c r="F351" s="87" t="s">
        <v>1952</v>
      </c>
      <c r="G351" s="87" t="b">
        <v>0</v>
      </c>
      <c r="H351" s="87" t="b">
        <v>0</v>
      </c>
      <c r="I351" s="87" t="b">
        <v>0</v>
      </c>
      <c r="J351" s="87" t="b">
        <v>0</v>
      </c>
      <c r="K351" s="87" t="b">
        <v>0</v>
      </c>
      <c r="L351" s="87" t="b">
        <v>0</v>
      </c>
    </row>
    <row r="352" spans="1:12" x14ac:dyDescent="0.25">
      <c r="A352" s="84" t="s">
        <v>1820</v>
      </c>
      <c r="B352" s="87" t="s">
        <v>1946</v>
      </c>
      <c r="C352" s="87">
        <v>2</v>
      </c>
      <c r="D352" s="111">
        <v>1.9583979595619782E-3</v>
      </c>
      <c r="E352" s="111">
        <v>2.9342458810230712</v>
      </c>
      <c r="F352" s="87" t="s">
        <v>1952</v>
      </c>
      <c r="G352" s="87" t="b">
        <v>0</v>
      </c>
      <c r="H352" s="87" t="b">
        <v>0</v>
      </c>
      <c r="I352" s="87" t="b">
        <v>0</v>
      </c>
      <c r="J352" s="87" t="b">
        <v>1</v>
      </c>
      <c r="K352" s="87" t="b">
        <v>0</v>
      </c>
      <c r="L352" s="87" t="b">
        <v>0</v>
      </c>
    </row>
    <row r="353" spans="1:12" x14ac:dyDescent="0.25">
      <c r="A353" s="84" t="s">
        <v>249</v>
      </c>
      <c r="B353" s="87" t="s">
        <v>1664</v>
      </c>
      <c r="C353" s="87">
        <v>2</v>
      </c>
      <c r="D353" s="111">
        <v>1.9583979595619782E-3</v>
      </c>
      <c r="E353" s="111">
        <v>1.1114242357199666</v>
      </c>
      <c r="F353" s="87" t="s">
        <v>1952</v>
      </c>
      <c r="G353" s="87" t="b">
        <v>0</v>
      </c>
      <c r="H353" s="87" t="b">
        <v>0</v>
      </c>
      <c r="I353" s="87" t="b">
        <v>0</v>
      </c>
      <c r="J353" s="87" t="b">
        <v>0</v>
      </c>
      <c r="K353" s="87" t="b">
        <v>0</v>
      </c>
      <c r="L353" s="87" t="b">
        <v>0</v>
      </c>
    </row>
    <row r="354" spans="1:12" x14ac:dyDescent="0.25">
      <c r="A354" s="84" t="s">
        <v>1657</v>
      </c>
      <c r="B354" s="87" t="s">
        <v>1839</v>
      </c>
      <c r="C354" s="87">
        <v>2</v>
      </c>
      <c r="D354" s="111">
        <v>1.9583979595619782E-3</v>
      </c>
      <c r="E354" s="111">
        <v>2.2810333672477277</v>
      </c>
      <c r="F354" s="87" t="s">
        <v>1952</v>
      </c>
      <c r="G354" s="87" t="b">
        <v>0</v>
      </c>
      <c r="H354" s="87" t="b">
        <v>0</v>
      </c>
      <c r="I354" s="87" t="b">
        <v>0</v>
      </c>
      <c r="J354" s="87" t="b">
        <v>0</v>
      </c>
      <c r="K354" s="87" t="b">
        <v>0</v>
      </c>
      <c r="L354" s="87" t="b">
        <v>0</v>
      </c>
    </row>
    <row r="355" spans="1:12" x14ac:dyDescent="0.25">
      <c r="A355" s="84" t="s">
        <v>249</v>
      </c>
      <c r="B355" s="87" t="s">
        <v>1788</v>
      </c>
      <c r="C355" s="87">
        <v>2</v>
      </c>
      <c r="D355" s="111">
        <v>1.9583979595619782E-3</v>
      </c>
      <c r="E355" s="111">
        <v>1.6554922800702423</v>
      </c>
      <c r="F355" s="87" t="s">
        <v>1952</v>
      </c>
      <c r="G355" s="87" t="b">
        <v>0</v>
      </c>
      <c r="H355" s="87" t="b">
        <v>0</v>
      </c>
      <c r="I355" s="87" t="b">
        <v>0</v>
      </c>
      <c r="J355" s="87" t="b">
        <v>1</v>
      </c>
      <c r="K355" s="87" t="b">
        <v>0</v>
      </c>
      <c r="L355" s="87" t="b">
        <v>0</v>
      </c>
    </row>
    <row r="356" spans="1:12" x14ac:dyDescent="0.25">
      <c r="A356" s="84" t="s">
        <v>1644</v>
      </c>
      <c r="B356" s="87" t="s">
        <v>1885</v>
      </c>
      <c r="C356" s="87">
        <v>2</v>
      </c>
      <c r="D356" s="111">
        <v>1.9583979595619782E-3</v>
      </c>
      <c r="E356" s="111">
        <v>1.9565222757342235</v>
      </c>
      <c r="F356" s="87" t="s">
        <v>1952</v>
      </c>
      <c r="G356" s="87" t="b">
        <v>0</v>
      </c>
      <c r="H356" s="87" t="b">
        <v>0</v>
      </c>
      <c r="I356" s="87" t="b">
        <v>0</v>
      </c>
      <c r="J356" s="87" t="b">
        <v>0</v>
      </c>
      <c r="K356" s="87" t="b">
        <v>0</v>
      </c>
      <c r="L356" s="87" t="b">
        <v>0</v>
      </c>
    </row>
    <row r="357" spans="1:12" x14ac:dyDescent="0.25">
      <c r="A357" s="84" t="s">
        <v>1934</v>
      </c>
      <c r="B357" s="87" t="s">
        <v>1832</v>
      </c>
      <c r="C357" s="87">
        <v>2</v>
      </c>
      <c r="D357" s="111">
        <v>1.9583979595619782E-3</v>
      </c>
      <c r="E357" s="111">
        <v>2.9342458810230712</v>
      </c>
      <c r="F357" s="87" t="s">
        <v>1952</v>
      </c>
      <c r="G357" s="87" t="b">
        <v>0</v>
      </c>
      <c r="H357" s="87" t="b">
        <v>0</v>
      </c>
      <c r="I357" s="87" t="b">
        <v>0</v>
      </c>
      <c r="J357" s="87" t="b">
        <v>0</v>
      </c>
      <c r="K357" s="87" t="b">
        <v>0</v>
      </c>
      <c r="L357" s="87" t="b">
        <v>0</v>
      </c>
    </row>
    <row r="358" spans="1:12" x14ac:dyDescent="0.25">
      <c r="A358" s="84" t="s">
        <v>1649</v>
      </c>
      <c r="B358" s="87" t="s">
        <v>1651</v>
      </c>
      <c r="C358" s="87">
        <v>2</v>
      </c>
      <c r="D358" s="111">
        <v>1.9583979595619782E-3</v>
      </c>
      <c r="E358" s="111">
        <v>1.2810333672477277</v>
      </c>
      <c r="F358" s="87" t="s">
        <v>1952</v>
      </c>
      <c r="G358" s="87" t="b">
        <v>0</v>
      </c>
      <c r="H358" s="87" t="b">
        <v>0</v>
      </c>
      <c r="I358" s="87" t="b">
        <v>0</v>
      </c>
      <c r="J358" s="87" t="b">
        <v>0</v>
      </c>
      <c r="K358" s="87" t="b">
        <v>0</v>
      </c>
      <c r="L358" s="87" t="b">
        <v>0</v>
      </c>
    </row>
    <row r="359" spans="1:12" x14ac:dyDescent="0.25">
      <c r="A359" s="84" t="s">
        <v>355</v>
      </c>
      <c r="B359" s="87" t="s">
        <v>354</v>
      </c>
      <c r="C359" s="87">
        <v>2</v>
      </c>
      <c r="D359" s="111">
        <v>1.9583979595619782E-3</v>
      </c>
      <c r="E359" s="111">
        <v>2.9342458810230712</v>
      </c>
      <c r="F359" s="87" t="s">
        <v>1952</v>
      </c>
      <c r="G359" s="87" t="b">
        <v>0</v>
      </c>
      <c r="H359" s="87" t="b">
        <v>0</v>
      </c>
      <c r="I359" s="87" t="b">
        <v>0</v>
      </c>
      <c r="J359" s="87" t="b">
        <v>0</v>
      </c>
      <c r="K359" s="87" t="b">
        <v>0</v>
      </c>
      <c r="L359" s="87" t="b">
        <v>0</v>
      </c>
    </row>
    <row r="360" spans="1:12" x14ac:dyDescent="0.25">
      <c r="A360" s="84" t="s">
        <v>1762</v>
      </c>
      <c r="B360" s="87" t="s">
        <v>1910</v>
      </c>
      <c r="C360" s="87">
        <v>2</v>
      </c>
      <c r="D360" s="111">
        <v>1.9583979595619782E-3</v>
      </c>
      <c r="E360" s="111">
        <v>2.7581546219673898</v>
      </c>
      <c r="F360" s="87" t="s">
        <v>1952</v>
      </c>
      <c r="G360" s="87" t="b">
        <v>0</v>
      </c>
      <c r="H360" s="87" t="b">
        <v>0</v>
      </c>
      <c r="I360" s="87" t="b">
        <v>0</v>
      </c>
      <c r="J360" s="87" t="b">
        <v>0</v>
      </c>
      <c r="K360" s="87" t="b">
        <v>0</v>
      </c>
      <c r="L360" s="87" t="b">
        <v>0</v>
      </c>
    </row>
    <row r="361" spans="1:12" x14ac:dyDescent="0.25">
      <c r="A361" s="84" t="s">
        <v>1889</v>
      </c>
      <c r="B361" s="87" t="s">
        <v>1794</v>
      </c>
      <c r="C361" s="87">
        <v>2</v>
      </c>
      <c r="D361" s="111">
        <v>1.9583979595619782E-3</v>
      </c>
      <c r="E361" s="111">
        <v>2.7581546219673898</v>
      </c>
      <c r="F361" s="87" t="s">
        <v>1952</v>
      </c>
      <c r="G361" s="87" t="b">
        <v>0</v>
      </c>
      <c r="H361" s="87" t="b">
        <v>0</v>
      </c>
      <c r="I361" s="87" t="b">
        <v>0</v>
      </c>
      <c r="J361" s="87" t="b">
        <v>0</v>
      </c>
      <c r="K361" s="87" t="b">
        <v>0</v>
      </c>
      <c r="L361" s="87" t="b">
        <v>0</v>
      </c>
    </row>
    <row r="362" spans="1:12" x14ac:dyDescent="0.25">
      <c r="A362" s="84" t="s">
        <v>332</v>
      </c>
      <c r="B362" s="87" t="s">
        <v>331</v>
      </c>
      <c r="C362" s="87">
        <v>2</v>
      </c>
      <c r="D362" s="111">
        <v>1.9583979595619782E-3</v>
      </c>
      <c r="E362" s="111">
        <v>2.9342458810230712</v>
      </c>
      <c r="F362" s="87" t="s">
        <v>1952</v>
      </c>
      <c r="G362" s="87" t="b">
        <v>0</v>
      </c>
      <c r="H362" s="87" t="b">
        <v>0</v>
      </c>
      <c r="I362" s="87" t="b">
        <v>0</v>
      </c>
      <c r="J362" s="87" t="b">
        <v>0</v>
      </c>
      <c r="K362" s="87" t="b">
        <v>0</v>
      </c>
      <c r="L362" s="87" t="b">
        <v>0</v>
      </c>
    </row>
    <row r="363" spans="1:12" x14ac:dyDescent="0.25">
      <c r="A363" s="84" t="s">
        <v>268</v>
      </c>
      <c r="B363" s="87" t="s">
        <v>267</v>
      </c>
      <c r="C363" s="87">
        <v>2</v>
      </c>
      <c r="D363" s="111">
        <v>1.9583979595619782E-3</v>
      </c>
      <c r="E363" s="111">
        <v>1.4718478831241151</v>
      </c>
      <c r="F363" s="87" t="s">
        <v>1952</v>
      </c>
      <c r="G363" s="87" t="b">
        <v>0</v>
      </c>
      <c r="H363" s="87" t="b">
        <v>0</v>
      </c>
      <c r="I363" s="87" t="b">
        <v>0</v>
      </c>
      <c r="J363" s="87" t="b">
        <v>0</v>
      </c>
      <c r="K363" s="87" t="b">
        <v>0</v>
      </c>
      <c r="L363" s="87" t="b">
        <v>0</v>
      </c>
    </row>
    <row r="364" spans="1:12" x14ac:dyDescent="0.25">
      <c r="A364" s="84" t="s">
        <v>1700</v>
      </c>
      <c r="B364" s="87" t="s">
        <v>1853</v>
      </c>
      <c r="C364" s="87">
        <v>2</v>
      </c>
      <c r="D364" s="111">
        <v>1.9583979595619782E-3</v>
      </c>
      <c r="E364" s="111">
        <v>2.5363058723510337</v>
      </c>
      <c r="F364" s="87" t="s">
        <v>1952</v>
      </c>
      <c r="G364" s="87" t="b">
        <v>0</v>
      </c>
      <c r="H364" s="87" t="b">
        <v>0</v>
      </c>
      <c r="I364" s="87" t="b">
        <v>0</v>
      </c>
      <c r="J364" s="87" t="b">
        <v>0</v>
      </c>
      <c r="K364" s="87" t="b">
        <v>0</v>
      </c>
      <c r="L364" s="87" t="b">
        <v>0</v>
      </c>
    </row>
    <row r="365" spans="1:12" x14ac:dyDescent="0.25">
      <c r="A365" s="84" t="s">
        <v>1784</v>
      </c>
      <c r="B365" s="87" t="s">
        <v>1761</v>
      </c>
      <c r="C365" s="87">
        <v>2</v>
      </c>
      <c r="D365" s="111">
        <v>1.9583979595619782E-3</v>
      </c>
      <c r="E365" s="111">
        <v>2.5820633629117089</v>
      </c>
      <c r="F365" s="87" t="s">
        <v>1952</v>
      </c>
      <c r="G365" s="87" t="b">
        <v>0</v>
      </c>
      <c r="H365" s="87" t="b">
        <v>0</v>
      </c>
      <c r="I365" s="87" t="b">
        <v>0</v>
      </c>
      <c r="J365" s="87" t="b">
        <v>0</v>
      </c>
      <c r="K365" s="87" t="b">
        <v>0</v>
      </c>
      <c r="L365" s="87" t="b">
        <v>0</v>
      </c>
    </row>
    <row r="366" spans="1:12" x14ac:dyDescent="0.25">
      <c r="A366" s="84" t="s">
        <v>1662</v>
      </c>
      <c r="B366" s="87" t="s">
        <v>1826</v>
      </c>
      <c r="C366" s="87">
        <v>2</v>
      </c>
      <c r="D366" s="111">
        <v>1.9583979595619782E-3</v>
      </c>
      <c r="E366" s="111">
        <v>2.2810333672477277</v>
      </c>
      <c r="F366" s="87" t="s">
        <v>1952</v>
      </c>
      <c r="G366" s="87" t="b">
        <v>0</v>
      </c>
      <c r="H366" s="87" t="b">
        <v>0</v>
      </c>
      <c r="I366" s="87" t="b">
        <v>0</v>
      </c>
      <c r="J366" s="87" t="b">
        <v>0</v>
      </c>
      <c r="K366" s="87" t="b">
        <v>0</v>
      </c>
      <c r="L366" s="87" t="b">
        <v>0</v>
      </c>
    </row>
    <row r="367" spans="1:12" x14ac:dyDescent="0.25">
      <c r="A367" s="84" t="s">
        <v>350</v>
      </c>
      <c r="B367" s="87" t="s">
        <v>1641</v>
      </c>
      <c r="C367" s="87">
        <v>2</v>
      </c>
      <c r="D367" s="111">
        <v>1.9583979595619782E-3</v>
      </c>
      <c r="E367" s="111">
        <v>1.75815462196739</v>
      </c>
      <c r="F367" s="87" t="s">
        <v>1952</v>
      </c>
      <c r="G367" s="87" t="b">
        <v>0</v>
      </c>
      <c r="H367" s="87" t="b">
        <v>0</v>
      </c>
      <c r="I367" s="87" t="b">
        <v>0</v>
      </c>
      <c r="J367" s="87" t="b">
        <v>1</v>
      </c>
      <c r="K367" s="87" t="b">
        <v>0</v>
      </c>
      <c r="L367" s="87" t="b">
        <v>0</v>
      </c>
    </row>
    <row r="368" spans="1:12" x14ac:dyDescent="0.25">
      <c r="A368" s="84" t="s">
        <v>308</v>
      </c>
      <c r="B368" s="87" t="s">
        <v>1840</v>
      </c>
      <c r="C368" s="87">
        <v>2</v>
      </c>
      <c r="D368" s="111">
        <v>1.9583979595619782E-3</v>
      </c>
      <c r="E368" s="111">
        <v>2.7581546219673898</v>
      </c>
      <c r="F368" s="87" t="s">
        <v>1952</v>
      </c>
      <c r="G368" s="87" t="b">
        <v>0</v>
      </c>
      <c r="H368" s="87" t="b">
        <v>0</v>
      </c>
      <c r="I368" s="87" t="b">
        <v>0</v>
      </c>
      <c r="J368" s="87" t="b">
        <v>0</v>
      </c>
      <c r="K368" s="87" t="b">
        <v>0</v>
      </c>
      <c r="L368" s="87" t="b">
        <v>0</v>
      </c>
    </row>
    <row r="369" spans="1:12" x14ac:dyDescent="0.25">
      <c r="A369" s="84" t="s">
        <v>1809</v>
      </c>
      <c r="B369" s="87" t="s">
        <v>1674</v>
      </c>
      <c r="C369" s="87">
        <v>2</v>
      </c>
      <c r="D369" s="111">
        <v>1.9583979595619782E-3</v>
      </c>
      <c r="E369" s="111">
        <v>2.2140865776171141</v>
      </c>
      <c r="F369" s="87" t="s">
        <v>1952</v>
      </c>
      <c r="G369" s="87" t="b">
        <v>0</v>
      </c>
      <c r="H369" s="87" t="b">
        <v>0</v>
      </c>
      <c r="I369" s="87" t="b">
        <v>0</v>
      </c>
      <c r="J369" s="87" t="b">
        <v>0</v>
      </c>
      <c r="K369" s="87" t="b">
        <v>0</v>
      </c>
      <c r="L369" s="87" t="b">
        <v>0</v>
      </c>
    </row>
    <row r="370" spans="1:12" x14ac:dyDescent="0.25">
      <c r="A370" s="84" t="s">
        <v>1816</v>
      </c>
      <c r="B370" s="87" t="s">
        <v>1852</v>
      </c>
      <c r="C370" s="87">
        <v>2</v>
      </c>
      <c r="D370" s="111">
        <v>1.9583979595619782E-3</v>
      </c>
      <c r="E370" s="111">
        <v>2.9342458810230712</v>
      </c>
      <c r="F370" s="87" t="s">
        <v>1952</v>
      </c>
      <c r="G370" s="87" t="b">
        <v>1</v>
      </c>
      <c r="H370" s="87" t="b">
        <v>0</v>
      </c>
      <c r="I370" s="87" t="b">
        <v>0</v>
      </c>
      <c r="J370" s="87" t="b">
        <v>0</v>
      </c>
      <c r="K370" s="87" t="b">
        <v>0</v>
      </c>
      <c r="L370" s="87" t="b">
        <v>0</v>
      </c>
    </row>
    <row r="371" spans="1:12" x14ac:dyDescent="0.25">
      <c r="A371" s="84" t="s">
        <v>1832</v>
      </c>
      <c r="B371" s="87" t="s">
        <v>1920</v>
      </c>
      <c r="C371" s="87">
        <v>2</v>
      </c>
      <c r="D371" s="111">
        <v>1.9583979595619782E-3</v>
      </c>
      <c r="E371" s="111">
        <v>2.9342458810230712</v>
      </c>
      <c r="F371" s="87" t="s">
        <v>1952</v>
      </c>
      <c r="G371" s="87" t="b">
        <v>0</v>
      </c>
      <c r="H371" s="87" t="b">
        <v>0</v>
      </c>
      <c r="I371" s="87" t="b">
        <v>0</v>
      </c>
      <c r="J371" s="87" t="b">
        <v>0</v>
      </c>
      <c r="K371" s="87" t="b">
        <v>0</v>
      </c>
      <c r="L371" s="87" t="b">
        <v>0</v>
      </c>
    </row>
    <row r="372" spans="1:12" x14ac:dyDescent="0.25">
      <c r="A372" s="84" t="s">
        <v>494</v>
      </c>
      <c r="B372" s="87" t="s">
        <v>1787</v>
      </c>
      <c r="C372" s="87">
        <v>2</v>
      </c>
      <c r="D372" s="111">
        <v>2.2841879981593603E-3</v>
      </c>
      <c r="E372" s="111">
        <v>2.2810333672477277</v>
      </c>
      <c r="F372" s="87" t="s">
        <v>1952</v>
      </c>
      <c r="G372" s="87" t="b">
        <v>0</v>
      </c>
      <c r="H372" s="87" t="b">
        <v>0</v>
      </c>
      <c r="I372" s="87" t="b">
        <v>0</v>
      </c>
      <c r="J372" s="87" t="b">
        <v>0</v>
      </c>
      <c r="K372" s="87" t="b">
        <v>0</v>
      </c>
      <c r="L372" s="87" t="b">
        <v>0</v>
      </c>
    </row>
    <row r="373" spans="1:12" x14ac:dyDescent="0.25">
      <c r="A373" s="84" t="s">
        <v>1646</v>
      </c>
      <c r="B373" s="87" t="s">
        <v>1641</v>
      </c>
      <c r="C373" s="87">
        <v>4</v>
      </c>
      <c r="D373" s="111">
        <v>1.047190571385765E-2</v>
      </c>
      <c r="E373" s="111">
        <v>1.4353665066126613</v>
      </c>
      <c r="F373" s="87" t="s">
        <v>1600</v>
      </c>
      <c r="G373" s="87" t="b">
        <v>0</v>
      </c>
      <c r="H373" s="87" t="b">
        <v>0</v>
      </c>
      <c r="I373" s="87" t="b">
        <v>0</v>
      </c>
      <c r="J373" s="87" t="b">
        <v>1</v>
      </c>
      <c r="K373" s="87" t="b">
        <v>0</v>
      </c>
      <c r="L373" s="87" t="b">
        <v>0</v>
      </c>
    </row>
    <row r="374" spans="1:12" x14ac:dyDescent="0.25">
      <c r="A374" s="84" t="s">
        <v>1780</v>
      </c>
      <c r="B374" s="87" t="s">
        <v>1804</v>
      </c>
      <c r="C374" s="87">
        <v>3</v>
      </c>
      <c r="D374" s="111">
        <v>6.7299425254633578E-3</v>
      </c>
      <c r="E374" s="111">
        <v>2.1623652345489237</v>
      </c>
      <c r="F374" s="87" t="s">
        <v>1600</v>
      </c>
      <c r="G374" s="87" t="b">
        <v>0</v>
      </c>
      <c r="H374" s="87" t="b">
        <v>0</v>
      </c>
      <c r="I374" s="87" t="b">
        <v>0</v>
      </c>
      <c r="J374" s="87" t="b">
        <v>0</v>
      </c>
      <c r="K374" s="87" t="b">
        <v>0</v>
      </c>
      <c r="L374" s="87" t="b">
        <v>0</v>
      </c>
    </row>
    <row r="375" spans="1:12" x14ac:dyDescent="0.25">
      <c r="A375" s="84" t="s">
        <v>268</v>
      </c>
      <c r="B375" s="87" t="s">
        <v>1663</v>
      </c>
      <c r="C375" s="87">
        <v>3</v>
      </c>
      <c r="D375" s="111">
        <v>6.7299425254633578E-3</v>
      </c>
      <c r="E375" s="111">
        <v>1.4933584535903479</v>
      </c>
      <c r="F375" s="87" t="s">
        <v>1600</v>
      </c>
      <c r="G375" s="87" t="b">
        <v>0</v>
      </c>
      <c r="H375" s="87" t="b">
        <v>0</v>
      </c>
      <c r="I375" s="87" t="b">
        <v>0</v>
      </c>
      <c r="J375" s="87" t="b">
        <v>0</v>
      </c>
      <c r="K375" s="87" t="b">
        <v>0</v>
      </c>
      <c r="L375" s="87" t="b">
        <v>0</v>
      </c>
    </row>
    <row r="376" spans="1:12" x14ac:dyDescent="0.25">
      <c r="A376" s="84" t="s">
        <v>1663</v>
      </c>
      <c r="B376" s="87" t="s">
        <v>1649</v>
      </c>
      <c r="C376" s="87">
        <v>3</v>
      </c>
      <c r="D376" s="111">
        <v>6.7299425254633578E-3</v>
      </c>
      <c r="E376" s="111">
        <v>2.1623652345489237</v>
      </c>
      <c r="F376" s="87" t="s">
        <v>1600</v>
      </c>
      <c r="G376" s="87" t="b">
        <v>0</v>
      </c>
      <c r="H376" s="87" t="b">
        <v>0</v>
      </c>
      <c r="I376" s="87" t="b">
        <v>0</v>
      </c>
      <c r="J376" s="87" t="b">
        <v>0</v>
      </c>
      <c r="K376" s="87" t="b">
        <v>0</v>
      </c>
      <c r="L376" s="87" t="b">
        <v>0</v>
      </c>
    </row>
    <row r="377" spans="1:12" x14ac:dyDescent="0.25">
      <c r="A377" s="84" t="s">
        <v>249</v>
      </c>
      <c r="B377" s="87" t="s">
        <v>1650</v>
      </c>
      <c r="C377" s="87">
        <v>3</v>
      </c>
      <c r="D377" s="111">
        <v>6.7299425254633578E-3</v>
      </c>
      <c r="E377" s="111">
        <v>1.5255431369617494</v>
      </c>
      <c r="F377" s="87" t="s">
        <v>1600</v>
      </c>
      <c r="G377" s="87" t="b">
        <v>0</v>
      </c>
      <c r="H377" s="87" t="b">
        <v>0</v>
      </c>
      <c r="I377" s="87" t="b">
        <v>0</v>
      </c>
      <c r="J377" s="87" t="b">
        <v>0</v>
      </c>
      <c r="K377" s="87" t="b">
        <v>0</v>
      </c>
      <c r="L377" s="87" t="b">
        <v>0</v>
      </c>
    </row>
    <row r="378" spans="1:12" x14ac:dyDescent="0.25">
      <c r="A378" s="84" t="s">
        <v>1686</v>
      </c>
      <c r="B378" s="87" t="s">
        <v>1785</v>
      </c>
      <c r="C378" s="87">
        <v>3</v>
      </c>
      <c r="D378" s="111">
        <v>6.7299425254633578E-3</v>
      </c>
      <c r="E378" s="111">
        <v>1.9405164849325673</v>
      </c>
      <c r="F378" s="87" t="s">
        <v>1600</v>
      </c>
      <c r="G378" s="87" t="b">
        <v>0</v>
      </c>
      <c r="H378" s="87" t="b">
        <v>0</v>
      </c>
      <c r="I378" s="87" t="b">
        <v>0</v>
      </c>
      <c r="J378" s="87" t="b">
        <v>0</v>
      </c>
      <c r="K378" s="87" t="b">
        <v>0</v>
      </c>
      <c r="L378" s="87" t="b">
        <v>0</v>
      </c>
    </row>
    <row r="379" spans="1:12" x14ac:dyDescent="0.25">
      <c r="A379" s="84" t="s">
        <v>1773</v>
      </c>
      <c r="B379" s="87" t="s">
        <v>1780</v>
      </c>
      <c r="C379" s="87">
        <v>3</v>
      </c>
      <c r="D379" s="111">
        <v>6.7299425254633578E-3</v>
      </c>
      <c r="E379" s="111">
        <v>2.1623652345489237</v>
      </c>
      <c r="F379" s="87" t="s">
        <v>1600</v>
      </c>
      <c r="G379" s="87" t="b">
        <v>0</v>
      </c>
      <c r="H379" s="87" t="b">
        <v>0</v>
      </c>
      <c r="I379" s="87" t="b">
        <v>0</v>
      </c>
      <c r="J379" s="87" t="b">
        <v>0</v>
      </c>
      <c r="K379" s="87" t="b">
        <v>0</v>
      </c>
      <c r="L379" s="87" t="b">
        <v>0</v>
      </c>
    </row>
    <row r="380" spans="1:12" x14ac:dyDescent="0.25">
      <c r="A380" s="84" t="s">
        <v>1644</v>
      </c>
      <c r="B380" s="87" t="s">
        <v>1749</v>
      </c>
      <c r="C380" s="87">
        <v>3</v>
      </c>
      <c r="D380" s="111">
        <v>6.7299425254633578E-3</v>
      </c>
      <c r="E380" s="111">
        <v>2.1623652345489237</v>
      </c>
      <c r="F380" s="87" t="s">
        <v>1600</v>
      </c>
      <c r="G380" s="87" t="b">
        <v>0</v>
      </c>
      <c r="H380" s="87" t="b">
        <v>0</v>
      </c>
      <c r="I380" s="87" t="b">
        <v>0</v>
      </c>
      <c r="J380" s="87" t="b">
        <v>0</v>
      </c>
      <c r="K380" s="87" t="b">
        <v>0</v>
      </c>
      <c r="L380" s="87" t="b">
        <v>0</v>
      </c>
    </row>
    <row r="381" spans="1:12" x14ac:dyDescent="0.25">
      <c r="A381" s="84" t="s">
        <v>1749</v>
      </c>
      <c r="B381" s="87" t="s">
        <v>1686</v>
      </c>
      <c r="C381" s="87">
        <v>3</v>
      </c>
      <c r="D381" s="111">
        <v>6.7299425254633578E-3</v>
      </c>
      <c r="E381" s="111">
        <v>1.9405164849325673</v>
      </c>
      <c r="F381" s="87" t="s">
        <v>1600</v>
      </c>
      <c r="G381" s="87" t="b">
        <v>0</v>
      </c>
      <c r="H381" s="87" t="b">
        <v>0</v>
      </c>
      <c r="I381" s="87" t="b">
        <v>0</v>
      </c>
      <c r="J381" s="87" t="b">
        <v>0</v>
      </c>
      <c r="K381" s="87" t="b">
        <v>0</v>
      </c>
      <c r="L381" s="87" t="b">
        <v>0</v>
      </c>
    </row>
    <row r="382" spans="1:12" x14ac:dyDescent="0.25">
      <c r="A382" s="84" t="s">
        <v>1649</v>
      </c>
      <c r="B382" s="87" t="s">
        <v>1646</v>
      </c>
      <c r="C382" s="87">
        <v>3</v>
      </c>
      <c r="D382" s="111">
        <v>6.7299425254633578E-3</v>
      </c>
      <c r="E382" s="111">
        <v>1.7363965022766426</v>
      </c>
      <c r="F382" s="87" t="s">
        <v>1600</v>
      </c>
      <c r="G382" s="87" t="b">
        <v>0</v>
      </c>
      <c r="H382" s="87" t="b">
        <v>0</v>
      </c>
      <c r="I382" s="87" t="b">
        <v>0</v>
      </c>
      <c r="J382" s="87" t="b">
        <v>0</v>
      </c>
      <c r="K382" s="87" t="b">
        <v>0</v>
      </c>
      <c r="L382" s="87" t="b">
        <v>0</v>
      </c>
    </row>
    <row r="383" spans="1:12" x14ac:dyDescent="0.25">
      <c r="A383" s="84" t="s">
        <v>1807</v>
      </c>
      <c r="B383" s="87" t="s">
        <v>1644</v>
      </c>
      <c r="C383" s="87">
        <v>3</v>
      </c>
      <c r="D383" s="111">
        <v>6.7299425254633578E-3</v>
      </c>
      <c r="E383" s="111">
        <v>2.1623652345489237</v>
      </c>
      <c r="F383" s="87" t="s">
        <v>1600</v>
      </c>
      <c r="G383" s="87" t="b">
        <v>0</v>
      </c>
      <c r="H383" s="87" t="b">
        <v>0</v>
      </c>
      <c r="I383" s="87" t="b">
        <v>0</v>
      </c>
      <c r="J383" s="87" t="b">
        <v>0</v>
      </c>
      <c r="K383" s="87" t="b">
        <v>0</v>
      </c>
      <c r="L383" s="87" t="b">
        <v>0</v>
      </c>
    </row>
    <row r="384" spans="1:12" x14ac:dyDescent="0.25">
      <c r="A384" s="84" t="s">
        <v>1650</v>
      </c>
      <c r="B384" s="87" t="s">
        <v>275</v>
      </c>
      <c r="C384" s="87">
        <v>3</v>
      </c>
      <c r="D384" s="111">
        <v>6.7299425254633578E-3</v>
      </c>
      <c r="E384" s="111">
        <v>1.9405164849325673</v>
      </c>
      <c r="F384" s="87" t="s">
        <v>1600</v>
      </c>
      <c r="G384" s="87" t="b">
        <v>0</v>
      </c>
      <c r="H384" s="87" t="b">
        <v>0</v>
      </c>
      <c r="I384" s="87" t="b">
        <v>0</v>
      </c>
      <c r="J384" s="87" t="b">
        <v>0</v>
      </c>
      <c r="K384" s="87" t="b">
        <v>0</v>
      </c>
      <c r="L384" s="87" t="b">
        <v>0</v>
      </c>
    </row>
    <row r="385" spans="1:12" x14ac:dyDescent="0.25">
      <c r="A385" s="84" t="s">
        <v>1829</v>
      </c>
      <c r="B385" s="87" t="s">
        <v>309</v>
      </c>
      <c r="C385" s="87">
        <v>2</v>
      </c>
      <c r="D385" s="111">
        <v>5.2359528569288251E-3</v>
      </c>
      <c r="E385" s="111">
        <v>2.3384564936046046</v>
      </c>
      <c r="F385" s="87" t="s">
        <v>1600</v>
      </c>
      <c r="G385" s="87" t="b">
        <v>1</v>
      </c>
      <c r="H385" s="87" t="b">
        <v>0</v>
      </c>
      <c r="I385" s="87" t="b">
        <v>0</v>
      </c>
      <c r="J385" s="87" t="b">
        <v>0</v>
      </c>
      <c r="K385" s="87" t="b">
        <v>0</v>
      </c>
      <c r="L385" s="87" t="b">
        <v>0</v>
      </c>
    </row>
    <row r="386" spans="1:12" x14ac:dyDescent="0.25">
      <c r="A386" s="84" t="s">
        <v>1747</v>
      </c>
      <c r="B386" s="87" t="s">
        <v>1902</v>
      </c>
      <c r="C386" s="87">
        <v>2</v>
      </c>
      <c r="D386" s="111">
        <v>5.2359528569288251E-3</v>
      </c>
      <c r="E386" s="111">
        <v>2.3384564936046046</v>
      </c>
      <c r="F386" s="87" t="s">
        <v>1600</v>
      </c>
      <c r="G386" s="87" t="b">
        <v>0</v>
      </c>
      <c r="H386" s="87" t="b">
        <v>0</v>
      </c>
      <c r="I386" s="87" t="b">
        <v>0</v>
      </c>
      <c r="J386" s="87" t="b">
        <v>0</v>
      </c>
      <c r="K386" s="87" t="b">
        <v>0</v>
      </c>
      <c r="L386" s="87" t="b">
        <v>0</v>
      </c>
    </row>
    <row r="387" spans="1:12" x14ac:dyDescent="0.25">
      <c r="A387" s="84" t="s">
        <v>1917</v>
      </c>
      <c r="B387" s="87" t="s">
        <v>1755</v>
      </c>
      <c r="C387" s="87">
        <v>2</v>
      </c>
      <c r="D387" s="111">
        <v>5.2359528569288251E-3</v>
      </c>
      <c r="E387" s="111">
        <v>2.3384564936046046</v>
      </c>
      <c r="F387" s="87" t="s">
        <v>1600</v>
      </c>
      <c r="G387" s="87" t="b">
        <v>0</v>
      </c>
      <c r="H387" s="87" t="b">
        <v>0</v>
      </c>
      <c r="I387" s="87" t="b">
        <v>0</v>
      </c>
      <c r="J387" s="87" t="b">
        <v>0</v>
      </c>
      <c r="K387" s="87" t="b">
        <v>0</v>
      </c>
      <c r="L387" s="87" t="b">
        <v>0</v>
      </c>
    </row>
    <row r="388" spans="1:12" x14ac:dyDescent="0.25">
      <c r="A388" s="84" t="s">
        <v>1732</v>
      </c>
      <c r="B388" s="87" t="s">
        <v>1757</v>
      </c>
      <c r="C388" s="87">
        <v>2</v>
      </c>
      <c r="D388" s="111">
        <v>5.2359528569288251E-3</v>
      </c>
      <c r="E388" s="111">
        <v>2.3384564936046046</v>
      </c>
      <c r="F388" s="87" t="s">
        <v>1600</v>
      </c>
      <c r="G388" s="87" t="b">
        <v>0</v>
      </c>
      <c r="H388" s="87" t="b">
        <v>0</v>
      </c>
      <c r="I388" s="87" t="b">
        <v>0</v>
      </c>
      <c r="J388" s="87" t="b">
        <v>0</v>
      </c>
      <c r="K388" s="87" t="b">
        <v>0</v>
      </c>
      <c r="L388" s="87" t="b">
        <v>0</v>
      </c>
    </row>
    <row r="389" spans="1:12" x14ac:dyDescent="0.25">
      <c r="A389" s="84" t="s">
        <v>1718</v>
      </c>
      <c r="B389" s="87" t="s">
        <v>1676</v>
      </c>
      <c r="C389" s="87">
        <v>2</v>
      </c>
      <c r="D389" s="111">
        <v>5.2359528569288251E-3</v>
      </c>
      <c r="E389" s="111">
        <v>2.1623652345489237</v>
      </c>
      <c r="F389" s="87" t="s">
        <v>1600</v>
      </c>
      <c r="G389" s="87" t="b">
        <v>0</v>
      </c>
      <c r="H389" s="87" t="b">
        <v>0</v>
      </c>
      <c r="I389" s="87" t="b">
        <v>0</v>
      </c>
      <c r="J389" s="87" t="b">
        <v>0</v>
      </c>
      <c r="K389" s="87" t="b">
        <v>0</v>
      </c>
      <c r="L389" s="87" t="b">
        <v>0</v>
      </c>
    </row>
    <row r="390" spans="1:12" x14ac:dyDescent="0.25">
      <c r="A390" s="84" t="s">
        <v>309</v>
      </c>
      <c r="B390" s="87" t="s">
        <v>268</v>
      </c>
      <c r="C390" s="87">
        <v>2</v>
      </c>
      <c r="D390" s="111">
        <v>5.2359528569288251E-3</v>
      </c>
      <c r="E390" s="111">
        <v>1.6852439798292611</v>
      </c>
      <c r="F390" s="87" t="s">
        <v>1600</v>
      </c>
      <c r="G390" s="87" t="b">
        <v>0</v>
      </c>
      <c r="H390" s="87" t="b">
        <v>0</v>
      </c>
      <c r="I390" s="87" t="b">
        <v>0</v>
      </c>
      <c r="J390" s="87" t="b">
        <v>0</v>
      </c>
      <c r="K390" s="87" t="b">
        <v>0</v>
      </c>
      <c r="L390" s="87" t="b">
        <v>0</v>
      </c>
    </row>
    <row r="391" spans="1:12" x14ac:dyDescent="0.25">
      <c r="A391" s="84" t="s">
        <v>1688</v>
      </c>
      <c r="B391" s="87" t="s">
        <v>1890</v>
      </c>
      <c r="C391" s="87">
        <v>2</v>
      </c>
      <c r="D391" s="111">
        <v>5.2359528569288251E-3</v>
      </c>
      <c r="E391" s="111">
        <v>2.3384564936046046</v>
      </c>
      <c r="F391" s="87" t="s">
        <v>1600</v>
      </c>
      <c r="G391" s="87" t="b">
        <v>0</v>
      </c>
      <c r="H391" s="87" t="b">
        <v>0</v>
      </c>
      <c r="I391" s="87" t="b">
        <v>0</v>
      </c>
      <c r="J391" s="87" t="b">
        <v>0</v>
      </c>
      <c r="K391" s="87" t="b">
        <v>0</v>
      </c>
      <c r="L391" s="87" t="b">
        <v>0</v>
      </c>
    </row>
    <row r="392" spans="1:12" x14ac:dyDescent="0.25">
      <c r="A392" s="84" t="s">
        <v>1851</v>
      </c>
      <c r="B392" s="87" t="s">
        <v>1909</v>
      </c>
      <c r="C392" s="87">
        <v>2</v>
      </c>
      <c r="D392" s="111">
        <v>5.2359528569288251E-3</v>
      </c>
      <c r="E392" s="111">
        <v>2.3384564936046046</v>
      </c>
      <c r="F392" s="87" t="s">
        <v>1600</v>
      </c>
      <c r="G392" s="87" t="b">
        <v>0</v>
      </c>
      <c r="H392" s="87" t="b">
        <v>0</v>
      </c>
      <c r="I392" s="87" t="b">
        <v>0</v>
      </c>
      <c r="J392" s="87" t="b">
        <v>0</v>
      </c>
      <c r="K392" s="87" t="b">
        <v>0</v>
      </c>
      <c r="L392" s="87" t="b">
        <v>0</v>
      </c>
    </row>
    <row r="393" spans="1:12" x14ac:dyDescent="0.25">
      <c r="A393" s="84" t="s">
        <v>1700</v>
      </c>
      <c r="B393" s="87" t="s">
        <v>1853</v>
      </c>
      <c r="C393" s="87">
        <v>2</v>
      </c>
      <c r="D393" s="111">
        <v>5.2359528569288251E-3</v>
      </c>
      <c r="E393" s="111">
        <v>2.1623652345489237</v>
      </c>
      <c r="F393" s="87" t="s">
        <v>1600</v>
      </c>
      <c r="G393" s="87" t="b">
        <v>0</v>
      </c>
      <c r="H393" s="87" t="b">
        <v>0</v>
      </c>
      <c r="I393" s="87" t="b">
        <v>0</v>
      </c>
      <c r="J393" s="87" t="b">
        <v>0</v>
      </c>
      <c r="K393" s="87" t="b">
        <v>0</v>
      </c>
      <c r="L393" s="87" t="b">
        <v>0</v>
      </c>
    </row>
    <row r="394" spans="1:12" x14ac:dyDescent="0.25">
      <c r="A394" s="84" t="s">
        <v>1662</v>
      </c>
      <c r="B394" s="87" t="s">
        <v>1826</v>
      </c>
      <c r="C394" s="87">
        <v>2</v>
      </c>
      <c r="D394" s="111">
        <v>5.2359528569288251E-3</v>
      </c>
      <c r="E394" s="111">
        <v>2.1623652345489237</v>
      </c>
      <c r="F394" s="87" t="s">
        <v>1600</v>
      </c>
      <c r="G394" s="87" t="b">
        <v>0</v>
      </c>
      <c r="H394" s="87" t="b">
        <v>0</v>
      </c>
      <c r="I394" s="87" t="b">
        <v>0</v>
      </c>
      <c r="J394" s="87" t="b">
        <v>0</v>
      </c>
      <c r="K394" s="87" t="b">
        <v>0</v>
      </c>
      <c r="L394" s="87" t="b">
        <v>0</v>
      </c>
    </row>
    <row r="395" spans="1:12" x14ac:dyDescent="0.25">
      <c r="A395" s="84" t="s">
        <v>1909</v>
      </c>
      <c r="B395" s="87" t="s">
        <v>1673</v>
      </c>
      <c r="C395" s="87">
        <v>2</v>
      </c>
      <c r="D395" s="111">
        <v>5.2359528569288251E-3</v>
      </c>
      <c r="E395" s="111">
        <v>2.1623652345489237</v>
      </c>
      <c r="F395" s="87" t="s">
        <v>1600</v>
      </c>
      <c r="G395" s="87" t="b">
        <v>0</v>
      </c>
      <c r="H395" s="87" t="b">
        <v>0</v>
      </c>
      <c r="I395" s="87" t="b">
        <v>0</v>
      </c>
      <c r="J395" s="87" t="b">
        <v>0</v>
      </c>
      <c r="K395" s="87" t="b">
        <v>0</v>
      </c>
      <c r="L395" s="87" t="b">
        <v>0</v>
      </c>
    </row>
    <row r="396" spans="1:12" x14ac:dyDescent="0.25">
      <c r="A396" s="84" t="s">
        <v>1853</v>
      </c>
      <c r="B396" s="87" t="s">
        <v>1648</v>
      </c>
      <c r="C396" s="87">
        <v>2</v>
      </c>
      <c r="D396" s="111">
        <v>5.2359528569288251E-3</v>
      </c>
      <c r="E396" s="111">
        <v>2.0374264979406238</v>
      </c>
      <c r="F396" s="87" t="s">
        <v>1600</v>
      </c>
      <c r="G396" s="87" t="b">
        <v>0</v>
      </c>
      <c r="H396" s="87" t="b">
        <v>0</v>
      </c>
      <c r="I396" s="87" t="b">
        <v>0</v>
      </c>
      <c r="J396" s="87" t="b">
        <v>0</v>
      </c>
      <c r="K396" s="87" t="b">
        <v>0</v>
      </c>
      <c r="L396" s="87" t="b">
        <v>0</v>
      </c>
    </row>
    <row r="397" spans="1:12" x14ac:dyDescent="0.25">
      <c r="A397" s="84" t="s">
        <v>1671</v>
      </c>
      <c r="B397" s="87" t="s">
        <v>1706</v>
      </c>
      <c r="C397" s="87">
        <v>2</v>
      </c>
      <c r="D397" s="111">
        <v>5.2359528569288251E-3</v>
      </c>
      <c r="E397" s="111">
        <v>1.9862739754932424</v>
      </c>
      <c r="F397" s="87" t="s">
        <v>1600</v>
      </c>
      <c r="G397" s="87" t="b">
        <v>0</v>
      </c>
      <c r="H397" s="87" t="b">
        <v>0</v>
      </c>
      <c r="I397" s="87" t="b">
        <v>0</v>
      </c>
      <c r="J397" s="87" t="b">
        <v>0</v>
      </c>
      <c r="K397" s="87" t="b">
        <v>0</v>
      </c>
      <c r="L397" s="87" t="b">
        <v>0</v>
      </c>
    </row>
    <row r="398" spans="1:12" x14ac:dyDescent="0.25">
      <c r="A398" s="84" t="s">
        <v>243</v>
      </c>
      <c r="B398" s="87" t="s">
        <v>295</v>
      </c>
      <c r="C398" s="87">
        <v>2</v>
      </c>
      <c r="D398" s="111">
        <v>5.2359528569288251E-3</v>
      </c>
      <c r="E398" s="111">
        <v>1.9405164849325671</v>
      </c>
      <c r="F398" s="87" t="s">
        <v>1600</v>
      </c>
      <c r="G398" s="87" t="b">
        <v>0</v>
      </c>
      <c r="H398" s="87" t="b">
        <v>0</v>
      </c>
      <c r="I398" s="87" t="b">
        <v>0</v>
      </c>
      <c r="J398" s="87" t="b">
        <v>0</v>
      </c>
      <c r="K398" s="87" t="b">
        <v>0</v>
      </c>
      <c r="L398" s="87" t="b">
        <v>0</v>
      </c>
    </row>
    <row r="399" spans="1:12" x14ac:dyDescent="0.25">
      <c r="A399" s="84" t="s">
        <v>1641</v>
      </c>
      <c r="B399" s="87" t="s">
        <v>1743</v>
      </c>
      <c r="C399" s="87">
        <v>2</v>
      </c>
      <c r="D399" s="111">
        <v>5.2359528569288251E-3</v>
      </c>
      <c r="E399" s="111">
        <v>1.7363965022766426</v>
      </c>
      <c r="F399" s="87" t="s">
        <v>1600</v>
      </c>
      <c r="G399" s="87" t="b">
        <v>1</v>
      </c>
      <c r="H399" s="87" t="b">
        <v>0</v>
      </c>
      <c r="I399" s="87" t="b">
        <v>0</v>
      </c>
      <c r="J399" s="87" t="b">
        <v>0</v>
      </c>
      <c r="K399" s="87" t="b">
        <v>0</v>
      </c>
      <c r="L399" s="87" t="b">
        <v>0</v>
      </c>
    </row>
    <row r="400" spans="1:12" x14ac:dyDescent="0.25">
      <c r="A400" s="84" t="s">
        <v>1792</v>
      </c>
      <c r="B400" s="87" t="s">
        <v>1912</v>
      </c>
      <c r="C400" s="87">
        <v>2</v>
      </c>
      <c r="D400" s="111">
        <v>5.2359528569288251E-3</v>
      </c>
      <c r="E400" s="111">
        <v>2.3384564936046046</v>
      </c>
      <c r="F400" s="87" t="s">
        <v>1600</v>
      </c>
      <c r="G400" s="87" t="b">
        <v>1</v>
      </c>
      <c r="H400" s="87" t="b">
        <v>0</v>
      </c>
      <c r="I400" s="87" t="b">
        <v>0</v>
      </c>
      <c r="J400" s="87" t="b">
        <v>0</v>
      </c>
      <c r="K400" s="87" t="b">
        <v>0</v>
      </c>
      <c r="L400" s="87" t="b">
        <v>0</v>
      </c>
    </row>
    <row r="401" spans="1:12" x14ac:dyDescent="0.25">
      <c r="A401" s="84" t="s">
        <v>1891</v>
      </c>
      <c r="B401" s="87" t="s">
        <v>1924</v>
      </c>
      <c r="C401" s="87">
        <v>2</v>
      </c>
      <c r="D401" s="111">
        <v>5.2359528569288251E-3</v>
      </c>
      <c r="E401" s="111">
        <v>2.3384564936046046</v>
      </c>
      <c r="F401" s="87" t="s">
        <v>1600</v>
      </c>
      <c r="G401" s="87" t="b">
        <v>0</v>
      </c>
      <c r="H401" s="87" t="b">
        <v>0</v>
      </c>
      <c r="I401" s="87" t="b">
        <v>0</v>
      </c>
      <c r="J401" s="87" t="b">
        <v>0</v>
      </c>
      <c r="K401" s="87" t="b">
        <v>0</v>
      </c>
      <c r="L401" s="87" t="b">
        <v>0</v>
      </c>
    </row>
    <row r="402" spans="1:12" x14ac:dyDescent="0.25">
      <c r="A402" s="84" t="s">
        <v>1641</v>
      </c>
      <c r="B402" s="87" t="s">
        <v>1728</v>
      </c>
      <c r="C402" s="87">
        <v>2</v>
      </c>
      <c r="D402" s="111">
        <v>5.2359528569288251E-3</v>
      </c>
      <c r="E402" s="111">
        <v>1.7363965022766426</v>
      </c>
      <c r="F402" s="87" t="s">
        <v>1600</v>
      </c>
      <c r="G402" s="87" t="b">
        <v>1</v>
      </c>
      <c r="H402" s="87" t="b">
        <v>0</v>
      </c>
      <c r="I402" s="87" t="b">
        <v>0</v>
      </c>
      <c r="J402" s="87" t="b">
        <v>0</v>
      </c>
      <c r="K402" s="87" t="b">
        <v>0</v>
      </c>
      <c r="L402" s="87" t="b">
        <v>0</v>
      </c>
    </row>
    <row r="403" spans="1:12" x14ac:dyDescent="0.25">
      <c r="A403" s="84" t="s">
        <v>268</v>
      </c>
      <c r="B403" s="87" t="s">
        <v>1756</v>
      </c>
      <c r="C403" s="87">
        <v>2</v>
      </c>
      <c r="D403" s="111">
        <v>5.2359528569288251E-3</v>
      </c>
      <c r="E403" s="111">
        <v>1.3172671945346668</v>
      </c>
      <c r="F403" s="87" t="s">
        <v>1600</v>
      </c>
      <c r="G403" s="87" t="b">
        <v>0</v>
      </c>
      <c r="H403" s="87" t="b">
        <v>0</v>
      </c>
      <c r="I403" s="87" t="b">
        <v>0</v>
      </c>
      <c r="J403" s="87" t="b">
        <v>0</v>
      </c>
      <c r="K403" s="87" t="b">
        <v>0</v>
      </c>
      <c r="L403" s="87" t="b">
        <v>0</v>
      </c>
    </row>
    <row r="404" spans="1:12" x14ac:dyDescent="0.25">
      <c r="A404" s="84" t="s">
        <v>1790</v>
      </c>
      <c r="B404" s="87" t="s">
        <v>1917</v>
      </c>
      <c r="C404" s="87">
        <v>2</v>
      </c>
      <c r="D404" s="111">
        <v>5.2359528569288251E-3</v>
      </c>
      <c r="E404" s="111">
        <v>2.3384564936046046</v>
      </c>
      <c r="F404" s="87" t="s">
        <v>1600</v>
      </c>
      <c r="G404" s="87" t="b">
        <v>0</v>
      </c>
      <c r="H404" s="87" t="b">
        <v>0</v>
      </c>
      <c r="I404" s="87" t="b">
        <v>0</v>
      </c>
      <c r="J404" s="87" t="b">
        <v>0</v>
      </c>
      <c r="K404" s="87" t="b">
        <v>0</v>
      </c>
      <c r="L404" s="87" t="b">
        <v>0</v>
      </c>
    </row>
    <row r="405" spans="1:12" x14ac:dyDescent="0.25">
      <c r="A405" s="84" t="s">
        <v>1823</v>
      </c>
      <c r="B405" s="87" t="s">
        <v>1662</v>
      </c>
      <c r="C405" s="87">
        <v>2</v>
      </c>
      <c r="D405" s="111">
        <v>5.2359528569288251E-3</v>
      </c>
      <c r="E405" s="111">
        <v>2.1623652345489237</v>
      </c>
      <c r="F405" s="87" t="s">
        <v>1600</v>
      </c>
      <c r="G405" s="87" t="b">
        <v>0</v>
      </c>
      <c r="H405" s="87" t="b">
        <v>0</v>
      </c>
      <c r="I405" s="87" t="b">
        <v>0</v>
      </c>
      <c r="J405" s="87" t="b">
        <v>0</v>
      </c>
      <c r="K405" s="87" t="b">
        <v>0</v>
      </c>
      <c r="L405" s="87" t="b">
        <v>0</v>
      </c>
    </row>
    <row r="406" spans="1:12" x14ac:dyDescent="0.25">
      <c r="A406" s="84" t="s">
        <v>1924</v>
      </c>
      <c r="B406" s="87" t="s">
        <v>1807</v>
      </c>
      <c r="C406" s="87">
        <v>2</v>
      </c>
      <c r="D406" s="111">
        <v>5.2359528569288251E-3</v>
      </c>
      <c r="E406" s="111">
        <v>2.1623652345489237</v>
      </c>
      <c r="F406" s="87" t="s">
        <v>1600</v>
      </c>
      <c r="G406" s="87" t="b">
        <v>0</v>
      </c>
      <c r="H406" s="87" t="b">
        <v>0</v>
      </c>
      <c r="I406" s="87" t="b">
        <v>0</v>
      </c>
      <c r="J406" s="87" t="b">
        <v>0</v>
      </c>
      <c r="K406" s="87" t="b">
        <v>0</v>
      </c>
      <c r="L406" s="87" t="b">
        <v>0</v>
      </c>
    </row>
    <row r="407" spans="1:12" x14ac:dyDescent="0.25">
      <c r="A407" s="84" t="s">
        <v>1826</v>
      </c>
      <c r="B407" s="87" t="s">
        <v>1665</v>
      </c>
      <c r="C407" s="87">
        <v>2</v>
      </c>
      <c r="D407" s="111">
        <v>5.2359528569288251E-3</v>
      </c>
      <c r="E407" s="111">
        <v>2.0374264979406238</v>
      </c>
      <c r="F407" s="87" t="s">
        <v>1600</v>
      </c>
      <c r="G407" s="87" t="b">
        <v>0</v>
      </c>
      <c r="H407" s="87" t="b">
        <v>0</v>
      </c>
      <c r="I407" s="87" t="b">
        <v>0</v>
      </c>
      <c r="J407" s="87" t="b">
        <v>0</v>
      </c>
      <c r="K407" s="87" t="b">
        <v>0</v>
      </c>
      <c r="L407" s="87" t="b">
        <v>0</v>
      </c>
    </row>
    <row r="408" spans="1:12" x14ac:dyDescent="0.25">
      <c r="A408" s="84" t="s">
        <v>1664</v>
      </c>
      <c r="B408" s="87" t="s">
        <v>249</v>
      </c>
      <c r="C408" s="87">
        <v>2</v>
      </c>
      <c r="D408" s="111">
        <v>5.2359528569288251E-3</v>
      </c>
      <c r="E408" s="111">
        <v>1.9405164849325671</v>
      </c>
      <c r="F408" s="87" t="s">
        <v>1600</v>
      </c>
      <c r="G408" s="87" t="b">
        <v>0</v>
      </c>
      <c r="H408" s="87" t="b">
        <v>0</v>
      </c>
      <c r="I408" s="87" t="b">
        <v>0</v>
      </c>
      <c r="J408" s="87" t="b">
        <v>0</v>
      </c>
      <c r="K408" s="87" t="b">
        <v>0</v>
      </c>
      <c r="L408" s="87" t="b">
        <v>0</v>
      </c>
    </row>
    <row r="409" spans="1:12" x14ac:dyDescent="0.25">
      <c r="A409" s="84" t="s">
        <v>1753</v>
      </c>
      <c r="B409" s="87" t="s">
        <v>1732</v>
      </c>
      <c r="C409" s="87">
        <v>2</v>
      </c>
      <c r="D409" s="111">
        <v>5.2359528569288251E-3</v>
      </c>
      <c r="E409" s="111">
        <v>2.3384564936046046</v>
      </c>
      <c r="F409" s="87" t="s">
        <v>1600</v>
      </c>
      <c r="G409" s="87" t="b">
        <v>0</v>
      </c>
      <c r="H409" s="87" t="b">
        <v>0</v>
      </c>
      <c r="I409" s="87" t="b">
        <v>0</v>
      </c>
      <c r="J409" s="87" t="b">
        <v>0</v>
      </c>
      <c r="K409" s="87" t="b">
        <v>0</v>
      </c>
      <c r="L409" s="87" t="b">
        <v>0</v>
      </c>
    </row>
    <row r="410" spans="1:12" x14ac:dyDescent="0.25">
      <c r="A410" s="84" t="s">
        <v>268</v>
      </c>
      <c r="B410" s="87" t="s">
        <v>1884</v>
      </c>
      <c r="C410" s="87">
        <v>2</v>
      </c>
      <c r="D410" s="111">
        <v>5.2359528569288251E-3</v>
      </c>
      <c r="E410" s="111">
        <v>1.4933584535903479</v>
      </c>
      <c r="F410" s="87" t="s">
        <v>1600</v>
      </c>
      <c r="G410" s="87" t="b">
        <v>0</v>
      </c>
      <c r="H410" s="87" t="b">
        <v>0</v>
      </c>
      <c r="I410" s="87" t="b">
        <v>0</v>
      </c>
      <c r="J410" s="87" t="b">
        <v>0</v>
      </c>
      <c r="K410" s="87" t="b">
        <v>0</v>
      </c>
      <c r="L410" s="87" t="b">
        <v>0</v>
      </c>
    </row>
    <row r="411" spans="1:12" x14ac:dyDescent="0.25">
      <c r="A411" s="84" t="s">
        <v>350</v>
      </c>
      <c r="B411" s="87" t="s">
        <v>1641</v>
      </c>
      <c r="C411" s="87">
        <v>2</v>
      </c>
      <c r="D411" s="111">
        <v>5.2359528569288251E-3</v>
      </c>
      <c r="E411" s="111">
        <v>1.5603052432209612</v>
      </c>
      <c r="F411" s="87" t="s">
        <v>1600</v>
      </c>
      <c r="G411" s="87" t="b">
        <v>0</v>
      </c>
      <c r="H411" s="87" t="b">
        <v>0</v>
      </c>
      <c r="I411" s="87" t="b">
        <v>0</v>
      </c>
      <c r="J411" s="87" t="b">
        <v>1</v>
      </c>
      <c r="K411" s="87" t="b">
        <v>0</v>
      </c>
      <c r="L411" s="87" t="b">
        <v>0</v>
      </c>
    </row>
    <row r="412" spans="1:12" x14ac:dyDescent="0.25">
      <c r="A412" s="84" t="s">
        <v>1648</v>
      </c>
      <c r="B412" s="87" t="s">
        <v>1792</v>
      </c>
      <c r="C412" s="87">
        <v>2</v>
      </c>
      <c r="D412" s="111">
        <v>5.2359528569288251E-3</v>
      </c>
      <c r="E412" s="111">
        <v>2.1623652345489237</v>
      </c>
      <c r="F412" s="87" t="s">
        <v>1600</v>
      </c>
      <c r="G412" s="87" t="b">
        <v>0</v>
      </c>
      <c r="H412" s="87" t="b">
        <v>0</v>
      </c>
      <c r="I412" s="87" t="b">
        <v>0</v>
      </c>
      <c r="J412" s="87" t="b">
        <v>1</v>
      </c>
      <c r="K412" s="87" t="b">
        <v>0</v>
      </c>
      <c r="L412" s="87" t="b">
        <v>0</v>
      </c>
    </row>
    <row r="413" spans="1:12" x14ac:dyDescent="0.25">
      <c r="A413" s="84" t="s">
        <v>1665</v>
      </c>
      <c r="B413" s="87" t="s">
        <v>243</v>
      </c>
      <c r="C413" s="87">
        <v>2</v>
      </c>
      <c r="D413" s="111">
        <v>5.2359528569288251E-3</v>
      </c>
      <c r="E413" s="111">
        <v>1.8613352388849425</v>
      </c>
      <c r="F413" s="87" t="s">
        <v>1600</v>
      </c>
      <c r="G413" s="87" t="b">
        <v>0</v>
      </c>
      <c r="H413" s="87" t="b">
        <v>0</v>
      </c>
      <c r="I413" s="87" t="b">
        <v>0</v>
      </c>
      <c r="J413" s="87" t="b">
        <v>0</v>
      </c>
      <c r="K413" s="87" t="b">
        <v>0</v>
      </c>
      <c r="L413" s="87" t="b">
        <v>0</v>
      </c>
    </row>
    <row r="414" spans="1:12" x14ac:dyDescent="0.25">
      <c r="A414" s="84" t="s">
        <v>1686</v>
      </c>
      <c r="B414" s="87" t="s">
        <v>1790</v>
      </c>
      <c r="C414" s="87">
        <v>2</v>
      </c>
      <c r="D414" s="111">
        <v>5.2359528569288251E-3</v>
      </c>
      <c r="E414" s="111">
        <v>1.9405164849325671</v>
      </c>
      <c r="F414" s="87" t="s">
        <v>1600</v>
      </c>
      <c r="G414" s="87" t="b">
        <v>0</v>
      </c>
      <c r="H414" s="87" t="b">
        <v>0</v>
      </c>
      <c r="I414" s="87" t="b">
        <v>0</v>
      </c>
      <c r="J414" s="87" t="b">
        <v>0</v>
      </c>
      <c r="K414" s="87" t="b">
        <v>0</v>
      </c>
      <c r="L414" s="87" t="b">
        <v>0</v>
      </c>
    </row>
    <row r="415" spans="1:12" x14ac:dyDescent="0.25">
      <c r="A415" s="84" t="s">
        <v>1809</v>
      </c>
      <c r="B415" s="87" t="s">
        <v>1674</v>
      </c>
      <c r="C415" s="87">
        <v>2</v>
      </c>
      <c r="D415" s="111">
        <v>5.2359528569288251E-3</v>
      </c>
      <c r="E415" s="111">
        <v>1.9862739754932424</v>
      </c>
      <c r="F415" s="87" t="s">
        <v>1600</v>
      </c>
      <c r="G415" s="87" t="b">
        <v>0</v>
      </c>
      <c r="H415" s="87" t="b">
        <v>0</v>
      </c>
      <c r="I415" s="87" t="b">
        <v>0</v>
      </c>
      <c r="J415" s="87" t="b">
        <v>0</v>
      </c>
      <c r="K415" s="87" t="b">
        <v>0</v>
      </c>
      <c r="L415" s="87" t="b">
        <v>0</v>
      </c>
    </row>
    <row r="416" spans="1:12" x14ac:dyDescent="0.25">
      <c r="A416" s="84" t="s">
        <v>1832</v>
      </c>
      <c r="B416" s="87" t="s">
        <v>1920</v>
      </c>
      <c r="C416" s="87">
        <v>2</v>
      </c>
      <c r="D416" s="111">
        <v>5.2359528569288251E-3</v>
      </c>
      <c r="E416" s="111">
        <v>2.3384564936046046</v>
      </c>
      <c r="F416" s="87" t="s">
        <v>1600</v>
      </c>
      <c r="G416" s="87" t="b">
        <v>0</v>
      </c>
      <c r="H416" s="87" t="b">
        <v>0</v>
      </c>
      <c r="I416" s="87" t="b">
        <v>0</v>
      </c>
      <c r="J416" s="87" t="b">
        <v>0</v>
      </c>
      <c r="K416" s="87" t="b">
        <v>0</v>
      </c>
      <c r="L416" s="87" t="b">
        <v>0</v>
      </c>
    </row>
    <row r="417" spans="1:12" x14ac:dyDescent="0.25">
      <c r="A417" s="84" t="s">
        <v>1695</v>
      </c>
      <c r="B417" s="87" t="s">
        <v>243</v>
      </c>
      <c r="C417" s="87">
        <v>2</v>
      </c>
      <c r="D417" s="111">
        <v>5.2359528569288251E-3</v>
      </c>
      <c r="E417" s="111">
        <v>1.6394864892685859</v>
      </c>
      <c r="F417" s="87" t="s">
        <v>1600</v>
      </c>
      <c r="G417" s="87" t="b">
        <v>1</v>
      </c>
      <c r="H417" s="87" t="b">
        <v>0</v>
      </c>
      <c r="I417" s="87" t="b">
        <v>0</v>
      </c>
      <c r="J417" s="87" t="b">
        <v>0</v>
      </c>
      <c r="K417" s="87" t="b">
        <v>0</v>
      </c>
      <c r="L417" s="87" t="b">
        <v>0</v>
      </c>
    </row>
    <row r="418" spans="1:12" x14ac:dyDescent="0.25">
      <c r="A418" s="84" t="s">
        <v>243</v>
      </c>
      <c r="B418" s="87" t="s">
        <v>1747</v>
      </c>
      <c r="C418" s="87">
        <v>2</v>
      </c>
      <c r="D418" s="111">
        <v>5.2359528569288251E-3</v>
      </c>
      <c r="E418" s="111">
        <v>1.9405164849325671</v>
      </c>
      <c r="F418" s="87" t="s">
        <v>1600</v>
      </c>
      <c r="G418" s="87" t="b">
        <v>0</v>
      </c>
      <c r="H418" s="87" t="b">
        <v>0</v>
      </c>
      <c r="I418" s="87" t="b">
        <v>0</v>
      </c>
      <c r="J418" s="87" t="b">
        <v>0</v>
      </c>
      <c r="K418" s="87" t="b">
        <v>0</v>
      </c>
      <c r="L418" s="87" t="b">
        <v>0</v>
      </c>
    </row>
    <row r="419" spans="1:12" x14ac:dyDescent="0.25">
      <c r="A419" s="84" t="s">
        <v>1862</v>
      </c>
      <c r="B419" s="87" t="s">
        <v>1640</v>
      </c>
      <c r="C419" s="87">
        <v>2</v>
      </c>
      <c r="D419" s="111">
        <v>5.2359528569288251E-3</v>
      </c>
      <c r="E419" s="111">
        <v>1.8613352388849425</v>
      </c>
      <c r="F419" s="87" t="s">
        <v>1600</v>
      </c>
      <c r="G419" s="87" t="b">
        <v>0</v>
      </c>
      <c r="H419" s="87" t="b">
        <v>0</v>
      </c>
      <c r="I419" s="87" t="b">
        <v>0</v>
      </c>
      <c r="J419" s="87" t="b">
        <v>0</v>
      </c>
      <c r="K419" s="87" t="b">
        <v>0</v>
      </c>
      <c r="L419" s="87" t="b">
        <v>0</v>
      </c>
    </row>
    <row r="420" spans="1:12" x14ac:dyDescent="0.25">
      <c r="A420" s="84" t="s">
        <v>1755</v>
      </c>
      <c r="B420" s="87" t="s">
        <v>1862</v>
      </c>
      <c r="C420" s="87">
        <v>2</v>
      </c>
      <c r="D420" s="111">
        <v>5.2359528569288251E-3</v>
      </c>
      <c r="E420" s="111">
        <v>2.3384564936046046</v>
      </c>
      <c r="F420" s="87" t="s">
        <v>1600</v>
      </c>
      <c r="G420" s="87" t="b">
        <v>0</v>
      </c>
      <c r="H420" s="87" t="b">
        <v>0</v>
      </c>
      <c r="I420" s="87" t="b">
        <v>0</v>
      </c>
      <c r="J420" s="87" t="b">
        <v>0</v>
      </c>
      <c r="K420" s="87" t="b">
        <v>0</v>
      </c>
      <c r="L420" s="87" t="b">
        <v>0</v>
      </c>
    </row>
    <row r="421" spans="1:12" x14ac:dyDescent="0.25">
      <c r="A421" s="84" t="s">
        <v>1804</v>
      </c>
      <c r="B421" s="87" t="s">
        <v>1686</v>
      </c>
      <c r="C421" s="87">
        <v>2</v>
      </c>
      <c r="D421" s="111">
        <v>5.2359528569288251E-3</v>
      </c>
      <c r="E421" s="111">
        <v>1.764425225876886</v>
      </c>
      <c r="F421" s="87" t="s">
        <v>1600</v>
      </c>
      <c r="G421" s="87" t="b">
        <v>0</v>
      </c>
      <c r="H421" s="87" t="b">
        <v>0</v>
      </c>
      <c r="I421" s="87" t="b">
        <v>0</v>
      </c>
      <c r="J421" s="87" t="b">
        <v>0</v>
      </c>
      <c r="K421" s="87" t="b">
        <v>0</v>
      </c>
      <c r="L421" s="87" t="b">
        <v>0</v>
      </c>
    </row>
    <row r="422" spans="1:12" x14ac:dyDescent="0.25">
      <c r="A422" s="84" t="s">
        <v>1728</v>
      </c>
      <c r="B422" s="87" t="s">
        <v>1646</v>
      </c>
      <c r="C422" s="87">
        <v>2</v>
      </c>
      <c r="D422" s="111">
        <v>5.2359528569288251E-3</v>
      </c>
      <c r="E422" s="111">
        <v>1.7363965022766426</v>
      </c>
      <c r="F422" s="87" t="s">
        <v>1600</v>
      </c>
      <c r="G422" s="87" t="b">
        <v>0</v>
      </c>
      <c r="H422" s="87" t="b">
        <v>0</v>
      </c>
      <c r="I422" s="87" t="b">
        <v>0</v>
      </c>
      <c r="J422" s="87" t="b">
        <v>0</v>
      </c>
      <c r="K422" s="87" t="b">
        <v>0</v>
      </c>
      <c r="L422" s="87" t="b">
        <v>0</v>
      </c>
    </row>
    <row r="423" spans="1:12" x14ac:dyDescent="0.25">
      <c r="A423" s="84" t="s">
        <v>1739</v>
      </c>
      <c r="B423" s="87" t="s">
        <v>1773</v>
      </c>
      <c r="C423" s="87">
        <v>2</v>
      </c>
      <c r="D423" s="111">
        <v>5.2359528569288251E-3</v>
      </c>
      <c r="E423" s="111">
        <v>2.1623652345489237</v>
      </c>
      <c r="F423" s="87" t="s">
        <v>1600</v>
      </c>
      <c r="G423" s="87" t="b">
        <v>0</v>
      </c>
      <c r="H423" s="87" t="b">
        <v>0</v>
      </c>
      <c r="I423" s="87" t="b">
        <v>0</v>
      </c>
      <c r="J423" s="87" t="b">
        <v>0</v>
      </c>
      <c r="K423" s="87" t="b">
        <v>0</v>
      </c>
      <c r="L423" s="87" t="b">
        <v>0</v>
      </c>
    </row>
    <row r="424" spans="1:12" x14ac:dyDescent="0.25">
      <c r="A424" s="84" t="s">
        <v>1695</v>
      </c>
      <c r="B424" s="87" t="s">
        <v>1695</v>
      </c>
      <c r="C424" s="87">
        <v>2</v>
      </c>
      <c r="D424" s="111">
        <v>5.2359528569288251E-3</v>
      </c>
      <c r="E424" s="111">
        <v>1.5425764762605296</v>
      </c>
      <c r="F424" s="87" t="s">
        <v>1600</v>
      </c>
      <c r="G424" s="87" t="b">
        <v>1</v>
      </c>
      <c r="H424" s="87" t="b">
        <v>0</v>
      </c>
      <c r="I424" s="87" t="b">
        <v>0</v>
      </c>
      <c r="J424" s="87" t="b">
        <v>1</v>
      </c>
      <c r="K424" s="87" t="b">
        <v>0</v>
      </c>
      <c r="L424" s="87" t="b">
        <v>0</v>
      </c>
    </row>
    <row r="425" spans="1:12" x14ac:dyDescent="0.25">
      <c r="A425" s="84" t="s">
        <v>1640</v>
      </c>
      <c r="B425" s="87" t="s">
        <v>1847</v>
      </c>
      <c r="C425" s="87">
        <v>2</v>
      </c>
      <c r="D425" s="111">
        <v>5.2359528569288251E-3</v>
      </c>
      <c r="E425" s="111">
        <v>1.8613352388849425</v>
      </c>
      <c r="F425" s="87" t="s">
        <v>1600</v>
      </c>
      <c r="G425" s="87" t="b">
        <v>0</v>
      </c>
      <c r="H425" s="87" t="b">
        <v>0</v>
      </c>
      <c r="I425" s="87" t="b">
        <v>0</v>
      </c>
      <c r="J425" s="87" t="b">
        <v>0</v>
      </c>
      <c r="K425" s="87" t="b">
        <v>0</v>
      </c>
      <c r="L425" s="87" t="b">
        <v>0</v>
      </c>
    </row>
    <row r="426" spans="1:12" x14ac:dyDescent="0.25">
      <c r="A426" s="84" t="s">
        <v>1912</v>
      </c>
      <c r="B426" s="87" t="s">
        <v>1823</v>
      </c>
      <c r="C426" s="87">
        <v>2</v>
      </c>
      <c r="D426" s="111">
        <v>5.2359528569288251E-3</v>
      </c>
      <c r="E426" s="111">
        <v>2.3384564936046046</v>
      </c>
      <c r="F426" s="87" t="s">
        <v>1600</v>
      </c>
      <c r="G426" s="87" t="b">
        <v>0</v>
      </c>
      <c r="H426" s="87" t="b">
        <v>0</v>
      </c>
      <c r="I426" s="87" t="b">
        <v>0</v>
      </c>
      <c r="J426" s="87" t="b">
        <v>0</v>
      </c>
      <c r="K426" s="87" t="b">
        <v>0</v>
      </c>
      <c r="L426" s="87" t="b">
        <v>0</v>
      </c>
    </row>
    <row r="427" spans="1:12" x14ac:dyDescent="0.25">
      <c r="A427" s="84" t="s">
        <v>1674</v>
      </c>
      <c r="B427" s="87" t="s">
        <v>1658</v>
      </c>
      <c r="C427" s="87">
        <v>2</v>
      </c>
      <c r="D427" s="111">
        <v>5.2359528569288251E-3</v>
      </c>
      <c r="E427" s="111">
        <v>1.8613352388849425</v>
      </c>
      <c r="F427" s="87" t="s">
        <v>1600</v>
      </c>
      <c r="G427" s="87" t="b">
        <v>0</v>
      </c>
      <c r="H427" s="87" t="b">
        <v>0</v>
      </c>
      <c r="I427" s="87" t="b">
        <v>0</v>
      </c>
      <c r="J427" s="87" t="b">
        <v>0</v>
      </c>
      <c r="K427" s="87" t="b">
        <v>0</v>
      </c>
      <c r="L427" s="87" t="b">
        <v>0</v>
      </c>
    </row>
    <row r="428" spans="1:12" x14ac:dyDescent="0.25">
      <c r="A428" s="84" t="s">
        <v>1902</v>
      </c>
      <c r="B428" s="87" t="s">
        <v>1829</v>
      </c>
      <c r="C428" s="87">
        <v>2</v>
      </c>
      <c r="D428" s="111">
        <v>5.2359528569288251E-3</v>
      </c>
      <c r="E428" s="111">
        <v>2.3384564936046046</v>
      </c>
      <c r="F428" s="87" t="s">
        <v>1600</v>
      </c>
      <c r="G428" s="87" t="b">
        <v>0</v>
      </c>
      <c r="H428" s="87" t="b">
        <v>0</v>
      </c>
      <c r="I428" s="87" t="b">
        <v>0</v>
      </c>
      <c r="J428" s="87" t="b">
        <v>1</v>
      </c>
      <c r="K428" s="87" t="b">
        <v>0</v>
      </c>
      <c r="L428" s="87" t="b">
        <v>0</v>
      </c>
    </row>
    <row r="429" spans="1:12" x14ac:dyDescent="0.25">
      <c r="A429" s="84" t="s">
        <v>1669</v>
      </c>
      <c r="B429" s="87" t="s">
        <v>350</v>
      </c>
      <c r="C429" s="87">
        <v>2</v>
      </c>
      <c r="D429" s="111">
        <v>5.2359528569288251E-3</v>
      </c>
      <c r="E429" s="111">
        <v>1.9862739754932424</v>
      </c>
      <c r="F429" s="87" t="s">
        <v>1600</v>
      </c>
      <c r="G429" s="87" t="b">
        <v>0</v>
      </c>
      <c r="H429" s="87" t="b">
        <v>0</v>
      </c>
      <c r="I429" s="87" t="b">
        <v>0</v>
      </c>
      <c r="J429" s="87" t="b">
        <v>0</v>
      </c>
      <c r="K429" s="87" t="b">
        <v>0</v>
      </c>
      <c r="L429" s="87" t="b">
        <v>0</v>
      </c>
    </row>
    <row r="430" spans="1:12" x14ac:dyDescent="0.25">
      <c r="A430" s="84" t="s">
        <v>1785</v>
      </c>
      <c r="B430" s="87" t="s">
        <v>1739</v>
      </c>
      <c r="C430" s="87">
        <v>2</v>
      </c>
      <c r="D430" s="111">
        <v>5.2359528569288251E-3</v>
      </c>
      <c r="E430" s="111">
        <v>2.1623652345489237</v>
      </c>
      <c r="F430" s="87" t="s">
        <v>1600</v>
      </c>
      <c r="G430" s="87" t="b">
        <v>0</v>
      </c>
      <c r="H430" s="87" t="b">
        <v>0</v>
      </c>
      <c r="I430" s="87" t="b">
        <v>0</v>
      </c>
      <c r="J430" s="87" t="b">
        <v>0</v>
      </c>
      <c r="K430" s="87" t="b">
        <v>0</v>
      </c>
      <c r="L430" s="87" t="b">
        <v>0</v>
      </c>
    </row>
    <row r="431" spans="1:12" x14ac:dyDescent="0.25">
      <c r="A431" s="84" t="s">
        <v>1641</v>
      </c>
      <c r="B431" s="87" t="s">
        <v>1695</v>
      </c>
      <c r="C431" s="87">
        <v>2</v>
      </c>
      <c r="D431" s="111">
        <v>5.2359528569288251E-3</v>
      </c>
      <c r="E431" s="111">
        <v>1.3384564936046048</v>
      </c>
      <c r="F431" s="87" t="s">
        <v>1600</v>
      </c>
      <c r="G431" s="87" t="b">
        <v>1</v>
      </c>
      <c r="H431" s="87" t="b">
        <v>0</v>
      </c>
      <c r="I431" s="87" t="b">
        <v>0</v>
      </c>
      <c r="J431" s="87" t="b">
        <v>1</v>
      </c>
      <c r="K431" s="87" t="b">
        <v>0</v>
      </c>
      <c r="L431" s="87" t="b">
        <v>0</v>
      </c>
    </row>
    <row r="432" spans="1:12" x14ac:dyDescent="0.25">
      <c r="A432" s="84" t="s">
        <v>1673</v>
      </c>
      <c r="B432" s="87" t="s">
        <v>1665</v>
      </c>
      <c r="C432" s="87">
        <v>2</v>
      </c>
      <c r="D432" s="111">
        <v>5.2359528569288251E-3</v>
      </c>
      <c r="E432" s="111">
        <v>1.7363965022766426</v>
      </c>
      <c r="F432" s="87" t="s">
        <v>1600</v>
      </c>
      <c r="G432" s="87" t="b">
        <v>0</v>
      </c>
      <c r="H432" s="87" t="b">
        <v>0</v>
      </c>
      <c r="I432" s="87" t="b">
        <v>0</v>
      </c>
      <c r="J432" s="87" t="b">
        <v>0</v>
      </c>
      <c r="K432" s="87" t="b">
        <v>0</v>
      </c>
      <c r="L432" s="87" t="b">
        <v>0</v>
      </c>
    </row>
    <row r="433" spans="1:12" x14ac:dyDescent="0.25">
      <c r="A433" s="84" t="s">
        <v>1676</v>
      </c>
      <c r="B433" s="87" t="s">
        <v>1661</v>
      </c>
      <c r="C433" s="87">
        <v>2</v>
      </c>
      <c r="D433" s="111">
        <v>5.2359528569288251E-3</v>
      </c>
      <c r="E433" s="111">
        <v>2.1623652345489237</v>
      </c>
      <c r="F433" s="87" t="s">
        <v>1600</v>
      </c>
      <c r="G433" s="87" t="b">
        <v>0</v>
      </c>
      <c r="H433" s="87" t="b">
        <v>0</v>
      </c>
      <c r="I433" s="87" t="b">
        <v>0</v>
      </c>
      <c r="J433" s="87" t="b">
        <v>0</v>
      </c>
      <c r="K433" s="87" t="b">
        <v>0</v>
      </c>
      <c r="L433" s="87" t="b">
        <v>0</v>
      </c>
    </row>
    <row r="434" spans="1:12" x14ac:dyDescent="0.25">
      <c r="A434" s="84" t="s">
        <v>1743</v>
      </c>
      <c r="B434" s="87" t="s">
        <v>1753</v>
      </c>
      <c r="C434" s="87">
        <v>2</v>
      </c>
      <c r="D434" s="111">
        <v>5.2359528569288251E-3</v>
      </c>
      <c r="E434" s="111">
        <v>2.3384564936046046</v>
      </c>
      <c r="F434" s="87" t="s">
        <v>1600</v>
      </c>
      <c r="G434" s="87" t="b">
        <v>0</v>
      </c>
      <c r="H434" s="87" t="b">
        <v>0</v>
      </c>
      <c r="I434" s="87" t="b">
        <v>0</v>
      </c>
      <c r="J434" s="87" t="b">
        <v>0</v>
      </c>
      <c r="K434" s="87" t="b">
        <v>0</v>
      </c>
      <c r="L434" s="87" t="b">
        <v>0</v>
      </c>
    </row>
    <row r="435" spans="1:12" x14ac:dyDescent="0.25">
      <c r="A435" s="84" t="s">
        <v>1890</v>
      </c>
      <c r="B435" s="87" t="s">
        <v>1700</v>
      </c>
      <c r="C435" s="87">
        <v>2</v>
      </c>
      <c r="D435" s="111">
        <v>5.2359528569288251E-3</v>
      </c>
      <c r="E435" s="111">
        <v>2.1623652345489237</v>
      </c>
      <c r="F435" s="87" t="s">
        <v>1600</v>
      </c>
      <c r="G435" s="87" t="b">
        <v>0</v>
      </c>
      <c r="H435" s="87" t="b">
        <v>0</v>
      </c>
      <c r="I435" s="87" t="b">
        <v>0</v>
      </c>
      <c r="J435" s="87" t="b">
        <v>0</v>
      </c>
      <c r="K435" s="87" t="b">
        <v>0</v>
      </c>
      <c r="L435" s="87" t="b">
        <v>0</v>
      </c>
    </row>
    <row r="436" spans="1:12" x14ac:dyDescent="0.25">
      <c r="A436" s="84" t="s">
        <v>1884</v>
      </c>
      <c r="B436" s="87" t="s">
        <v>1669</v>
      </c>
      <c r="C436" s="87">
        <v>2</v>
      </c>
      <c r="D436" s="111">
        <v>5.2359528569288251E-3</v>
      </c>
      <c r="E436" s="111">
        <v>2.1623652345489237</v>
      </c>
      <c r="F436" s="87" t="s">
        <v>1600</v>
      </c>
      <c r="G436" s="87" t="b">
        <v>0</v>
      </c>
      <c r="H436" s="87" t="b">
        <v>0</v>
      </c>
      <c r="I436" s="87" t="b">
        <v>0</v>
      </c>
      <c r="J436" s="87" t="b">
        <v>0</v>
      </c>
      <c r="K436" s="87" t="b">
        <v>0</v>
      </c>
      <c r="L436" s="87" t="b">
        <v>0</v>
      </c>
    </row>
    <row r="437" spans="1:12" x14ac:dyDescent="0.25">
      <c r="A437" s="84" t="s">
        <v>1847</v>
      </c>
      <c r="B437" s="87" t="s">
        <v>1851</v>
      </c>
      <c r="C437" s="87">
        <v>2</v>
      </c>
      <c r="D437" s="111">
        <v>5.2359528569288251E-3</v>
      </c>
      <c r="E437" s="111">
        <v>2.3384564936046046</v>
      </c>
      <c r="F437" s="87" t="s">
        <v>1600</v>
      </c>
      <c r="G437" s="87" t="b">
        <v>0</v>
      </c>
      <c r="H437" s="87" t="b">
        <v>0</v>
      </c>
      <c r="I437" s="87" t="b">
        <v>0</v>
      </c>
      <c r="J437" s="87" t="b">
        <v>0</v>
      </c>
      <c r="K437" s="87" t="b">
        <v>0</v>
      </c>
      <c r="L437" s="87" t="b">
        <v>0</v>
      </c>
    </row>
    <row r="438" spans="1:12" x14ac:dyDescent="0.25">
      <c r="A438" s="84" t="s">
        <v>1934</v>
      </c>
      <c r="B438" s="87" t="s">
        <v>1832</v>
      </c>
      <c r="C438" s="87">
        <v>2</v>
      </c>
      <c r="D438" s="111">
        <v>5.2359528569288251E-3</v>
      </c>
      <c r="E438" s="111">
        <v>2.3384564936046046</v>
      </c>
      <c r="F438" s="87" t="s">
        <v>1600</v>
      </c>
      <c r="G438" s="87" t="b">
        <v>0</v>
      </c>
      <c r="H438" s="87" t="b">
        <v>0</v>
      </c>
      <c r="I438" s="87" t="b">
        <v>0</v>
      </c>
      <c r="J438" s="87" t="b">
        <v>0</v>
      </c>
      <c r="K438" s="87" t="b">
        <v>0</v>
      </c>
      <c r="L438" s="87" t="b">
        <v>0</v>
      </c>
    </row>
    <row r="439" spans="1:12" x14ac:dyDescent="0.25">
      <c r="A439" s="84" t="s">
        <v>1643</v>
      </c>
      <c r="B439" s="87" t="s">
        <v>1642</v>
      </c>
      <c r="C439" s="87">
        <v>14</v>
      </c>
      <c r="D439" s="111">
        <v>1.1884822020031219E-2</v>
      </c>
      <c r="E439" s="111">
        <v>1.2278465497912232</v>
      </c>
      <c r="F439" s="87" t="s">
        <v>1601</v>
      </c>
      <c r="G439" s="87" t="b">
        <v>0</v>
      </c>
      <c r="H439" s="87" t="b">
        <v>0</v>
      </c>
      <c r="I439" s="87" t="b">
        <v>0</v>
      </c>
      <c r="J439" s="87" t="b">
        <v>0</v>
      </c>
      <c r="K439" s="87" t="b">
        <v>0</v>
      </c>
      <c r="L439" s="87" t="b">
        <v>0</v>
      </c>
    </row>
    <row r="440" spans="1:12" x14ac:dyDescent="0.25">
      <c r="A440" s="84" t="s">
        <v>252</v>
      </c>
      <c r="B440" s="87" t="s">
        <v>1643</v>
      </c>
      <c r="C440" s="87">
        <v>8</v>
      </c>
      <c r="D440" s="111">
        <v>1.2577947075405802E-2</v>
      </c>
      <c r="E440" s="111">
        <v>1.4388059569774534</v>
      </c>
      <c r="F440" s="87" t="s">
        <v>1601</v>
      </c>
      <c r="G440" s="87" t="b">
        <v>0</v>
      </c>
      <c r="H440" s="87" t="b">
        <v>0</v>
      </c>
      <c r="I440" s="87" t="b">
        <v>0</v>
      </c>
      <c r="J440" s="87" t="b">
        <v>0</v>
      </c>
      <c r="K440" s="87" t="b">
        <v>0</v>
      </c>
      <c r="L440" s="87" t="b">
        <v>0</v>
      </c>
    </row>
    <row r="441" spans="1:12" x14ac:dyDescent="0.25">
      <c r="A441" s="84" t="s">
        <v>312</v>
      </c>
      <c r="B441" s="87" t="s">
        <v>1670</v>
      </c>
      <c r="C441" s="87">
        <v>6</v>
      </c>
      <c r="D441" s="111">
        <v>1.1664509174559709E-2</v>
      </c>
      <c r="E441" s="111">
        <v>1.711807229041191</v>
      </c>
      <c r="F441" s="87" t="s">
        <v>1601</v>
      </c>
      <c r="G441" s="87" t="b">
        <v>0</v>
      </c>
      <c r="H441" s="87" t="b">
        <v>0</v>
      </c>
      <c r="I441" s="87" t="b">
        <v>0</v>
      </c>
      <c r="J441" s="87" t="b">
        <v>0</v>
      </c>
      <c r="K441" s="87" t="b">
        <v>0</v>
      </c>
      <c r="L441" s="87" t="b">
        <v>0</v>
      </c>
    </row>
    <row r="442" spans="1:12" x14ac:dyDescent="0.25">
      <c r="A442" s="84" t="s">
        <v>1642</v>
      </c>
      <c r="B442" s="87" t="s">
        <v>1687</v>
      </c>
      <c r="C442" s="87">
        <v>6</v>
      </c>
      <c r="D442" s="111">
        <v>1.1664509174559709E-2</v>
      </c>
      <c r="E442" s="111">
        <v>1.2858384967689098</v>
      </c>
      <c r="F442" s="87" t="s">
        <v>1601</v>
      </c>
      <c r="G442" s="87" t="b">
        <v>0</v>
      </c>
      <c r="H442" s="87" t="b">
        <v>0</v>
      </c>
      <c r="I442" s="87" t="b">
        <v>0</v>
      </c>
      <c r="J442" s="87" t="b">
        <v>0</v>
      </c>
      <c r="K442" s="87" t="b">
        <v>0</v>
      </c>
      <c r="L442" s="87" t="b">
        <v>0</v>
      </c>
    </row>
    <row r="443" spans="1:12" x14ac:dyDescent="0.25">
      <c r="A443" s="84" t="s">
        <v>1694</v>
      </c>
      <c r="B443" s="87" t="s">
        <v>312</v>
      </c>
      <c r="C443" s="87">
        <v>6</v>
      </c>
      <c r="D443" s="111">
        <v>1.1664509174559709E-2</v>
      </c>
      <c r="E443" s="111">
        <v>1.711807229041191</v>
      </c>
      <c r="F443" s="87" t="s">
        <v>1601</v>
      </c>
      <c r="G443" s="87" t="b">
        <v>0</v>
      </c>
      <c r="H443" s="87" t="b">
        <v>0</v>
      </c>
      <c r="I443" s="87" t="b">
        <v>0</v>
      </c>
      <c r="J443" s="87" t="b">
        <v>0</v>
      </c>
      <c r="K443" s="87" t="b">
        <v>0</v>
      </c>
      <c r="L443" s="87" t="b">
        <v>0</v>
      </c>
    </row>
    <row r="444" spans="1:12" x14ac:dyDescent="0.25">
      <c r="A444" s="84" t="s">
        <v>1687</v>
      </c>
      <c r="B444" s="87" t="s">
        <v>1675</v>
      </c>
      <c r="C444" s="87">
        <v>6</v>
      </c>
      <c r="D444" s="111">
        <v>1.1664509174559709E-2</v>
      </c>
      <c r="E444" s="111">
        <v>1.711807229041191</v>
      </c>
      <c r="F444" s="87" t="s">
        <v>1601</v>
      </c>
      <c r="G444" s="87" t="b">
        <v>0</v>
      </c>
      <c r="H444" s="87" t="b">
        <v>0</v>
      </c>
      <c r="I444" s="87" t="b">
        <v>0</v>
      </c>
      <c r="J444" s="87" t="b">
        <v>0</v>
      </c>
      <c r="K444" s="87" t="b">
        <v>0</v>
      </c>
      <c r="L444" s="87" t="b">
        <v>0</v>
      </c>
    </row>
    <row r="445" spans="1:12" x14ac:dyDescent="0.25">
      <c r="A445" s="84" t="s">
        <v>1652</v>
      </c>
      <c r="B445" s="87" t="s">
        <v>1694</v>
      </c>
      <c r="C445" s="87">
        <v>6</v>
      </c>
      <c r="D445" s="111">
        <v>1.1664509174559709E-2</v>
      </c>
      <c r="E445" s="111">
        <v>1.4485657942666097</v>
      </c>
      <c r="F445" s="87" t="s">
        <v>1601</v>
      </c>
      <c r="G445" s="87" t="b">
        <v>0</v>
      </c>
      <c r="H445" s="87" t="b">
        <v>0</v>
      </c>
      <c r="I445" s="87" t="b">
        <v>0</v>
      </c>
      <c r="J445" s="87" t="b">
        <v>0</v>
      </c>
      <c r="K445" s="87" t="b">
        <v>0</v>
      </c>
      <c r="L445" s="87" t="b">
        <v>0</v>
      </c>
    </row>
    <row r="446" spans="1:12" x14ac:dyDescent="0.25">
      <c r="A446" s="84" t="s">
        <v>1675</v>
      </c>
      <c r="B446" s="87" t="s">
        <v>1652</v>
      </c>
      <c r="C446" s="87">
        <v>6</v>
      </c>
      <c r="D446" s="111">
        <v>1.1664509174559709E-2</v>
      </c>
      <c r="E446" s="111">
        <v>1.4485657942666097</v>
      </c>
      <c r="F446" s="87" t="s">
        <v>1601</v>
      </c>
      <c r="G446" s="87" t="b">
        <v>0</v>
      </c>
      <c r="H446" s="87" t="b">
        <v>0</v>
      </c>
      <c r="I446" s="87" t="b">
        <v>0</v>
      </c>
      <c r="J446" s="87" t="b">
        <v>0</v>
      </c>
      <c r="K446" s="87" t="b">
        <v>0</v>
      </c>
      <c r="L446" s="87" t="b">
        <v>0</v>
      </c>
    </row>
    <row r="447" spans="1:12" x14ac:dyDescent="0.25">
      <c r="A447" s="84" t="s">
        <v>1652</v>
      </c>
      <c r="B447" s="87" t="s">
        <v>268</v>
      </c>
      <c r="C447" s="87">
        <v>5</v>
      </c>
      <c r="D447" s="111">
        <v>1.0898716664032269E-2</v>
      </c>
      <c r="E447" s="111">
        <v>0.91708687722435445</v>
      </c>
      <c r="F447" s="87" t="s">
        <v>1601</v>
      </c>
      <c r="G447" s="87" t="b">
        <v>0</v>
      </c>
      <c r="H447" s="87" t="b">
        <v>0</v>
      </c>
      <c r="I447" s="87" t="b">
        <v>0</v>
      </c>
      <c r="J447" s="87" t="b">
        <v>0</v>
      </c>
      <c r="K447" s="87" t="b">
        <v>0</v>
      </c>
      <c r="L447" s="87" t="b">
        <v>0</v>
      </c>
    </row>
    <row r="448" spans="1:12" x14ac:dyDescent="0.25">
      <c r="A448" s="84" t="s">
        <v>1670</v>
      </c>
      <c r="B448" s="87" t="s">
        <v>1713</v>
      </c>
      <c r="C448" s="87">
        <v>5</v>
      </c>
      <c r="D448" s="111">
        <v>1.0898716664032269E-2</v>
      </c>
      <c r="E448" s="111">
        <v>1.711807229041191</v>
      </c>
      <c r="F448" s="87" t="s">
        <v>1601</v>
      </c>
      <c r="G448" s="87" t="b">
        <v>0</v>
      </c>
      <c r="H448" s="87" t="b">
        <v>0</v>
      </c>
      <c r="I448" s="87" t="b">
        <v>0</v>
      </c>
      <c r="J448" s="87" t="b">
        <v>0</v>
      </c>
      <c r="K448" s="87" t="b">
        <v>0</v>
      </c>
      <c r="L448" s="87" t="b">
        <v>0</v>
      </c>
    </row>
    <row r="449" spans="1:12" x14ac:dyDescent="0.25">
      <c r="A449" s="84" t="s">
        <v>268</v>
      </c>
      <c r="B449" s="87" t="s">
        <v>1677</v>
      </c>
      <c r="C449" s="87">
        <v>5</v>
      </c>
      <c r="D449" s="111">
        <v>1.0898716664032269E-2</v>
      </c>
      <c r="E449" s="111">
        <v>1.1133815223683226</v>
      </c>
      <c r="F449" s="87" t="s">
        <v>1601</v>
      </c>
      <c r="G449" s="87" t="b">
        <v>0</v>
      </c>
      <c r="H449" s="87" t="b">
        <v>0</v>
      </c>
      <c r="I449" s="87" t="b">
        <v>0</v>
      </c>
      <c r="J449" s="87" t="b">
        <v>0</v>
      </c>
      <c r="K449" s="87" t="b">
        <v>0</v>
      </c>
      <c r="L449" s="87" t="b">
        <v>0</v>
      </c>
    </row>
    <row r="450" spans="1:12" x14ac:dyDescent="0.25">
      <c r="A450" s="84" t="s">
        <v>1723</v>
      </c>
      <c r="B450" s="87" t="s">
        <v>1692</v>
      </c>
      <c r="C450" s="87">
        <v>3</v>
      </c>
      <c r="D450" s="111">
        <v>8.5200224057082573E-3</v>
      </c>
      <c r="E450" s="111">
        <v>1.8878984880968721</v>
      </c>
      <c r="F450" s="87" t="s">
        <v>1601</v>
      </c>
      <c r="G450" s="87" t="b">
        <v>0</v>
      </c>
      <c r="H450" s="87" t="b">
        <v>0</v>
      </c>
      <c r="I450" s="87" t="b">
        <v>0</v>
      </c>
      <c r="J450" s="87" t="b">
        <v>0</v>
      </c>
      <c r="K450" s="87" t="b">
        <v>0</v>
      </c>
      <c r="L450" s="87" t="b">
        <v>0</v>
      </c>
    </row>
    <row r="451" spans="1:12" x14ac:dyDescent="0.25">
      <c r="A451" s="84" t="s">
        <v>1676</v>
      </c>
      <c r="B451" s="87" t="s">
        <v>1723</v>
      </c>
      <c r="C451" s="87">
        <v>3</v>
      </c>
      <c r="D451" s="111">
        <v>8.5200224057082573E-3</v>
      </c>
      <c r="E451" s="111">
        <v>2.0128372247051725</v>
      </c>
      <c r="F451" s="87" t="s">
        <v>1601</v>
      </c>
      <c r="G451" s="87" t="b">
        <v>0</v>
      </c>
      <c r="H451" s="87" t="b">
        <v>0</v>
      </c>
      <c r="I451" s="87" t="b">
        <v>0</v>
      </c>
      <c r="J451" s="87" t="b">
        <v>0</v>
      </c>
      <c r="K451" s="87" t="b">
        <v>0</v>
      </c>
      <c r="L451" s="87" t="b">
        <v>0</v>
      </c>
    </row>
    <row r="452" spans="1:12" x14ac:dyDescent="0.25">
      <c r="A452" s="84" t="s">
        <v>1808</v>
      </c>
      <c r="B452" s="87" t="s">
        <v>1718</v>
      </c>
      <c r="C452" s="87">
        <v>3</v>
      </c>
      <c r="D452" s="111">
        <v>8.5200224057082573E-3</v>
      </c>
      <c r="E452" s="111">
        <v>2.0128372247051725</v>
      </c>
      <c r="F452" s="87" t="s">
        <v>1601</v>
      </c>
      <c r="G452" s="87" t="b">
        <v>0</v>
      </c>
      <c r="H452" s="87" t="b">
        <v>0</v>
      </c>
      <c r="I452" s="87" t="b">
        <v>0</v>
      </c>
      <c r="J452" s="87" t="b">
        <v>0</v>
      </c>
      <c r="K452" s="87" t="b">
        <v>0</v>
      </c>
      <c r="L452" s="87" t="b">
        <v>0</v>
      </c>
    </row>
    <row r="453" spans="1:12" x14ac:dyDescent="0.25">
      <c r="A453" s="84" t="s">
        <v>261</v>
      </c>
      <c r="B453" s="87" t="s">
        <v>1697</v>
      </c>
      <c r="C453" s="87">
        <v>3</v>
      </c>
      <c r="D453" s="111">
        <v>8.5200224057082573E-3</v>
      </c>
      <c r="E453" s="111">
        <v>1.5691397254724595</v>
      </c>
      <c r="F453" s="87" t="s">
        <v>1601</v>
      </c>
      <c r="G453" s="87" t="b">
        <v>0</v>
      </c>
      <c r="H453" s="87" t="b">
        <v>0</v>
      </c>
      <c r="I453" s="87" t="b">
        <v>0</v>
      </c>
      <c r="J453" s="87" t="b">
        <v>0</v>
      </c>
      <c r="K453" s="87" t="b">
        <v>0</v>
      </c>
      <c r="L453" s="87" t="b">
        <v>0</v>
      </c>
    </row>
    <row r="454" spans="1:12" x14ac:dyDescent="0.25">
      <c r="A454" s="84" t="s">
        <v>1640</v>
      </c>
      <c r="B454" s="87" t="s">
        <v>1652</v>
      </c>
      <c r="C454" s="87">
        <v>3</v>
      </c>
      <c r="D454" s="111">
        <v>8.5200224057082573E-3</v>
      </c>
      <c r="E454" s="111">
        <v>0.92568704898627197</v>
      </c>
      <c r="F454" s="87" t="s">
        <v>1601</v>
      </c>
      <c r="G454" s="87" t="b">
        <v>0</v>
      </c>
      <c r="H454" s="87" t="b">
        <v>0</v>
      </c>
      <c r="I454" s="87" t="b">
        <v>0</v>
      </c>
      <c r="J454" s="87" t="b">
        <v>0</v>
      </c>
      <c r="K454" s="87" t="b">
        <v>0</v>
      </c>
      <c r="L454" s="87" t="b">
        <v>0</v>
      </c>
    </row>
    <row r="455" spans="1:12" x14ac:dyDescent="0.25">
      <c r="A455" s="84" t="s">
        <v>268</v>
      </c>
      <c r="B455" s="87" t="s">
        <v>1808</v>
      </c>
      <c r="C455" s="87">
        <v>3</v>
      </c>
      <c r="D455" s="111">
        <v>8.5200224057082573E-3</v>
      </c>
      <c r="E455" s="111">
        <v>1.2595095580465607</v>
      </c>
      <c r="F455" s="87" t="s">
        <v>1601</v>
      </c>
      <c r="G455" s="87" t="b">
        <v>0</v>
      </c>
      <c r="H455" s="87" t="b">
        <v>0</v>
      </c>
      <c r="I455" s="87" t="b">
        <v>0</v>
      </c>
      <c r="J455" s="87" t="b">
        <v>0</v>
      </c>
      <c r="K455" s="87" t="b">
        <v>0</v>
      </c>
      <c r="L455" s="87" t="b">
        <v>0</v>
      </c>
    </row>
    <row r="456" spans="1:12" x14ac:dyDescent="0.25">
      <c r="A456" s="84" t="s">
        <v>1680</v>
      </c>
      <c r="B456" s="87" t="s">
        <v>1766</v>
      </c>
      <c r="C456" s="87">
        <v>3</v>
      </c>
      <c r="D456" s="111">
        <v>8.5200224057082573E-3</v>
      </c>
      <c r="E456" s="111">
        <v>2.0128372247051725</v>
      </c>
      <c r="F456" s="87" t="s">
        <v>1601</v>
      </c>
      <c r="G456" s="87" t="b">
        <v>0</v>
      </c>
      <c r="H456" s="87" t="b">
        <v>0</v>
      </c>
      <c r="I456" s="87" t="b">
        <v>0</v>
      </c>
      <c r="J456" s="87" t="b">
        <v>0</v>
      </c>
      <c r="K456" s="87" t="b">
        <v>0</v>
      </c>
      <c r="L456" s="87" t="b">
        <v>0</v>
      </c>
    </row>
    <row r="457" spans="1:12" x14ac:dyDescent="0.25">
      <c r="A457" s="84" t="s">
        <v>1642</v>
      </c>
      <c r="B457" s="87" t="s">
        <v>1640</v>
      </c>
      <c r="C457" s="87">
        <v>3</v>
      </c>
      <c r="D457" s="111">
        <v>8.5200224057082573E-3</v>
      </c>
      <c r="E457" s="111">
        <v>0.76295975148857231</v>
      </c>
      <c r="F457" s="87" t="s">
        <v>1601</v>
      </c>
      <c r="G457" s="87" t="b">
        <v>0</v>
      </c>
      <c r="H457" s="87" t="b">
        <v>0</v>
      </c>
      <c r="I457" s="87" t="b">
        <v>0</v>
      </c>
      <c r="J457" s="87" t="b">
        <v>0</v>
      </c>
      <c r="K457" s="87" t="b">
        <v>0</v>
      </c>
      <c r="L457" s="87" t="b">
        <v>0</v>
      </c>
    </row>
    <row r="458" spans="1:12" x14ac:dyDescent="0.25">
      <c r="A458" s="84" t="s">
        <v>1688</v>
      </c>
      <c r="B458" s="87" t="s">
        <v>1774</v>
      </c>
      <c r="C458" s="87">
        <v>3</v>
      </c>
      <c r="D458" s="111">
        <v>8.5200224057082573E-3</v>
      </c>
      <c r="E458" s="111">
        <v>2.0128372247051725</v>
      </c>
      <c r="F458" s="87" t="s">
        <v>1601</v>
      </c>
      <c r="G458" s="87" t="b">
        <v>0</v>
      </c>
      <c r="H458" s="87" t="b">
        <v>0</v>
      </c>
      <c r="I458" s="87" t="b">
        <v>0</v>
      </c>
      <c r="J458" s="87" t="b">
        <v>0</v>
      </c>
      <c r="K458" s="87" t="b">
        <v>0</v>
      </c>
      <c r="L458" s="87" t="b">
        <v>0</v>
      </c>
    </row>
    <row r="459" spans="1:12" x14ac:dyDescent="0.25">
      <c r="A459" s="84" t="s">
        <v>1718</v>
      </c>
      <c r="B459" s="87" t="s">
        <v>1676</v>
      </c>
      <c r="C459" s="87">
        <v>3</v>
      </c>
      <c r="D459" s="111">
        <v>8.5200224057082573E-3</v>
      </c>
      <c r="E459" s="111">
        <v>2.0128372247051725</v>
      </c>
      <c r="F459" s="87" t="s">
        <v>1601</v>
      </c>
      <c r="G459" s="87" t="b">
        <v>0</v>
      </c>
      <c r="H459" s="87" t="b">
        <v>0</v>
      </c>
      <c r="I459" s="87" t="b">
        <v>0</v>
      </c>
      <c r="J459" s="87" t="b">
        <v>0</v>
      </c>
      <c r="K459" s="87" t="b">
        <v>0</v>
      </c>
      <c r="L459" s="87" t="b">
        <v>0</v>
      </c>
    </row>
    <row r="460" spans="1:12" x14ac:dyDescent="0.25">
      <c r="A460" s="84" t="s">
        <v>1642</v>
      </c>
      <c r="B460" s="87" t="s">
        <v>1661</v>
      </c>
      <c r="C460" s="87">
        <v>3</v>
      </c>
      <c r="D460" s="111">
        <v>8.5200224057082573E-3</v>
      </c>
      <c r="E460" s="111">
        <v>0.98480850110492857</v>
      </c>
      <c r="F460" s="87" t="s">
        <v>1601</v>
      </c>
      <c r="G460" s="87" t="b">
        <v>0</v>
      </c>
      <c r="H460" s="87" t="b">
        <v>0</v>
      </c>
      <c r="I460" s="87" t="b">
        <v>0</v>
      </c>
      <c r="J460" s="87" t="b">
        <v>0</v>
      </c>
      <c r="K460" s="87" t="b">
        <v>0</v>
      </c>
      <c r="L460" s="87" t="b">
        <v>0</v>
      </c>
    </row>
    <row r="461" spans="1:12" x14ac:dyDescent="0.25">
      <c r="A461" s="84" t="s">
        <v>1640</v>
      </c>
      <c r="B461" s="87" t="s">
        <v>320</v>
      </c>
      <c r="C461" s="87">
        <v>3</v>
      </c>
      <c r="D461" s="111">
        <v>8.5200224057082573E-3</v>
      </c>
      <c r="E461" s="111">
        <v>1.4899584794248346</v>
      </c>
      <c r="F461" s="87" t="s">
        <v>1601</v>
      </c>
      <c r="G461" s="87" t="b">
        <v>0</v>
      </c>
      <c r="H461" s="87" t="b">
        <v>0</v>
      </c>
      <c r="I461" s="87" t="b">
        <v>0</v>
      </c>
      <c r="J461" s="87" t="b">
        <v>0</v>
      </c>
      <c r="K461" s="87" t="b">
        <v>0</v>
      </c>
      <c r="L461" s="87" t="b">
        <v>0</v>
      </c>
    </row>
    <row r="462" spans="1:12" x14ac:dyDescent="0.25">
      <c r="A462" s="84" t="s">
        <v>1774</v>
      </c>
      <c r="B462" s="87" t="s">
        <v>268</v>
      </c>
      <c r="C462" s="87">
        <v>3</v>
      </c>
      <c r="D462" s="111">
        <v>8.5200224057082573E-3</v>
      </c>
      <c r="E462" s="111">
        <v>1.2595095580465607</v>
      </c>
      <c r="F462" s="87" t="s">
        <v>1601</v>
      </c>
      <c r="G462" s="87" t="b">
        <v>0</v>
      </c>
      <c r="H462" s="87" t="b">
        <v>0</v>
      </c>
      <c r="I462" s="87" t="b">
        <v>0</v>
      </c>
      <c r="J462" s="87" t="b">
        <v>0</v>
      </c>
      <c r="K462" s="87" t="b">
        <v>0</v>
      </c>
      <c r="L462" s="87" t="b">
        <v>0</v>
      </c>
    </row>
    <row r="463" spans="1:12" x14ac:dyDescent="0.25">
      <c r="A463" s="84" t="s">
        <v>1661</v>
      </c>
      <c r="B463" s="87" t="s">
        <v>1644</v>
      </c>
      <c r="C463" s="87">
        <v>3</v>
      </c>
      <c r="D463" s="111">
        <v>8.5200224057082573E-3</v>
      </c>
      <c r="E463" s="111">
        <v>1.4899584794248346</v>
      </c>
      <c r="F463" s="87" t="s">
        <v>1601</v>
      </c>
      <c r="G463" s="87" t="b">
        <v>0</v>
      </c>
      <c r="H463" s="87" t="b">
        <v>0</v>
      </c>
      <c r="I463" s="87" t="b">
        <v>0</v>
      </c>
      <c r="J463" s="87" t="b">
        <v>0</v>
      </c>
      <c r="K463" s="87" t="b">
        <v>0</v>
      </c>
      <c r="L463" s="87" t="b">
        <v>0</v>
      </c>
    </row>
    <row r="464" spans="1:12" x14ac:dyDescent="0.25">
      <c r="A464" s="84" t="s">
        <v>1692</v>
      </c>
      <c r="B464" s="87" t="s">
        <v>1680</v>
      </c>
      <c r="C464" s="87">
        <v>3</v>
      </c>
      <c r="D464" s="111">
        <v>8.5200224057082573E-3</v>
      </c>
      <c r="E464" s="111">
        <v>1.8878984880968721</v>
      </c>
      <c r="F464" s="87" t="s">
        <v>1601</v>
      </c>
      <c r="G464" s="87" t="b">
        <v>0</v>
      </c>
      <c r="H464" s="87" t="b">
        <v>0</v>
      </c>
      <c r="I464" s="87" t="b">
        <v>0</v>
      </c>
      <c r="J464" s="87" t="b">
        <v>0</v>
      </c>
      <c r="K464" s="87" t="b">
        <v>0</v>
      </c>
      <c r="L464" s="87" t="b">
        <v>0</v>
      </c>
    </row>
    <row r="465" spans="1:12" x14ac:dyDescent="0.25">
      <c r="A465" s="84" t="s">
        <v>1651</v>
      </c>
      <c r="B465" s="87" t="s">
        <v>1649</v>
      </c>
      <c r="C465" s="87">
        <v>3</v>
      </c>
      <c r="D465" s="111">
        <v>8.5200224057082573E-3</v>
      </c>
      <c r="E465" s="111">
        <v>1.3438304437465967</v>
      </c>
      <c r="F465" s="87" t="s">
        <v>1601</v>
      </c>
      <c r="G465" s="87" t="b">
        <v>0</v>
      </c>
      <c r="H465" s="87" t="b">
        <v>0</v>
      </c>
      <c r="I465" s="87" t="b">
        <v>0</v>
      </c>
      <c r="J465" s="87" t="b">
        <v>0</v>
      </c>
      <c r="K465" s="87" t="b">
        <v>0</v>
      </c>
      <c r="L465" s="87" t="b">
        <v>0</v>
      </c>
    </row>
    <row r="466" spans="1:12" x14ac:dyDescent="0.25">
      <c r="A466" s="84" t="s">
        <v>1661</v>
      </c>
      <c r="B466" s="87" t="s">
        <v>258</v>
      </c>
      <c r="C466" s="87">
        <v>3</v>
      </c>
      <c r="D466" s="111">
        <v>8.5200224057082573E-3</v>
      </c>
      <c r="E466" s="111">
        <v>1.711807229041191</v>
      </c>
      <c r="F466" s="87" t="s">
        <v>1601</v>
      </c>
      <c r="G466" s="87" t="b">
        <v>0</v>
      </c>
      <c r="H466" s="87" t="b">
        <v>0</v>
      </c>
      <c r="I466" s="87" t="b">
        <v>0</v>
      </c>
      <c r="J466" s="87" t="b">
        <v>0</v>
      </c>
      <c r="K466" s="87" t="b">
        <v>0</v>
      </c>
      <c r="L466" s="87" t="b">
        <v>0</v>
      </c>
    </row>
    <row r="467" spans="1:12" x14ac:dyDescent="0.25">
      <c r="A467" s="84" t="s">
        <v>268</v>
      </c>
      <c r="B467" s="87" t="s">
        <v>261</v>
      </c>
      <c r="C467" s="87">
        <v>3</v>
      </c>
      <c r="D467" s="111">
        <v>8.5200224057082573E-3</v>
      </c>
      <c r="E467" s="111">
        <v>1.1345708214382608</v>
      </c>
      <c r="F467" s="87" t="s">
        <v>1601</v>
      </c>
      <c r="G467" s="87" t="b">
        <v>0</v>
      </c>
      <c r="H467" s="87" t="b">
        <v>0</v>
      </c>
      <c r="I467" s="87" t="b">
        <v>0</v>
      </c>
      <c r="J467" s="87" t="b">
        <v>0</v>
      </c>
      <c r="K467" s="87" t="b">
        <v>0</v>
      </c>
      <c r="L467" s="87" t="b">
        <v>0</v>
      </c>
    </row>
    <row r="468" spans="1:12" x14ac:dyDescent="0.25">
      <c r="A468" s="84" t="s">
        <v>1766</v>
      </c>
      <c r="B468" s="87" t="s">
        <v>1661</v>
      </c>
      <c r="C468" s="87">
        <v>3</v>
      </c>
      <c r="D468" s="111">
        <v>8.5200224057082573E-3</v>
      </c>
      <c r="E468" s="111">
        <v>1.711807229041191</v>
      </c>
      <c r="F468" s="87" t="s">
        <v>1601</v>
      </c>
      <c r="G468" s="87" t="b">
        <v>0</v>
      </c>
      <c r="H468" s="87" t="b">
        <v>0</v>
      </c>
      <c r="I468" s="87" t="b">
        <v>0</v>
      </c>
      <c r="J468" s="87" t="b">
        <v>0</v>
      </c>
      <c r="K468" s="87" t="b">
        <v>0</v>
      </c>
      <c r="L468" s="87" t="b">
        <v>0</v>
      </c>
    </row>
    <row r="469" spans="1:12" x14ac:dyDescent="0.25">
      <c r="A469" s="84" t="s">
        <v>1768</v>
      </c>
      <c r="B469" s="87" t="s">
        <v>1688</v>
      </c>
      <c r="C469" s="87">
        <v>3</v>
      </c>
      <c r="D469" s="111">
        <v>8.5200224057082573E-3</v>
      </c>
      <c r="E469" s="111">
        <v>2.0128372247051725</v>
      </c>
      <c r="F469" s="87" t="s">
        <v>1601</v>
      </c>
      <c r="G469" s="87" t="b">
        <v>0</v>
      </c>
      <c r="H469" s="87" t="b">
        <v>0</v>
      </c>
      <c r="I469" s="87" t="b">
        <v>0</v>
      </c>
      <c r="J469" s="87" t="b">
        <v>0</v>
      </c>
      <c r="K469" s="87" t="b">
        <v>0</v>
      </c>
      <c r="L469" s="87" t="b">
        <v>0</v>
      </c>
    </row>
    <row r="470" spans="1:12" x14ac:dyDescent="0.25">
      <c r="A470" s="84" t="s">
        <v>1644</v>
      </c>
      <c r="B470" s="87" t="s">
        <v>1640</v>
      </c>
      <c r="C470" s="87">
        <v>3</v>
      </c>
      <c r="D470" s="111">
        <v>8.5200224057082573E-3</v>
      </c>
      <c r="E470" s="111">
        <v>1.2681097298084782</v>
      </c>
      <c r="F470" s="87" t="s">
        <v>1601</v>
      </c>
      <c r="G470" s="87" t="b">
        <v>0</v>
      </c>
      <c r="H470" s="87" t="b">
        <v>0</v>
      </c>
      <c r="I470" s="87" t="b">
        <v>0</v>
      </c>
      <c r="J470" s="87" t="b">
        <v>0</v>
      </c>
      <c r="K470" s="87" t="b">
        <v>0</v>
      </c>
      <c r="L470" s="87" t="b">
        <v>0</v>
      </c>
    </row>
    <row r="471" spans="1:12" x14ac:dyDescent="0.25">
      <c r="A471" s="84" t="s">
        <v>320</v>
      </c>
      <c r="B471" s="87" t="s">
        <v>268</v>
      </c>
      <c r="C471" s="87">
        <v>3</v>
      </c>
      <c r="D471" s="111">
        <v>8.5200224057082573E-3</v>
      </c>
      <c r="E471" s="111">
        <v>1.2595095580465607</v>
      </c>
      <c r="F471" s="87" t="s">
        <v>1601</v>
      </c>
      <c r="G471" s="87" t="b">
        <v>0</v>
      </c>
      <c r="H471" s="87" t="b">
        <v>0</v>
      </c>
      <c r="I471" s="87" t="b">
        <v>0</v>
      </c>
      <c r="J471" s="87" t="b">
        <v>0</v>
      </c>
      <c r="K471" s="87" t="b">
        <v>0</v>
      </c>
      <c r="L471" s="87" t="b">
        <v>0</v>
      </c>
    </row>
    <row r="472" spans="1:12" x14ac:dyDescent="0.25">
      <c r="A472" s="84" t="s">
        <v>1812</v>
      </c>
      <c r="B472" s="87" t="s">
        <v>1651</v>
      </c>
      <c r="C472" s="87">
        <v>2</v>
      </c>
      <c r="D472" s="111">
        <v>6.7281771934226547E-3</v>
      </c>
      <c r="E472" s="111">
        <v>1.711807229041191</v>
      </c>
      <c r="F472" s="87" t="s">
        <v>1601</v>
      </c>
      <c r="G472" s="87" t="b">
        <v>0</v>
      </c>
      <c r="H472" s="87" t="b">
        <v>0</v>
      </c>
      <c r="I472" s="87" t="b">
        <v>0</v>
      </c>
      <c r="J472" s="87" t="b">
        <v>0</v>
      </c>
      <c r="K472" s="87" t="b">
        <v>0</v>
      </c>
      <c r="L472" s="87" t="b">
        <v>0</v>
      </c>
    </row>
    <row r="473" spans="1:12" x14ac:dyDescent="0.25">
      <c r="A473" s="84" t="s">
        <v>1915</v>
      </c>
      <c r="B473" s="87" t="s">
        <v>1647</v>
      </c>
      <c r="C473" s="87">
        <v>2</v>
      </c>
      <c r="D473" s="111">
        <v>6.7281771934226547E-3</v>
      </c>
      <c r="E473" s="111">
        <v>2.012837224705172</v>
      </c>
      <c r="F473" s="87" t="s">
        <v>1601</v>
      </c>
      <c r="G473" s="87" t="b">
        <v>0</v>
      </c>
      <c r="H473" s="87" t="b">
        <v>0</v>
      </c>
      <c r="I473" s="87" t="b">
        <v>0</v>
      </c>
      <c r="J473" s="87" t="b">
        <v>0</v>
      </c>
      <c r="K473" s="87" t="b">
        <v>0</v>
      </c>
      <c r="L473" s="87" t="b">
        <v>0</v>
      </c>
    </row>
    <row r="474" spans="1:12" x14ac:dyDescent="0.25">
      <c r="A474" s="84" t="s">
        <v>1937</v>
      </c>
      <c r="B474" s="87" t="s">
        <v>1918</v>
      </c>
      <c r="C474" s="87">
        <v>2</v>
      </c>
      <c r="D474" s="111">
        <v>6.7281771934226547E-3</v>
      </c>
      <c r="E474" s="111">
        <v>2.1889284837608534</v>
      </c>
      <c r="F474" s="87" t="s">
        <v>1601</v>
      </c>
      <c r="G474" s="87" t="b">
        <v>0</v>
      </c>
      <c r="H474" s="87" t="b">
        <v>0</v>
      </c>
      <c r="I474" s="87" t="b">
        <v>0</v>
      </c>
      <c r="J474" s="87" t="b">
        <v>0</v>
      </c>
      <c r="K474" s="87" t="b">
        <v>0</v>
      </c>
      <c r="L474" s="87" t="b">
        <v>0</v>
      </c>
    </row>
    <row r="475" spans="1:12" x14ac:dyDescent="0.25">
      <c r="A475" s="84" t="s">
        <v>1647</v>
      </c>
      <c r="B475" s="87" t="s">
        <v>1812</v>
      </c>
      <c r="C475" s="87">
        <v>2</v>
      </c>
      <c r="D475" s="111">
        <v>6.7281771934226547E-3</v>
      </c>
      <c r="E475" s="111">
        <v>1.8878984880968723</v>
      </c>
      <c r="F475" s="87" t="s">
        <v>1601</v>
      </c>
      <c r="G475" s="87" t="b">
        <v>0</v>
      </c>
      <c r="H475" s="87" t="b">
        <v>0</v>
      </c>
      <c r="I475" s="87" t="b">
        <v>0</v>
      </c>
      <c r="J475" s="87" t="b">
        <v>0</v>
      </c>
      <c r="K475" s="87" t="b">
        <v>0</v>
      </c>
      <c r="L475" s="87" t="b">
        <v>0</v>
      </c>
    </row>
    <row r="476" spans="1:12" x14ac:dyDescent="0.25">
      <c r="A476" s="84" t="s">
        <v>1918</v>
      </c>
      <c r="B476" s="87" t="s">
        <v>1760</v>
      </c>
      <c r="C476" s="87">
        <v>2</v>
      </c>
      <c r="D476" s="111">
        <v>6.7281771934226547E-3</v>
      </c>
      <c r="E476" s="111">
        <v>2.012837224705172</v>
      </c>
      <c r="F476" s="87" t="s">
        <v>1601</v>
      </c>
      <c r="G476" s="87" t="b">
        <v>0</v>
      </c>
      <c r="H476" s="87" t="b">
        <v>0</v>
      </c>
      <c r="I476" s="87" t="b">
        <v>0</v>
      </c>
      <c r="J476" s="87" t="b">
        <v>0</v>
      </c>
      <c r="K476" s="87" t="b">
        <v>0</v>
      </c>
      <c r="L476" s="87" t="b">
        <v>0</v>
      </c>
    </row>
    <row r="477" spans="1:12" x14ac:dyDescent="0.25">
      <c r="A477" s="84" t="s">
        <v>1659</v>
      </c>
      <c r="B477" s="87" t="s">
        <v>1643</v>
      </c>
      <c r="C477" s="87">
        <v>2</v>
      </c>
      <c r="D477" s="111">
        <v>6.7281771934226547E-3</v>
      </c>
      <c r="E477" s="111">
        <v>1.4899584794248346</v>
      </c>
      <c r="F477" s="87" t="s">
        <v>1601</v>
      </c>
      <c r="G477" s="87" t="b">
        <v>0</v>
      </c>
      <c r="H477" s="87" t="b">
        <v>0</v>
      </c>
      <c r="I477" s="87" t="b">
        <v>0</v>
      </c>
      <c r="J477" s="87" t="b">
        <v>0</v>
      </c>
      <c r="K477" s="87" t="b">
        <v>0</v>
      </c>
      <c r="L477" s="87" t="b">
        <v>0</v>
      </c>
    </row>
    <row r="478" spans="1:12" x14ac:dyDescent="0.25">
      <c r="A478" s="84" t="s">
        <v>1649</v>
      </c>
      <c r="B478" s="87" t="s">
        <v>1651</v>
      </c>
      <c r="C478" s="87">
        <v>2</v>
      </c>
      <c r="D478" s="111">
        <v>6.7281771934226547E-3</v>
      </c>
      <c r="E478" s="111">
        <v>1.1677391846909153</v>
      </c>
      <c r="F478" s="87" t="s">
        <v>1601</v>
      </c>
      <c r="G478" s="87" t="b">
        <v>0</v>
      </c>
      <c r="H478" s="87" t="b">
        <v>0</v>
      </c>
      <c r="I478" s="87" t="b">
        <v>0</v>
      </c>
      <c r="J478" s="87" t="b">
        <v>0</v>
      </c>
      <c r="K478" s="87" t="b">
        <v>0</v>
      </c>
      <c r="L478" s="87" t="b">
        <v>0</v>
      </c>
    </row>
    <row r="479" spans="1:12" x14ac:dyDescent="0.25">
      <c r="A479" s="84" t="s">
        <v>1800</v>
      </c>
      <c r="B479" s="87" t="s">
        <v>1640</v>
      </c>
      <c r="C479" s="87">
        <v>2</v>
      </c>
      <c r="D479" s="111">
        <v>6.7281771934226547E-3</v>
      </c>
      <c r="E479" s="111">
        <v>1.4899584794248346</v>
      </c>
      <c r="F479" s="87" t="s">
        <v>1601</v>
      </c>
      <c r="G479" s="87" t="b">
        <v>0</v>
      </c>
      <c r="H479" s="87" t="b">
        <v>0</v>
      </c>
      <c r="I479" s="87" t="b">
        <v>0</v>
      </c>
      <c r="J479" s="87" t="b">
        <v>0</v>
      </c>
      <c r="K479" s="87" t="b">
        <v>0</v>
      </c>
      <c r="L479" s="87" t="b">
        <v>0</v>
      </c>
    </row>
    <row r="480" spans="1:12" x14ac:dyDescent="0.25">
      <c r="A480" s="84" t="s">
        <v>268</v>
      </c>
      <c r="B480" s="87" t="s">
        <v>267</v>
      </c>
      <c r="C480" s="87">
        <v>2</v>
      </c>
      <c r="D480" s="111">
        <v>6.7281771934226547E-3</v>
      </c>
      <c r="E480" s="111">
        <v>1.2595095580465607</v>
      </c>
      <c r="F480" s="87" t="s">
        <v>1601</v>
      </c>
      <c r="G480" s="87" t="b">
        <v>0</v>
      </c>
      <c r="H480" s="87" t="b">
        <v>0</v>
      </c>
      <c r="I480" s="87" t="b">
        <v>0</v>
      </c>
      <c r="J480" s="87" t="b">
        <v>0</v>
      </c>
      <c r="K480" s="87" t="b">
        <v>0</v>
      </c>
      <c r="L480" s="87" t="b">
        <v>0</v>
      </c>
    </row>
    <row r="481" spans="1:12" x14ac:dyDescent="0.25">
      <c r="A481" s="84" t="s">
        <v>1863</v>
      </c>
      <c r="B481" s="87" t="s">
        <v>1646</v>
      </c>
      <c r="C481" s="87">
        <v>2</v>
      </c>
      <c r="D481" s="111">
        <v>6.7281771934226547E-3</v>
      </c>
      <c r="E481" s="111">
        <v>2.1889284837608534</v>
      </c>
      <c r="F481" s="87" t="s">
        <v>1601</v>
      </c>
      <c r="G481" s="87" t="b">
        <v>0</v>
      </c>
      <c r="H481" s="87" t="b">
        <v>0</v>
      </c>
      <c r="I481" s="87" t="b">
        <v>0</v>
      </c>
      <c r="J481" s="87" t="b">
        <v>0</v>
      </c>
      <c r="K481" s="87" t="b">
        <v>0</v>
      </c>
      <c r="L481" s="87" t="b">
        <v>0</v>
      </c>
    </row>
    <row r="482" spans="1:12" x14ac:dyDescent="0.25">
      <c r="A482" s="84" t="s">
        <v>268</v>
      </c>
      <c r="B482" s="87" t="s">
        <v>1697</v>
      </c>
      <c r="C482" s="87">
        <v>2</v>
      </c>
      <c r="D482" s="111">
        <v>6.7281771934226547E-3</v>
      </c>
      <c r="E482" s="111">
        <v>0.86156954937452312</v>
      </c>
      <c r="F482" s="87" t="s">
        <v>1601</v>
      </c>
      <c r="G482" s="87" t="b">
        <v>0</v>
      </c>
      <c r="H482" s="87" t="b">
        <v>0</v>
      </c>
      <c r="I482" s="87" t="b">
        <v>0</v>
      </c>
      <c r="J482" s="87" t="b">
        <v>0</v>
      </c>
      <c r="K482" s="87" t="b">
        <v>0</v>
      </c>
      <c r="L482" s="87" t="b">
        <v>0</v>
      </c>
    </row>
    <row r="483" spans="1:12" x14ac:dyDescent="0.25">
      <c r="A483" s="84" t="s">
        <v>267</v>
      </c>
      <c r="B483" s="87" t="s">
        <v>1677</v>
      </c>
      <c r="C483" s="87">
        <v>2</v>
      </c>
      <c r="D483" s="111">
        <v>6.7281771934226547E-3</v>
      </c>
      <c r="E483" s="111">
        <v>1.6448604394105777</v>
      </c>
      <c r="F483" s="87" t="s">
        <v>1601</v>
      </c>
      <c r="G483" s="87" t="b">
        <v>0</v>
      </c>
      <c r="H483" s="87" t="b">
        <v>0</v>
      </c>
      <c r="I483" s="87" t="b">
        <v>0</v>
      </c>
      <c r="J483" s="87" t="b">
        <v>0</v>
      </c>
      <c r="K483" s="87" t="b">
        <v>0</v>
      </c>
      <c r="L483" s="87" t="b">
        <v>0</v>
      </c>
    </row>
    <row r="484" spans="1:12" x14ac:dyDescent="0.25">
      <c r="A484" s="84" t="s">
        <v>1642</v>
      </c>
      <c r="B484" s="87" t="s">
        <v>1800</v>
      </c>
      <c r="C484" s="87">
        <v>2</v>
      </c>
      <c r="D484" s="111">
        <v>6.7281771934226547E-3</v>
      </c>
      <c r="E484" s="111">
        <v>1.2858384967689098</v>
      </c>
      <c r="F484" s="87" t="s">
        <v>1601</v>
      </c>
      <c r="G484" s="87" t="b">
        <v>0</v>
      </c>
      <c r="H484" s="87" t="b">
        <v>0</v>
      </c>
      <c r="I484" s="87" t="b">
        <v>0</v>
      </c>
      <c r="J484" s="87" t="b">
        <v>0</v>
      </c>
      <c r="K484" s="87" t="b">
        <v>0</v>
      </c>
      <c r="L484" s="87" t="b">
        <v>0</v>
      </c>
    </row>
    <row r="485" spans="1:12" x14ac:dyDescent="0.25">
      <c r="A485" s="84" t="s">
        <v>1640</v>
      </c>
      <c r="B485" s="87" t="s">
        <v>268</v>
      </c>
      <c r="C485" s="87">
        <v>2</v>
      </c>
      <c r="D485" s="111">
        <v>6.7281771934226547E-3</v>
      </c>
      <c r="E485" s="111">
        <v>0.56053955371054198</v>
      </c>
      <c r="F485" s="87" t="s">
        <v>1601</v>
      </c>
      <c r="G485" s="87" t="b">
        <v>0</v>
      </c>
      <c r="H485" s="87" t="b">
        <v>0</v>
      </c>
      <c r="I485" s="87" t="b">
        <v>0</v>
      </c>
      <c r="J485" s="87" t="b">
        <v>0</v>
      </c>
      <c r="K485" s="87" t="b">
        <v>0</v>
      </c>
      <c r="L485" s="87" t="b">
        <v>0</v>
      </c>
    </row>
    <row r="486" spans="1:12" x14ac:dyDescent="0.25">
      <c r="A486" s="84" t="s">
        <v>1643</v>
      </c>
      <c r="B486" s="87" t="s">
        <v>1771</v>
      </c>
      <c r="C486" s="87">
        <v>2</v>
      </c>
      <c r="D486" s="111">
        <v>6.7281771934226547E-3</v>
      </c>
      <c r="E486" s="111">
        <v>1.2858384967689098</v>
      </c>
      <c r="F486" s="87" t="s">
        <v>1601</v>
      </c>
      <c r="G486" s="87" t="b">
        <v>0</v>
      </c>
      <c r="H486" s="87" t="b">
        <v>0</v>
      </c>
      <c r="I486" s="87" t="b">
        <v>0</v>
      </c>
      <c r="J486" s="87" t="b">
        <v>0</v>
      </c>
      <c r="K486" s="87" t="b">
        <v>0</v>
      </c>
      <c r="L486" s="87" t="b">
        <v>0</v>
      </c>
    </row>
    <row r="487" spans="1:12" x14ac:dyDescent="0.25">
      <c r="A487" s="84" t="s">
        <v>257</v>
      </c>
      <c r="B487" s="87" t="s">
        <v>1768</v>
      </c>
      <c r="C487" s="87">
        <v>2</v>
      </c>
      <c r="D487" s="111">
        <v>6.7281771934226547E-3</v>
      </c>
      <c r="E487" s="111">
        <v>2.1889284837608534</v>
      </c>
      <c r="F487" s="87" t="s">
        <v>1601</v>
      </c>
      <c r="G487" s="87" t="b">
        <v>0</v>
      </c>
      <c r="H487" s="87" t="b">
        <v>0</v>
      </c>
      <c r="I487" s="87" t="b">
        <v>0</v>
      </c>
      <c r="J487" s="87" t="b">
        <v>0</v>
      </c>
      <c r="K487" s="87" t="b">
        <v>0</v>
      </c>
      <c r="L487" s="87" t="b">
        <v>0</v>
      </c>
    </row>
    <row r="488" spans="1:12" x14ac:dyDescent="0.25">
      <c r="A488" s="84" t="s">
        <v>1663</v>
      </c>
      <c r="B488" s="87" t="s">
        <v>1649</v>
      </c>
      <c r="C488" s="87">
        <v>2</v>
      </c>
      <c r="D488" s="111">
        <v>6.7281771934226547E-3</v>
      </c>
      <c r="E488" s="111">
        <v>1.6448604394105777</v>
      </c>
      <c r="F488" s="87" t="s">
        <v>1601</v>
      </c>
      <c r="G488" s="87" t="b">
        <v>0</v>
      </c>
      <c r="H488" s="87" t="b">
        <v>0</v>
      </c>
      <c r="I488" s="87" t="b">
        <v>0</v>
      </c>
      <c r="J488" s="87" t="b">
        <v>0</v>
      </c>
      <c r="K488" s="87" t="b">
        <v>0</v>
      </c>
      <c r="L488" s="87" t="b">
        <v>0</v>
      </c>
    </row>
    <row r="489" spans="1:12" x14ac:dyDescent="0.25">
      <c r="A489" s="84" t="s">
        <v>1771</v>
      </c>
      <c r="B489" s="87" t="s">
        <v>1642</v>
      </c>
      <c r="C489" s="87">
        <v>2</v>
      </c>
      <c r="D489" s="111">
        <v>6.7281771934226547E-3</v>
      </c>
      <c r="E489" s="111">
        <v>1.2858384967689098</v>
      </c>
      <c r="F489" s="87" t="s">
        <v>1601</v>
      </c>
      <c r="G489" s="87" t="b">
        <v>0</v>
      </c>
      <c r="H489" s="87" t="b">
        <v>0</v>
      </c>
      <c r="I489" s="87" t="b">
        <v>0</v>
      </c>
      <c r="J489" s="87" t="b">
        <v>0</v>
      </c>
      <c r="K489" s="87" t="b">
        <v>0</v>
      </c>
      <c r="L489" s="87" t="b">
        <v>0</v>
      </c>
    </row>
    <row r="490" spans="1:12" x14ac:dyDescent="0.25">
      <c r="A490" s="84" t="s">
        <v>1649</v>
      </c>
      <c r="B490" s="87" t="s">
        <v>268</v>
      </c>
      <c r="C490" s="87">
        <v>2</v>
      </c>
      <c r="D490" s="111">
        <v>6.7281771934226547E-3</v>
      </c>
      <c r="E490" s="111">
        <v>0.71544151369628506</v>
      </c>
      <c r="F490" s="87" t="s">
        <v>1601</v>
      </c>
      <c r="G490" s="87" t="b">
        <v>0</v>
      </c>
      <c r="H490" s="87" t="b">
        <v>0</v>
      </c>
      <c r="I490" s="87" t="b">
        <v>0</v>
      </c>
      <c r="J490" s="87" t="b">
        <v>0</v>
      </c>
      <c r="K490" s="87" t="b">
        <v>0</v>
      </c>
      <c r="L490" s="87" t="b">
        <v>0</v>
      </c>
    </row>
    <row r="491" spans="1:12" x14ac:dyDescent="0.25">
      <c r="A491" s="84" t="s">
        <v>1798</v>
      </c>
      <c r="B491" s="87" t="s">
        <v>1659</v>
      </c>
      <c r="C491" s="87">
        <v>2</v>
      </c>
      <c r="D491" s="111">
        <v>6.7281771934226547E-3</v>
      </c>
      <c r="E491" s="111">
        <v>2.1889284837608534</v>
      </c>
      <c r="F491" s="87" t="s">
        <v>1601</v>
      </c>
      <c r="G491" s="87" t="b">
        <v>0</v>
      </c>
      <c r="H491" s="87" t="b">
        <v>0</v>
      </c>
      <c r="I491" s="87" t="b">
        <v>0</v>
      </c>
      <c r="J491" s="87" t="b">
        <v>0</v>
      </c>
      <c r="K491" s="87" t="b">
        <v>0</v>
      </c>
      <c r="L491" s="87" t="b">
        <v>0</v>
      </c>
    </row>
    <row r="492" spans="1:12" x14ac:dyDescent="0.25">
      <c r="A492" s="84" t="s">
        <v>1651</v>
      </c>
      <c r="B492" s="87" t="s">
        <v>1819</v>
      </c>
      <c r="C492" s="87">
        <v>2</v>
      </c>
      <c r="D492" s="111">
        <v>6.7281771934226547E-3</v>
      </c>
      <c r="E492" s="111">
        <v>1.711807229041191</v>
      </c>
      <c r="F492" s="87" t="s">
        <v>1601</v>
      </c>
      <c r="G492" s="87" t="b">
        <v>0</v>
      </c>
      <c r="H492" s="87" t="b">
        <v>0</v>
      </c>
      <c r="I492" s="87" t="b">
        <v>0</v>
      </c>
      <c r="J492" s="87" t="b">
        <v>0</v>
      </c>
      <c r="K492" s="87" t="b">
        <v>0</v>
      </c>
      <c r="L492" s="87" t="b">
        <v>0</v>
      </c>
    </row>
    <row r="493" spans="1:12" x14ac:dyDescent="0.25">
      <c r="A493" s="84" t="s">
        <v>268</v>
      </c>
      <c r="B493" s="87" t="s">
        <v>1663</v>
      </c>
      <c r="C493" s="87">
        <v>2</v>
      </c>
      <c r="D493" s="111">
        <v>6.7281771934226547E-3</v>
      </c>
      <c r="E493" s="111">
        <v>1.2595095580465607</v>
      </c>
      <c r="F493" s="87" t="s">
        <v>1601</v>
      </c>
      <c r="G493" s="87" t="b">
        <v>0</v>
      </c>
      <c r="H493" s="87" t="b">
        <v>0</v>
      </c>
      <c r="I493" s="87" t="b">
        <v>0</v>
      </c>
      <c r="J493" s="87" t="b">
        <v>0</v>
      </c>
      <c r="K493" s="87" t="b">
        <v>0</v>
      </c>
      <c r="L493" s="87" t="b">
        <v>0</v>
      </c>
    </row>
    <row r="494" spans="1:12" x14ac:dyDescent="0.25">
      <c r="A494" s="84" t="s">
        <v>1654</v>
      </c>
      <c r="B494" s="87" t="s">
        <v>1915</v>
      </c>
      <c r="C494" s="87">
        <v>2</v>
      </c>
      <c r="D494" s="111">
        <v>6.7281771934226547E-3</v>
      </c>
      <c r="E494" s="111">
        <v>2.012837224705172</v>
      </c>
      <c r="F494" s="87" t="s">
        <v>1601</v>
      </c>
      <c r="G494" s="87" t="b">
        <v>1</v>
      </c>
      <c r="H494" s="87" t="b">
        <v>0</v>
      </c>
      <c r="I494" s="87" t="b">
        <v>0</v>
      </c>
      <c r="J494" s="87" t="b">
        <v>0</v>
      </c>
      <c r="K494" s="87" t="b">
        <v>0</v>
      </c>
      <c r="L494" s="87" t="b">
        <v>0</v>
      </c>
    </row>
    <row r="495" spans="1:12" x14ac:dyDescent="0.25">
      <c r="A495" s="84" t="s">
        <v>1819</v>
      </c>
      <c r="B495" s="87" t="s">
        <v>1937</v>
      </c>
      <c r="C495" s="87">
        <v>2</v>
      </c>
      <c r="D495" s="111">
        <v>6.7281771934226547E-3</v>
      </c>
      <c r="E495" s="111">
        <v>2.1889284837608534</v>
      </c>
      <c r="F495" s="87" t="s">
        <v>1601</v>
      </c>
      <c r="G495" s="87" t="b">
        <v>0</v>
      </c>
      <c r="H495" s="87" t="b">
        <v>0</v>
      </c>
      <c r="I495" s="87" t="b">
        <v>0</v>
      </c>
      <c r="J495" s="87" t="b">
        <v>0</v>
      </c>
      <c r="K495" s="87" t="b">
        <v>0</v>
      </c>
      <c r="L495" s="87" t="b">
        <v>0</v>
      </c>
    </row>
    <row r="496" spans="1:12" x14ac:dyDescent="0.25">
      <c r="A496" s="84" t="s">
        <v>1650</v>
      </c>
      <c r="B496" s="87" t="s">
        <v>275</v>
      </c>
      <c r="C496" s="87">
        <v>10</v>
      </c>
      <c r="D496" s="111">
        <v>1.0359979338190901E-2</v>
      </c>
      <c r="E496" s="111">
        <v>1.4561128739951457</v>
      </c>
      <c r="F496" s="87" t="s">
        <v>1602</v>
      </c>
      <c r="G496" s="87" t="b">
        <v>0</v>
      </c>
      <c r="H496" s="87" t="b">
        <v>0</v>
      </c>
      <c r="I496" s="87" t="b">
        <v>0</v>
      </c>
      <c r="J496" s="87" t="b">
        <v>0</v>
      </c>
      <c r="K496" s="87" t="b">
        <v>0</v>
      </c>
      <c r="L496" s="87" t="b">
        <v>0</v>
      </c>
    </row>
    <row r="497" spans="1:12" x14ac:dyDescent="0.25">
      <c r="A497" s="84" t="s">
        <v>249</v>
      </c>
      <c r="B497" s="87" t="s">
        <v>1650</v>
      </c>
      <c r="C497" s="87">
        <v>10</v>
      </c>
      <c r="D497" s="111">
        <v>1.0359979338190901E-2</v>
      </c>
      <c r="E497" s="111">
        <v>1.2130748253088512</v>
      </c>
      <c r="F497" s="87" t="s">
        <v>1602</v>
      </c>
      <c r="G497" s="87" t="b">
        <v>0</v>
      </c>
      <c r="H497" s="87" t="b">
        <v>0</v>
      </c>
      <c r="I497" s="87" t="b">
        <v>0</v>
      </c>
      <c r="J497" s="87" t="b">
        <v>0</v>
      </c>
      <c r="K497" s="87" t="b">
        <v>0</v>
      </c>
      <c r="L497" s="87" t="b">
        <v>0</v>
      </c>
    </row>
    <row r="498" spans="1:12" x14ac:dyDescent="0.25">
      <c r="A498" s="84" t="s">
        <v>1664</v>
      </c>
      <c r="B498" s="87" t="s">
        <v>249</v>
      </c>
      <c r="C498" s="87">
        <v>6</v>
      </c>
      <c r="D498" s="111">
        <v>9.8429426375143715E-3</v>
      </c>
      <c r="E498" s="111">
        <v>1.4939014348845454</v>
      </c>
      <c r="F498" s="87" t="s">
        <v>1602</v>
      </c>
      <c r="G498" s="87" t="b">
        <v>0</v>
      </c>
      <c r="H498" s="87" t="b">
        <v>0</v>
      </c>
      <c r="I498" s="87" t="b">
        <v>0</v>
      </c>
      <c r="J498" s="87" t="b">
        <v>0</v>
      </c>
      <c r="K498" s="87" t="b">
        <v>0</v>
      </c>
      <c r="L498" s="87" t="b">
        <v>0</v>
      </c>
    </row>
    <row r="499" spans="1:12" x14ac:dyDescent="0.25">
      <c r="A499" s="84" t="s">
        <v>1656</v>
      </c>
      <c r="B499" s="87" t="s">
        <v>1664</v>
      </c>
      <c r="C499" s="87">
        <v>4</v>
      </c>
      <c r="D499" s="111">
        <v>8.4812125382413475E-3</v>
      </c>
      <c r="E499" s="111">
        <v>1.5352941200427705</v>
      </c>
      <c r="F499" s="87" t="s">
        <v>1602</v>
      </c>
      <c r="G499" s="87" t="b">
        <v>0</v>
      </c>
      <c r="H499" s="87" t="b">
        <v>0</v>
      </c>
      <c r="I499" s="87" t="b">
        <v>0</v>
      </c>
      <c r="J499" s="87" t="b">
        <v>0</v>
      </c>
      <c r="K499" s="87" t="b">
        <v>0</v>
      </c>
      <c r="L499" s="87" t="b">
        <v>0</v>
      </c>
    </row>
    <row r="500" spans="1:12" x14ac:dyDescent="0.25">
      <c r="A500" s="84" t="s">
        <v>1672</v>
      </c>
      <c r="B500" s="87" t="s">
        <v>1668</v>
      </c>
      <c r="C500" s="87">
        <v>4</v>
      </c>
      <c r="D500" s="111">
        <v>8.4812125382413475E-3</v>
      </c>
      <c r="E500" s="111">
        <v>1.933234128714808</v>
      </c>
      <c r="F500" s="87" t="s">
        <v>1602</v>
      </c>
      <c r="G500" s="87" t="b">
        <v>0</v>
      </c>
      <c r="H500" s="87" t="b">
        <v>0</v>
      </c>
      <c r="I500" s="87" t="b">
        <v>0</v>
      </c>
      <c r="J500" s="87" t="b">
        <v>0</v>
      </c>
      <c r="K500" s="87" t="b">
        <v>0</v>
      </c>
      <c r="L500" s="87" t="b">
        <v>0</v>
      </c>
    </row>
    <row r="501" spans="1:12" x14ac:dyDescent="0.25">
      <c r="A501" s="84" t="s">
        <v>1684</v>
      </c>
      <c r="B501" s="87" t="s">
        <v>1645</v>
      </c>
      <c r="C501" s="87">
        <v>4</v>
      </c>
      <c r="D501" s="111">
        <v>8.4812125382413475E-3</v>
      </c>
      <c r="E501" s="111">
        <v>1.5810516106034456</v>
      </c>
      <c r="F501" s="87" t="s">
        <v>1602</v>
      </c>
      <c r="G501" s="87" t="b">
        <v>1</v>
      </c>
      <c r="H501" s="87" t="b">
        <v>0</v>
      </c>
      <c r="I501" s="87" t="b">
        <v>0</v>
      </c>
      <c r="J501" s="87" t="b">
        <v>0</v>
      </c>
      <c r="K501" s="87" t="b">
        <v>0</v>
      </c>
      <c r="L501" s="87" t="b">
        <v>0</v>
      </c>
    </row>
    <row r="502" spans="1:12" x14ac:dyDescent="0.25">
      <c r="A502" s="84" t="s">
        <v>1716</v>
      </c>
      <c r="B502" s="87" t="s">
        <v>1693</v>
      </c>
      <c r="C502" s="87">
        <v>4</v>
      </c>
      <c r="D502" s="111">
        <v>8.4812125382413475E-3</v>
      </c>
      <c r="E502" s="111">
        <v>1.933234128714808</v>
      </c>
      <c r="F502" s="87" t="s">
        <v>1602</v>
      </c>
      <c r="G502" s="87" t="b">
        <v>0</v>
      </c>
      <c r="H502" s="87" t="b">
        <v>0</v>
      </c>
      <c r="I502" s="87" t="b">
        <v>0</v>
      </c>
      <c r="J502" s="87" t="b">
        <v>0</v>
      </c>
      <c r="K502" s="87" t="b">
        <v>0</v>
      </c>
      <c r="L502" s="87" t="b">
        <v>0</v>
      </c>
    </row>
    <row r="503" spans="1:12" x14ac:dyDescent="0.25">
      <c r="A503" s="84" t="s">
        <v>1656</v>
      </c>
      <c r="B503" s="87" t="s">
        <v>1684</v>
      </c>
      <c r="C503" s="87">
        <v>4</v>
      </c>
      <c r="D503" s="111">
        <v>8.4812125382413475E-3</v>
      </c>
      <c r="E503" s="111">
        <v>1.632204133050827</v>
      </c>
      <c r="F503" s="87" t="s">
        <v>1602</v>
      </c>
      <c r="G503" s="87" t="b">
        <v>0</v>
      </c>
      <c r="H503" s="87" t="b">
        <v>0</v>
      </c>
      <c r="I503" s="87" t="b">
        <v>0</v>
      </c>
      <c r="J503" s="87" t="b">
        <v>1</v>
      </c>
      <c r="K503" s="87" t="b">
        <v>0</v>
      </c>
      <c r="L503" s="87" t="b">
        <v>0</v>
      </c>
    </row>
    <row r="504" spans="1:12" x14ac:dyDescent="0.25">
      <c r="A504" s="84" t="s">
        <v>1720</v>
      </c>
      <c r="B504" s="87" t="s">
        <v>1656</v>
      </c>
      <c r="C504" s="87">
        <v>4</v>
      </c>
      <c r="D504" s="111">
        <v>8.4812125382413475E-3</v>
      </c>
      <c r="E504" s="111">
        <v>1.6901960800285136</v>
      </c>
      <c r="F504" s="87" t="s">
        <v>1602</v>
      </c>
      <c r="G504" s="87" t="b">
        <v>0</v>
      </c>
      <c r="H504" s="87" t="b">
        <v>0</v>
      </c>
      <c r="I504" s="87" t="b">
        <v>0</v>
      </c>
      <c r="J504" s="87" t="b">
        <v>0</v>
      </c>
      <c r="K504" s="87" t="b">
        <v>0</v>
      </c>
      <c r="L504" s="87" t="b">
        <v>0</v>
      </c>
    </row>
    <row r="505" spans="1:12" x14ac:dyDescent="0.25">
      <c r="A505" s="84" t="s">
        <v>275</v>
      </c>
      <c r="B505" s="87" t="s">
        <v>1702</v>
      </c>
      <c r="C505" s="87">
        <v>4</v>
      </c>
      <c r="D505" s="111">
        <v>8.4812125382413475E-3</v>
      </c>
      <c r="E505" s="111">
        <v>1.4939014348845454</v>
      </c>
      <c r="F505" s="87" t="s">
        <v>1602</v>
      </c>
      <c r="G505" s="87" t="b">
        <v>0</v>
      </c>
      <c r="H505" s="87" t="b">
        <v>0</v>
      </c>
      <c r="I505" s="87" t="b">
        <v>0</v>
      </c>
      <c r="J505" s="87" t="b">
        <v>0</v>
      </c>
      <c r="K505" s="87" t="b">
        <v>0</v>
      </c>
      <c r="L505" s="87" t="b">
        <v>0</v>
      </c>
    </row>
    <row r="506" spans="1:12" x14ac:dyDescent="0.25">
      <c r="A506" s="84" t="s">
        <v>1702</v>
      </c>
      <c r="B506" s="87" t="s">
        <v>1707</v>
      </c>
      <c r="C506" s="87">
        <v>4</v>
      </c>
      <c r="D506" s="111">
        <v>8.4812125382413475E-3</v>
      </c>
      <c r="E506" s="111">
        <v>1.933234128714808</v>
      </c>
      <c r="F506" s="87" t="s">
        <v>1602</v>
      </c>
      <c r="G506" s="87" t="b">
        <v>0</v>
      </c>
      <c r="H506" s="87" t="b">
        <v>0</v>
      </c>
      <c r="I506" s="87" t="b">
        <v>0</v>
      </c>
      <c r="J506" s="87" t="b">
        <v>0</v>
      </c>
      <c r="K506" s="87" t="b">
        <v>0</v>
      </c>
      <c r="L506" s="87" t="b">
        <v>0</v>
      </c>
    </row>
    <row r="507" spans="1:12" x14ac:dyDescent="0.25">
      <c r="A507" s="84" t="s">
        <v>275</v>
      </c>
      <c r="B507" s="87" t="s">
        <v>1672</v>
      </c>
      <c r="C507" s="87">
        <v>4</v>
      </c>
      <c r="D507" s="111">
        <v>8.4812125382413475E-3</v>
      </c>
      <c r="E507" s="111">
        <v>1.4939014348845454</v>
      </c>
      <c r="F507" s="87" t="s">
        <v>1602</v>
      </c>
      <c r="G507" s="87" t="b">
        <v>0</v>
      </c>
      <c r="H507" s="87" t="b">
        <v>0</v>
      </c>
      <c r="I507" s="87" t="b">
        <v>0</v>
      </c>
      <c r="J507" s="87" t="b">
        <v>0</v>
      </c>
      <c r="K507" s="87" t="b">
        <v>0</v>
      </c>
      <c r="L507" s="87" t="b">
        <v>0</v>
      </c>
    </row>
    <row r="508" spans="1:12" x14ac:dyDescent="0.25">
      <c r="A508" s="84" t="s">
        <v>1666</v>
      </c>
      <c r="B508" s="87" t="s">
        <v>1720</v>
      </c>
      <c r="C508" s="87">
        <v>4</v>
      </c>
      <c r="D508" s="111">
        <v>8.4812125382413475E-3</v>
      </c>
      <c r="E508" s="111">
        <v>1.933234128714808</v>
      </c>
      <c r="F508" s="87" t="s">
        <v>1602</v>
      </c>
      <c r="G508" s="87" t="b">
        <v>1</v>
      </c>
      <c r="H508" s="87" t="b">
        <v>0</v>
      </c>
      <c r="I508" s="87" t="b">
        <v>0</v>
      </c>
      <c r="J508" s="87" t="b">
        <v>0</v>
      </c>
      <c r="K508" s="87" t="b">
        <v>0</v>
      </c>
      <c r="L508" s="87" t="b">
        <v>0</v>
      </c>
    </row>
    <row r="509" spans="1:12" x14ac:dyDescent="0.25">
      <c r="A509" s="84" t="s">
        <v>1645</v>
      </c>
      <c r="B509" s="87" t="s">
        <v>249</v>
      </c>
      <c r="C509" s="87">
        <v>4</v>
      </c>
      <c r="D509" s="111">
        <v>8.4812125382413475E-3</v>
      </c>
      <c r="E509" s="111">
        <v>1.1417189167731829</v>
      </c>
      <c r="F509" s="87" t="s">
        <v>1602</v>
      </c>
      <c r="G509" s="87" t="b">
        <v>0</v>
      </c>
      <c r="H509" s="87" t="b">
        <v>0</v>
      </c>
      <c r="I509" s="87" t="b">
        <v>0</v>
      </c>
      <c r="J509" s="87" t="b">
        <v>0</v>
      </c>
      <c r="K509" s="87" t="b">
        <v>0</v>
      </c>
      <c r="L509" s="87" t="b">
        <v>0</v>
      </c>
    </row>
    <row r="510" spans="1:12" x14ac:dyDescent="0.25">
      <c r="A510" s="84" t="s">
        <v>1707</v>
      </c>
      <c r="B510" s="87" t="s">
        <v>1719</v>
      </c>
      <c r="C510" s="87">
        <v>4</v>
      </c>
      <c r="D510" s="111">
        <v>8.4812125382413475E-3</v>
      </c>
      <c r="E510" s="111">
        <v>1.933234128714808</v>
      </c>
      <c r="F510" s="87" t="s">
        <v>1602</v>
      </c>
      <c r="G510" s="87" t="b">
        <v>0</v>
      </c>
      <c r="H510" s="87" t="b">
        <v>0</v>
      </c>
      <c r="I510" s="87" t="b">
        <v>0</v>
      </c>
      <c r="J510" s="87" t="b">
        <v>0</v>
      </c>
      <c r="K510" s="87" t="b">
        <v>0</v>
      </c>
      <c r="L510" s="87" t="b">
        <v>0</v>
      </c>
    </row>
    <row r="511" spans="1:12" x14ac:dyDescent="0.25">
      <c r="A511" s="84" t="s">
        <v>1668</v>
      </c>
      <c r="B511" s="87" t="s">
        <v>1716</v>
      </c>
      <c r="C511" s="87">
        <v>4</v>
      </c>
      <c r="D511" s="111">
        <v>8.4812125382413475E-3</v>
      </c>
      <c r="E511" s="111">
        <v>1.933234128714808</v>
      </c>
      <c r="F511" s="87" t="s">
        <v>1602</v>
      </c>
      <c r="G511" s="87" t="b">
        <v>0</v>
      </c>
      <c r="H511" s="87" t="b">
        <v>0</v>
      </c>
      <c r="I511" s="87" t="b">
        <v>0</v>
      </c>
      <c r="J511" s="87" t="b">
        <v>0</v>
      </c>
      <c r="K511" s="87" t="b">
        <v>0</v>
      </c>
      <c r="L511" s="87" t="b">
        <v>0</v>
      </c>
    </row>
    <row r="512" spans="1:12" x14ac:dyDescent="0.25">
      <c r="A512" s="84" t="s">
        <v>1719</v>
      </c>
      <c r="B512" s="87" t="s">
        <v>1733</v>
      </c>
      <c r="C512" s="87">
        <v>3</v>
      </c>
      <c r="D512" s="111">
        <v>7.3822069781357778E-3</v>
      </c>
      <c r="E512" s="111">
        <v>1.933234128714808</v>
      </c>
      <c r="F512" s="87" t="s">
        <v>1602</v>
      </c>
      <c r="G512" s="87" t="b">
        <v>0</v>
      </c>
      <c r="H512" s="87" t="b">
        <v>0</v>
      </c>
      <c r="I512" s="87" t="b">
        <v>0</v>
      </c>
      <c r="J512" s="87" t="b">
        <v>0</v>
      </c>
      <c r="K512" s="87" t="b">
        <v>0</v>
      </c>
      <c r="L512" s="87" t="b">
        <v>0</v>
      </c>
    </row>
    <row r="513" spans="1:12" x14ac:dyDescent="0.25">
      <c r="A513" s="84" t="s">
        <v>249</v>
      </c>
      <c r="B513" s="87" t="s">
        <v>1666</v>
      </c>
      <c r="C513" s="87">
        <v>3</v>
      </c>
      <c r="D513" s="111">
        <v>7.3822069781357778E-3</v>
      </c>
      <c r="E513" s="111">
        <v>1.2130748253088512</v>
      </c>
      <c r="F513" s="87" t="s">
        <v>1602</v>
      </c>
      <c r="G513" s="87" t="b">
        <v>0</v>
      </c>
      <c r="H513" s="87" t="b">
        <v>0</v>
      </c>
      <c r="I513" s="87" t="b">
        <v>0</v>
      </c>
      <c r="J513" s="87" t="b">
        <v>1</v>
      </c>
      <c r="K513" s="87" t="b">
        <v>0</v>
      </c>
      <c r="L513" s="87" t="b">
        <v>0</v>
      </c>
    </row>
    <row r="514" spans="1:12" x14ac:dyDescent="0.25">
      <c r="A514" s="84" t="s">
        <v>249</v>
      </c>
      <c r="B514" s="87" t="s">
        <v>1656</v>
      </c>
      <c r="C514" s="87">
        <v>3</v>
      </c>
      <c r="D514" s="111">
        <v>7.3822069781357778E-3</v>
      </c>
      <c r="E514" s="111">
        <v>0.84509804001425692</v>
      </c>
      <c r="F514" s="87" t="s">
        <v>1602</v>
      </c>
      <c r="G514" s="87" t="b">
        <v>0</v>
      </c>
      <c r="H514" s="87" t="b">
        <v>0</v>
      </c>
      <c r="I514" s="87" t="b">
        <v>0</v>
      </c>
      <c r="J514" s="87" t="b">
        <v>0</v>
      </c>
      <c r="K514" s="87" t="b">
        <v>0</v>
      </c>
      <c r="L514" s="87" t="b">
        <v>0</v>
      </c>
    </row>
    <row r="515" spans="1:12" x14ac:dyDescent="0.25">
      <c r="A515" s="84" t="s">
        <v>1857</v>
      </c>
      <c r="B515" s="87" t="s">
        <v>1878</v>
      </c>
      <c r="C515" s="87">
        <v>2</v>
      </c>
      <c r="D515" s="111">
        <v>5.8810967087064023E-3</v>
      </c>
      <c r="E515" s="111">
        <v>2.2342641243787895</v>
      </c>
      <c r="F515" s="87" t="s">
        <v>1602</v>
      </c>
      <c r="G515" s="87" t="b">
        <v>0</v>
      </c>
      <c r="H515" s="87" t="b">
        <v>0</v>
      </c>
      <c r="I515" s="87" t="b">
        <v>0</v>
      </c>
      <c r="J515" s="87" t="b">
        <v>0</v>
      </c>
      <c r="K515" s="87" t="b">
        <v>0</v>
      </c>
      <c r="L515" s="87" t="b">
        <v>0</v>
      </c>
    </row>
    <row r="516" spans="1:12" x14ac:dyDescent="0.25">
      <c r="A516" s="84" t="s">
        <v>1797</v>
      </c>
      <c r="B516" s="87" t="s">
        <v>1801</v>
      </c>
      <c r="C516" s="87">
        <v>2</v>
      </c>
      <c r="D516" s="111">
        <v>5.8810967087064023E-3</v>
      </c>
      <c r="E516" s="111">
        <v>2.2342641243787895</v>
      </c>
      <c r="F516" s="87" t="s">
        <v>1602</v>
      </c>
      <c r="G516" s="87" t="b">
        <v>0</v>
      </c>
      <c r="H516" s="87" t="b">
        <v>0</v>
      </c>
      <c r="I516" s="87" t="b">
        <v>0</v>
      </c>
      <c r="J516" s="87" t="b">
        <v>0</v>
      </c>
      <c r="K516" s="87" t="b">
        <v>0</v>
      </c>
      <c r="L516" s="87" t="b">
        <v>0</v>
      </c>
    </row>
    <row r="517" spans="1:12" x14ac:dyDescent="0.25">
      <c r="A517" s="84" t="s">
        <v>1737</v>
      </c>
      <c r="B517" s="87" t="s">
        <v>1802</v>
      </c>
      <c r="C517" s="87">
        <v>2</v>
      </c>
      <c r="D517" s="111">
        <v>5.8810967087064023E-3</v>
      </c>
      <c r="E517" s="111">
        <v>2.2342641243787895</v>
      </c>
      <c r="F517" s="87" t="s">
        <v>1602</v>
      </c>
      <c r="G517" s="87" t="b">
        <v>0</v>
      </c>
      <c r="H517" s="87" t="b">
        <v>0</v>
      </c>
      <c r="I517" s="87" t="b">
        <v>0</v>
      </c>
      <c r="J517" s="87" t="b">
        <v>0</v>
      </c>
      <c r="K517" s="87" t="b">
        <v>0</v>
      </c>
      <c r="L517" s="87" t="b">
        <v>0</v>
      </c>
    </row>
    <row r="518" spans="1:12" x14ac:dyDescent="0.25">
      <c r="A518" s="84" t="s">
        <v>1941</v>
      </c>
      <c r="B518" s="87" t="s">
        <v>1845</v>
      </c>
      <c r="C518" s="87">
        <v>2</v>
      </c>
      <c r="D518" s="111">
        <v>5.8810967087064023E-3</v>
      </c>
      <c r="E518" s="111">
        <v>2.2342641243787895</v>
      </c>
      <c r="F518" s="87" t="s">
        <v>1602</v>
      </c>
      <c r="G518" s="87" t="b">
        <v>0</v>
      </c>
      <c r="H518" s="87" t="b">
        <v>0</v>
      </c>
      <c r="I518" s="87" t="b">
        <v>0</v>
      </c>
      <c r="J518" s="87" t="b">
        <v>0</v>
      </c>
      <c r="K518" s="87" t="b">
        <v>0</v>
      </c>
      <c r="L518" s="87" t="b">
        <v>0</v>
      </c>
    </row>
    <row r="519" spans="1:12" x14ac:dyDescent="0.25">
      <c r="A519" s="84" t="s">
        <v>1922</v>
      </c>
      <c r="B519" s="87" t="s">
        <v>1833</v>
      </c>
      <c r="C519" s="87">
        <v>2</v>
      </c>
      <c r="D519" s="111">
        <v>5.8810967087064023E-3</v>
      </c>
      <c r="E519" s="111">
        <v>2.2342641243787895</v>
      </c>
      <c r="F519" s="87" t="s">
        <v>1602</v>
      </c>
      <c r="G519" s="87" t="b">
        <v>1</v>
      </c>
      <c r="H519" s="87" t="b">
        <v>0</v>
      </c>
      <c r="I519" s="87" t="b">
        <v>0</v>
      </c>
      <c r="J519" s="87" t="b">
        <v>0</v>
      </c>
      <c r="K519" s="87" t="b">
        <v>0</v>
      </c>
      <c r="L519" s="87" t="b">
        <v>0</v>
      </c>
    </row>
    <row r="520" spans="1:12" x14ac:dyDescent="0.25">
      <c r="A520" s="84" t="s">
        <v>1682</v>
      </c>
      <c r="B520" s="87" t="s">
        <v>1704</v>
      </c>
      <c r="C520" s="87">
        <v>2</v>
      </c>
      <c r="D520" s="111">
        <v>5.8810967087064023E-3</v>
      </c>
      <c r="E520" s="111">
        <v>2.2342641243787895</v>
      </c>
      <c r="F520" s="87" t="s">
        <v>1602</v>
      </c>
      <c r="G520" s="87" t="b">
        <v>1</v>
      </c>
      <c r="H520" s="87" t="b">
        <v>0</v>
      </c>
      <c r="I520" s="87" t="b">
        <v>0</v>
      </c>
      <c r="J520" s="87" t="b">
        <v>0</v>
      </c>
      <c r="K520" s="87" t="b">
        <v>0</v>
      </c>
      <c r="L520" s="87" t="b">
        <v>0</v>
      </c>
    </row>
    <row r="521" spans="1:12" x14ac:dyDescent="0.25">
      <c r="A521" s="84" t="s">
        <v>1667</v>
      </c>
      <c r="B521" s="87" t="s">
        <v>1685</v>
      </c>
      <c r="C521" s="87">
        <v>2</v>
      </c>
      <c r="D521" s="111">
        <v>5.8810967087064023E-3</v>
      </c>
      <c r="E521" s="111">
        <v>2.2342641243787895</v>
      </c>
      <c r="F521" s="87" t="s">
        <v>1602</v>
      </c>
      <c r="G521" s="87" t="b">
        <v>0</v>
      </c>
      <c r="H521" s="87" t="b">
        <v>0</v>
      </c>
      <c r="I521" s="87" t="b">
        <v>0</v>
      </c>
      <c r="J521" s="87" t="b">
        <v>0</v>
      </c>
      <c r="K521" s="87" t="b">
        <v>0</v>
      </c>
      <c r="L521" s="87" t="b">
        <v>0</v>
      </c>
    </row>
    <row r="522" spans="1:12" x14ac:dyDescent="0.25">
      <c r="A522" s="84" t="s">
        <v>275</v>
      </c>
      <c r="B522" s="87" t="s">
        <v>1737</v>
      </c>
      <c r="C522" s="87">
        <v>2</v>
      </c>
      <c r="D522" s="111">
        <v>5.8810967087064023E-3</v>
      </c>
      <c r="E522" s="111">
        <v>1.4939014348845454</v>
      </c>
      <c r="F522" s="87" t="s">
        <v>1602</v>
      </c>
      <c r="G522" s="87" t="b">
        <v>0</v>
      </c>
      <c r="H522" s="87" t="b">
        <v>0</v>
      </c>
      <c r="I522" s="87" t="b">
        <v>0</v>
      </c>
      <c r="J522" s="87" t="b">
        <v>0</v>
      </c>
      <c r="K522" s="87" t="b">
        <v>0</v>
      </c>
      <c r="L522" s="87" t="b">
        <v>0</v>
      </c>
    </row>
    <row r="523" spans="1:12" x14ac:dyDescent="0.25">
      <c r="A523" s="84" t="s">
        <v>1927</v>
      </c>
      <c r="B523" s="87" t="s">
        <v>1813</v>
      </c>
      <c r="C523" s="87">
        <v>2</v>
      </c>
      <c r="D523" s="111">
        <v>5.8810967087064023E-3</v>
      </c>
      <c r="E523" s="111">
        <v>2.2342641243787895</v>
      </c>
      <c r="F523" s="87" t="s">
        <v>1602</v>
      </c>
      <c r="G523" s="87" t="b">
        <v>0</v>
      </c>
      <c r="H523" s="87" t="b">
        <v>0</v>
      </c>
      <c r="I523" s="87" t="b">
        <v>0</v>
      </c>
      <c r="J523" s="87" t="b">
        <v>0</v>
      </c>
      <c r="K523" s="87" t="b">
        <v>1</v>
      </c>
      <c r="L523" s="87" t="b">
        <v>0</v>
      </c>
    </row>
    <row r="524" spans="1:12" x14ac:dyDescent="0.25">
      <c r="A524" s="84" t="s">
        <v>1905</v>
      </c>
      <c r="B524" s="87" t="s">
        <v>1735</v>
      </c>
      <c r="C524" s="87">
        <v>2</v>
      </c>
      <c r="D524" s="111">
        <v>5.8810967087064023E-3</v>
      </c>
      <c r="E524" s="111">
        <v>2.2342641243787895</v>
      </c>
      <c r="F524" s="87" t="s">
        <v>1602</v>
      </c>
      <c r="G524" s="87" t="b">
        <v>0</v>
      </c>
      <c r="H524" s="87" t="b">
        <v>0</v>
      </c>
      <c r="I524" s="87" t="b">
        <v>0</v>
      </c>
      <c r="J524" s="87" t="b">
        <v>0</v>
      </c>
      <c r="K524" s="87" t="b">
        <v>0</v>
      </c>
      <c r="L524" s="87" t="b">
        <v>0</v>
      </c>
    </row>
    <row r="525" spans="1:12" x14ac:dyDescent="0.25">
      <c r="A525" s="84" t="s">
        <v>1789</v>
      </c>
      <c r="B525" s="87" t="s">
        <v>1674</v>
      </c>
      <c r="C525" s="87">
        <v>2</v>
      </c>
      <c r="D525" s="111">
        <v>5.8810967087064023E-3</v>
      </c>
      <c r="E525" s="111">
        <v>2.2342641243787895</v>
      </c>
      <c r="F525" s="87" t="s">
        <v>1602</v>
      </c>
      <c r="G525" s="87" t="b">
        <v>0</v>
      </c>
      <c r="H525" s="87" t="b">
        <v>0</v>
      </c>
      <c r="I525" s="87" t="b">
        <v>0</v>
      </c>
      <c r="J525" s="87" t="b">
        <v>0</v>
      </c>
      <c r="K525" s="87" t="b">
        <v>0</v>
      </c>
      <c r="L525" s="87" t="b">
        <v>0</v>
      </c>
    </row>
    <row r="526" spans="1:12" x14ac:dyDescent="0.25">
      <c r="A526" s="84" t="s">
        <v>1703</v>
      </c>
      <c r="B526" s="87" t="s">
        <v>1645</v>
      </c>
      <c r="C526" s="87">
        <v>2</v>
      </c>
      <c r="D526" s="111">
        <v>5.8810967087064023E-3</v>
      </c>
      <c r="E526" s="111">
        <v>1.5810516106034456</v>
      </c>
      <c r="F526" s="87" t="s">
        <v>1602</v>
      </c>
      <c r="G526" s="87" t="b">
        <v>0</v>
      </c>
      <c r="H526" s="87" t="b">
        <v>0</v>
      </c>
      <c r="I526" s="87" t="b">
        <v>0</v>
      </c>
      <c r="J526" s="87" t="b">
        <v>0</v>
      </c>
      <c r="K526" s="87" t="b">
        <v>0</v>
      </c>
      <c r="L526" s="87" t="b">
        <v>0</v>
      </c>
    </row>
    <row r="527" spans="1:12" x14ac:dyDescent="0.25">
      <c r="A527" s="84" t="s">
        <v>1810</v>
      </c>
      <c r="B527" s="87" t="s">
        <v>1797</v>
      </c>
      <c r="C527" s="87">
        <v>2</v>
      </c>
      <c r="D527" s="111">
        <v>5.8810967087064023E-3</v>
      </c>
      <c r="E527" s="111">
        <v>2.2342641243787895</v>
      </c>
      <c r="F527" s="87" t="s">
        <v>1602</v>
      </c>
      <c r="G527" s="87" t="b">
        <v>0</v>
      </c>
      <c r="H527" s="87" t="b">
        <v>1</v>
      </c>
      <c r="I527" s="87" t="b">
        <v>0</v>
      </c>
      <c r="J527" s="87" t="b">
        <v>0</v>
      </c>
      <c r="K527" s="87" t="b">
        <v>0</v>
      </c>
      <c r="L527" s="87" t="b">
        <v>0</v>
      </c>
    </row>
    <row r="528" spans="1:12" x14ac:dyDescent="0.25">
      <c r="A528" s="84" t="s">
        <v>1781</v>
      </c>
      <c r="B528" s="87" t="s">
        <v>1699</v>
      </c>
      <c r="C528" s="87">
        <v>2</v>
      </c>
      <c r="D528" s="111">
        <v>5.8810967087064023E-3</v>
      </c>
      <c r="E528" s="111">
        <v>1.933234128714808</v>
      </c>
      <c r="F528" s="87" t="s">
        <v>1602</v>
      </c>
      <c r="G528" s="87" t="b">
        <v>0</v>
      </c>
      <c r="H528" s="87" t="b">
        <v>0</v>
      </c>
      <c r="I528" s="87" t="b">
        <v>0</v>
      </c>
      <c r="J528" s="87" t="b">
        <v>0</v>
      </c>
      <c r="K528" s="87" t="b">
        <v>0</v>
      </c>
      <c r="L528" s="87" t="b">
        <v>0</v>
      </c>
    </row>
    <row r="529" spans="1:12" x14ac:dyDescent="0.25">
      <c r="A529" s="84" t="s">
        <v>1759</v>
      </c>
      <c r="B529" s="87" t="s">
        <v>1908</v>
      </c>
      <c r="C529" s="87">
        <v>2</v>
      </c>
      <c r="D529" s="111">
        <v>5.8810967087064023E-3</v>
      </c>
      <c r="E529" s="111">
        <v>2.0581728653231082</v>
      </c>
      <c r="F529" s="87" t="s">
        <v>1602</v>
      </c>
      <c r="G529" s="87" t="b">
        <v>0</v>
      </c>
      <c r="H529" s="87" t="b">
        <v>0</v>
      </c>
      <c r="I529" s="87" t="b">
        <v>0</v>
      </c>
      <c r="J529" s="87" t="b">
        <v>0</v>
      </c>
      <c r="K529" s="87" t="b">
        <v>0</v>
      </c>
      <c r="L529" s="87" t="b">
        <v>0</v>
      </c>
    </row>
    <row r="530" spans="1:12" x14ac:dyDescent="0.25">
      <c r="A530" s="84" t="s">
        <v>1654</v>
      </c>
      <c r="B530" s="87" t="s">
        <v>1667</v>
      </c>
      <c r="C530" s="87">
        <v>2</v>
      </c>
      <c r="D530" s="111">
        <v>5.8810967087064023E-3</v>
      </c>
      <c r="E530" s="111">
        <v>2.2342641243787895</v>
      </c>
      <c r="F530" s="87" t="s">
        <v>1602</v>
      </c>
      <c r="G530" s="87" t="b">
        <v>1</v>
      </c>
      <c r="H530" s="87" t="b">
        <v>0</v>
      </c>
      <c r="I530" s="87" t="b">
        <v>0</v>
      </c>
      <c r="J530" s="87" t="b">
        <v>0</v>
      </c>
      <c r="K530" s="87" t="b">
        <v>0</v>
      </c>
      <c r="L530" s="87" t="b">
        <v>0</v>
      </c>
    </row>
    <row r="531" spans="1:12" x14ac:dyDescent="0.25">
      <c r="A531" s="84" t="s">
        <v>1818</v>
      </c>
      <c r="B531" s="87" t="s">
        <v>1927</v>
      </c>
      <c r="C531" s="87">
        <v>2</v>
      </c>
      <c r="D531" s="111">
        <v>5.8810967087064023E-3</v>
      </c>
      <c r="E531" s="111">
        <v>2.2342641243787895</v>
      </c>
      <c r="F531" s="87" t="s">
        <v>1602</v>
      </c>
      <c r="G531" s="87" t="b">
        <v>0</v>
      </c>
      <c r="H531" s="87" t="b">
        <v>0</v>
      </c>
      <c r="I531" s="87" t="b">
        <v>0</v>
      </c>
      <c r="J531" s="87" t="b">
        <v>0</v>
      </c>
      <c r="K531" s="87" t="b">
        <v>0</v>
      </c>
      <c r="L531" s="87" t="b">
        <v>0</v>
      </c>
    </row>
    <row r="532" spans="1:12" x14ac:dyDescent="0.25">
      <c r="A532" s="84" t="s">
        <v>1740</v>
      </c>
      <c r="B532" s="87" t="s">
        <v>1781</v>
      </c>
      <c r="C532" s="87">
        <v>2</v>
      </c>
      <c r="D532" s="111">
        <v>5.8810967087064023E-3</v>
      </c>
      <c r="E532" s="111">
        <v>2.0581728653231082</v>
      </c>
      <c r="F532" s="87" t="s">
        <v>1602</v>
      </c>
      <c r="G532" s="87" t="b">
        <v>1</v>
      </c>
      <c r="H532" s="87" t="b">
        <v>0</v>
      </c>
      <c r="I532" s="87" t="b">
        <v>0</v>
      </c>
      <c r="J532" s="87" t="b">
        <v>0</v>
      </c>
      <c r="K532" s="87" t="b">
        <v>0</v>
      </c>
      <c r="L532" s="87" t="b">
        <v>0</v>
      </c>
    </row>
    <row r="533" spans="1:12" x14ac:dyDescent="0.25">
      <c r="A533" s="84" t="s">
        <v>1788</v>
      </c>
      <c r="B533" s="87" t="s">
        <v>1796</v>
      </c>
      <c r="C533" s="87">
        <v>2</v>
      </c>
      <c r="D533" s="111">
        <v>5.8810967087064023E-3</v>
      </c>
      <c r="E533" s="111">
        <v>2.2342641243787895</v>
      </c>
      <c r="F533" s="87" t="s">
        <v>1602</v>
      </c>
      <c r="G533" s="87" t="b">
        <v>1</v>
      </c>
      <c r="H533" s="87" t="b">
        <v>0</v>
      </c>
      <c r="I533" s="87" t="b">
        <v>0</v>
      </c>
      <c r="J533" s="87" t="b">
        <v>0</v>
      </c>
      <c r="K533" s="87" t="b">
        <v>0</v>
      </c>
      <c r="L533" s="87" t="b">
        <v>0</v>
      </c>
    </row>
    <row r="534" spans="1:12" x14ac:dyDescent="0.25">
      <c r="A534" s="84" t="s">
        <v>1704</v>
      </c>
      <c r="B534" s="87" t="s">
        <v>1690</v>
      </c>
      <c r="C534" s="87">
        <v>2</v>
      </c>
      <c r="D534" s="111">
        <v>5.8810967087064023E-3</v>
      </c>
      <c r="E534" s="111">
        <v>2.2342641243787895</v>
      </c>
      <c r="F534" s="87" t="s">
        <v>1602</v>
      </c>
      <c r="G534" s="87" t="b">
        <v>0</v>
      </c>
      <c r="H534" s="87" t="b">
        <v>0</v>
      </c>
      <c r="I534" s="87" t="b">
        <v>0</v>
      </c>
      <c r="J534" s="87" t="b">
        <v>1</v>
      </c>
      <c r="K534" s="87" t="b">
        <v>0</v>
      </c>
      <c r="L534" s="87" t="b">
        <v>0</v>
      </c>
    </row>
    <row r="535" spans="1:12" x14ac:dyDescent="0.25">
      <c r="A535" s="84" t="s">
        <v>1690</v>
      </c>
      <c r="B535" s="87" t="s">
        <v>1708</v>
      </c>
      <c r="C535" s="87">
        <v>2</v>
      </c>
      <c r="D535" s="111">
        <v>5.8810967087064023E-3</v>
      </c>
      <c r="E535" s="111">
        <v>2.2342641243787895</v>
      </c>
      <c r="F535" s="87" t="s">
        <v>1602</v>
      </c>
      <c r="G535" s="87" t="b">
        <v>1</v>
      </c>
      <c r="H535" s="87" t="b">
        <v>0</v>
      </c>
      <c r="I535" s="87" t="b">
        <v>0</v>
      </c>
      <c r="J535" s="87" t="b">
        <v>0</v>
      </c>
      <c r="K535" s="87" t="b">
        <v>0</v>
      </c>
      <c r="L535" s="87" t="b">
        <v>0</v>
      </c>
    </row>
    <row r="536" spans="1:12" x14ac:dyDescent="0.25">
      <c r="A536" s="84" t="s">
        <v>1777</v>
      </c>
      <c r="B536" s="87" t="s">
        <v>1740</v>
      </c>
      <c r="C536" s="87">
        <v>2</v>
      </c>
      <c r="D536" s="111">
        <v>5.8810967087064023E-3</v>
      </c>
      <c r="E536" s="111">
        <v>2.0581728653231082</v>
      </c>
      <c r="F536" s="87" t="s">
        <v>1602</v>
      </c>
      <c r="G536" s="87" t="b">
        <v>0</v>
      </c>
      <c r="H536" s="87" t="b">
        <v>0</v>
      </c>
      <c r="I536" s="87" t="b">
        <v>0</v>
      </c>
      <c r="J536" s="87" t="b">
        <v>1</v>
      </c>
      <c r="K536" s="87" t="b">
        <v>0</v>
      </c>
      <c r="L536" s="87" t="b">
        <v>0</v>
      </c>
    </row>
    <row r="537" spans="1:12" x14ac:dyDescent="0.25">
      <c r="A537" s="84" t="s">
        <v>1708</v>
      </c>
      <c r="B537" s="87" t="s">
        <v>1724</v>
      </c>
      <c r="C537" s="87">
        <v>2</v>
      </c>
      <c r="D537" s="111">
        <v>5.8810967087064023E-3</v>
      </c>
      <c r="E537" s="111">
        <v>2.2342641243787895</v>
      </c>
      <c r="F537" s="87" t="s">
        <v>1602</v>
      </c>
      <c r="G537" s="87" t="b">
        <v>0</v>
      </c>
      <c r="H537" s="87" t="b">
        <v>0</v>
      </c>
      <c r="I537" s="87" t="b">
        <v>0</v>
      </c>
      <c r="J537" s="87" t="b">
        <v>0</v>
      </c>
      <c r="K537" s="87" t="b">
        <v>0</v>
      </c>
      <c r="L537" s="87" t="b">
        <v>0</v>
      </c>
    </row>
    <row r="538" spans="1:12" x14ac:dyDescent="0.25">
      <c r="A538" s="84" t="s">
        <v>1878</v>
      </c>
      <c r="B538" s="87" t="s">
        <v>1941</v>
      </c>
      <c r="C538" s="87">
        <v>2</v>
      </c>
      <c r="D538" s="111">
        <v>5.8810967087064023E-3</v>
      </c>
      <c r="E538" s="111">
        <v>2.2342641243787895</v>
      </c>
      <c r="F538" s="87" t="s">
        <v>1602</v>
      </c>
      <c r="G538" s="87" t="b">
        <v>0</v>
      </c>
      <c r="H538" s="87" t="b">
        <v>0</v>
      </c>
      <c r="I538" s="87" t="b">
        <v>0</v>
      </c>
      <c r="J538" s="87" t="b">
        <v>0</v>
      </c>
      <c r="K538" s="87" t="b">
        <v>0</v>
      </c>
      <c r="L538" s="87" t="b">
        <v>0</v>
      </c>
    </row>
    <row r="539" spans="1:12" x14ac:dyDescent="0.25">
      <c r="A539" s="84" t="s">
        <v>1820</v>
      </c>
      <c r="B539" s="87" t="s">
        <v>1946</v>
      </c>
      <c r="C539" s="87">
        <v>2</v>
      </c>
      <c r="D539" s="111">
        <v>5.8810967087064023E-3</v>
      </c>
      <c r="E539" s="111">
        <v>2.2342641243787895</v>
      </c>
      <c r="F539" s="87" t="s">
        <v>1602</v>
      </c>
      <c r="G539" s="87" t="b">
        <v>0</v>
      </c>
      <c r="H539" s="87" t="b">
        <v>0</v>
      </c>
      <c r="I539" s="87" t="b">
        <v>0</v>
      </c>
      <c r="J539" s="87" t="b">
        <v>1</v>
      </c>
      <c r="K539" s="87" t="b">
        <v>0</v>
      </c>
      <c r="L539" s="87" t="b">
        <v>0</v>
      </c>
    </row>
    <row r="540" spans="1:12" x14ac:dyDescent="0.25">
      <c r="A540" s="84" t="s">
        <v>1674</v>
      </c>
      <c r="B540" s="87" t="s">
        <v>1645</v>
      </c>
      <c r="C540" s="87">
        <v>2</v>
      </c>
      <c r="D540" s="111">
        <v>5.8810967087064023E-3</v>
      </c>
      <c r="E540" s="111">
        <v>1.5810516106034456</v>
      </c>
      <c r="F540" s="87" t="s">
        <v>1602</v>
      </c>
      <c r="G540" s="87" t="b">
        <v>0</v>
      </c>
      <c r="H540" s="87" t="b">
        <v>0</v>
      </c>
      <c r="I540" s="87" t="b">
        <v>0</v>
      </c>
      <c r="J540" s="87" t="b">
        <v>0</v>
      </c>
      <c r="K540" s="87" t="b">
        <v>0</v>
      </c>
      <c r="L540" s="87" t="b">
        <v>0</v>
      </c>
    </row>
    <row r="541" spans="1:12" x14ac:dyDescent="0.25">
      <c r="A541" s="84" t="s">
        <v>1908</v>
      </c>
      <c r="B541" s="87" t="s">
        <v>1940</v>
      </c>
      <c r="C541" s="87">
        <v>2</v>
      </c>
      <c r="D541" s="111">
        <v>5.8810967087064023E-3</v>
      </c>
      <c r="E541" s="111">
        <v>2.2342641243787895</v>
      </c>
      <c r="F541" s="87" t="s">
        <v>1602</v>
      </c>
      <c r="G541" s="87" t="b">
        <v>0</v>
      </c>
      <c r="H541" s="87" t="b">
        <v>0</v>
      </c>
      <c r="I541" s="87" t="b">
        <v>0</v>
      </c>
      <c r="J541" s="87" t="b">
        <v>0</v>
      </c>
      <c r="K541" s="87" t="b">
        <v>0</v>
      </c>
      <c r="L541" s="87" t="b">
        <v>0</v>
      </c>
    </row>
    <row r="542" spans="1:12" x14ac:dyDescent="0.25">
      <c r="A542" s="84" t="s">
        <v>1645</v>
      </c>
      <c r="B542" s="87" t="s">
        <v>1828</v>
      </c>
      <c r="C542" s="87">
        <v>2</v>
      </c>
      <c r="D542" s="111">
        <v>5.8810967087064023E-3</v>
      </c>
      <c r="E542" s="111">
        <v>1.5810516106034456</v>
      </c>
      <c r="F542" s="87" t="s">
        <v>1602</v>
      </c>
      <c r="G542" s="87" t="b">
        <v>0</v>
      </c>
      <c r="H542" s="87" t="b">
        <v>0</v>
      </c>
      <c r="I542" s="87" t="b">
        <v>0</v>
      </c>
      <c r="J542" s="87" t="b">
        <v>0</v>
      </c>
      <c r="K542" s="87" t="b">
        <v>0</v>
      </c>
      <c r="L542" s="87" t="b">
        <v>0</v>
      </c>
    </row>
    <row r="543" spans="1:12" x14ac:dyDescent="0.25">
      <c r="A543" s="84" t="s">
        <v>1834</v>
      </c>
      <c r="B543" s="87" t="s">
        <v>1939</v>
      </c>
      <c r="C543" s="87">
        <v>2</v>
      </c>
      <c r="D543" s="111">
        <v>5.8810967087064023E-3</v>
      </c>
      <c r="E543" s="111">
        <v>2.2342641243787895</v>
      </c>
      <c r="F543" s="87" t="s">
        <v>1602</v>
      </c>
      <c r="G543" s="87" t="b">
        <v>0</v>
      </c>
      <c r="H543" s="87" t="b">
        <v>0</v>
      </c>
      <c r="I543" s="87" t="b">
        <v>0</v>
      </c>
      <c r="J543" s="87" t="b">
        <v>0</v>
      </c>
      <c r="K543" s="87" t="b">
        <v>0</v>
      </c>
      <c r="L543" s="87" t="b">
        <v>0</v>
      </c>
    </row>
    <row r="544" spans="1:12" x14ac:dyDescent="0.25">
      <c r="A544" s="84" t="s">
        <v>1645</v>
      </c>
      <c r="B544" s="87" t="s">
        <v>1654</v>
      </c>
      <c r="C544" s="87">
        <v>2</v>
      </c>
      <c r="D544" s="111">
        <v>5.8810967087064023E-3</v>
      </c>
      <c r="E544" s="111">
        <v>1.5810516106034456</v>
      </c>
      <c r="F544" s="87" t="s">
        <v>1602</v>
      </c>
      <c r="G544" s="87" t="b">
        <v>0</v>
      </c>
      <c r="H544" s="87" t="b">
        <v>0</v>
      </c>
      <c r="I544" s="87" t="b">
        <v>0</v>
      </c>
      <c r="J544" s="87" t="b">
        <v>1</v>
      </c>
      <c r="K544" s="87" t="b">
        <v>0</v>
      </c>
      <c r="L544" s="87" t="b">
        <v>0</v>
      </c>
    </row>
    <row r="545" spans="1:12" x14ac:dyDescent="0.25">
      <c r="A545" s="84" t="s">
        <v>1699</v>
      </c>
      <c r="B545" s="87" t="s">
        <v>1810</v>
      </c>
      <c r="C545" s="87">
        <v>2</v>
      </c>
      <c r="D545" s="111">
        <v>5.8810967087064023E-3</v>
      </c>
      <c r="E545" s="111">
        <v>2.0581728653231082</v>
      </c>
      <c r="F545" s="87" t="s">
        <v>1602</v>
      </c>
      <c r="G545" s="87" t="b">
        <v>0</v>
      </c>
      <c r="H545" s="87" t="b">
        <v>0</v>
      </c>
      <c r="I545" s="87" t="b">
        <v>0</v>
      </c>
      <c r="J545" s="87" t="b">
        <v>0</v>
      </c>
      <c r="K545" s="87" t="b">
        <v>1</v>
      </c>
      <c r="L545" s="87" t="b">
        <v>0</v>
      </c>
    </row>
    <row r="546" spans="1:12" x14ac:dyDescent="0.25">
      <c r="A546" s="84" t="s">
        <v>1644</v>
      </c>
      <c r="B546" s="87" t="s">
        <v>1922</v>
      </c>
      <c r="C546" s="87">
        <v>2</v>
      </c>
      <c r="D546" s="111">
        <v>5.8810967087064023E-3</v>
      </c>
      <c r="E546" s="111">
        <v>1.5810516106034456</v>
      </c>
      <c r="F546" s="87" t="s">
        <v>1602</v>
      </c>
      <c r="G546" s="87" t="b">
        <v>0</v>
      </c>
      <c r="H546" s="87" t="b">
        <v>0</v>
      </c>
      <c r="I546" s="87" t="b">
        <v>0</v>
      </c>
      <c r="J546" s="87" t="b">
        <v>1</v>
      </c>
      <c r="K546" s="87" t="b">
        <v>0</v>
      </c>
      <c r="L546" s="87" t="b">
        <v>0</v>
      </c>
    </row>
    <row r="547" spans="1:12" x14ac:dyDescent="0.25">
      <c r="A547" s="84" t="s">
        <v>1885</v>
      </c>
      <c r="B547" s="87" t="s">
        <v>1857</v>
      </c>
      <c r="C547" s="87">
        <v>2</v>
      </c>
      <c r="D547" s="111">
        <v>5.8810967087064023E-3</v>
      </c>
      <c r="E547" s="111">
        <v>2.2342641243787895</v>
      </c>
      <c r="F547" s="87" t="s">
        <v>1602</v>
      </c>
      <c r="G547" s="87" t="b">
        <v>0</v>
      </c>
      <c r="H547" s="87" t="b">
        <v>0</v>
      </c>
      <c r="I547" s="87" t="b">
        <v>0</v>
      </c>
      <c r="J547" s="87" t="b">
        <v>0</v>
      </c>
      <c r="K547" s="87" t="b">
        <v>0</v>
      </c>
      <c r="L547" s="87" t="b">
        <v>0</v>
      </c>
    </row>
    <row r="548" spans="1:12" x14ac:dyDescent="0.25">
      <c r="A548" s="84" t="s">
        <v>1644</v>
      </c>
      <c r="B548" s="87" t="s">
        <v>1640</v>
      </c>
      <c r="C548" s="87">
        <v>2</v>
      </c>
      <c r="D548" s="111">
        <v>5.8810967087064023E-3</v>
      </c>
      <c r="E548" s="111">
        <v>1.5810516106034456</v>
      </c>
      <c r="F548" s="87" t="s">
        <v>1602</v>
      </c>
      <c r="G548" s="87" t="b">
        <v>0</v>
      </c>
      <c r="H548" s="87" t="b">
        <v>0</v>
      </c>
      <c r="I548" s="87" t="b">
        <v>0</v>
      </c>
      <c r="J548" s="87" t="b">
        <v>0</v>
      </c>
      <c r="K548" s="87" t="b">
        <v>0</v>
      </c>
      <c r="L548" s="87" t="b">
        <v>0</v>
      </c>
    </row>
    <row r="549" spans="1:12" x14ac:dyDescent="0.25">
      <c r="A549" s="84" t="s">
        <v>1833</v>
      </c>
      <c r="B549" s="87" t="s">
        <v>1644</v>
      </c>
      <c r="C549" s="87">
        <v>2</v>
      </c>
      <c r="D549" s="111">
        <v>5.8810967087064023E-3</v>
      </c>
      <c r="E549" s="111">
        <v>1.5810516106034456</v>
      </c>
      <c r="F549" s="87" t="s">
        <v>1602</v>
      </c>
      <c r="G549" s="87" t="b">
        <v>0</v>
      </c>
      <c r="H549" s="87" t="b">
        <v>0</v>
      </c>
      <c r="I549" s="87" t="b">
        <v>0</v>
      </c>
      <c r="J549" s="87" t="b">
        <v>0</v>
      </c>
      <c r="K549" s="87" t="b">
        <v>0</v>
      </c>
      <c r="L549" s="87" t="b">
        <v>0</v>
      </c>
    </row>
    <row r="550" spans="1:12" x14ac:dyDescent="0.25">
      <c r="A550" s="84" t="s">
        <v>1796</v>
      </c>
      <c r="B550" s="87" t="s">
        <v>1777</v>
      </c>
      <c r="C550" s="87">
        <v>2</v>
      </c>
      <c r="D550" s="111">
        <v>5.8810967087064023E-3</v>
      </c>
      <c r="E550" s="111">
        <v>2.2342641243787895</v>
      </c>
      <c r="F550" s="87" t="s">
        <v>1602</v>
      </c>
      <c r="G550" s="87" t="b">
        <v>0</v>
      </c>
      <c r="H550" s="87" t="b">
        <v>0</v>
      </c>
      <c r="I550" s="87" t="b">
        <v>0</v>
      </c>
      <c r="J550" s="87" t="b">
        <v>0</v>
      </c>
      <c r="K550" s="87" t="b">
        <v>0</v>
      </c>
      <c r="L550" s="87" t="b">
        <v>0</v>
      </c>
    </row>
    <row r="551" spans="1:12" x14ac:dyDescent="0.25">
      <c r="A551" s="84" t="s">
        <v>1735</v>
      </c>
      <c r="B551" s="87" t="s">
        <v>1644</v>
      </c>
      <c r="C551" s="87">
        <v>2</v>
      </c>
      <c r="D551" s="111">
        <v>5.8810967087064023E-3</v>
      </c>
      <c r="E551" s="111">
        <v>1.5810516106034456</v>
      </c>
      <c r="F551" s="87" t="s">
        <v>1602</v>
      </c>
      <c r="G551" s="87" t="b">
        <v>0</v>
      </c>
      <c r="H551" s="87" t="b">
        <v>0</v>
      </c>
      <c r="I551" s="87" t="b">
        <v>0</v>
      </c>
      <c r="J551" s="87" t="b">
        <v>0</v>
      </c>
      <c r="K551" s="87" t="b">
        <v>0</v>
      </c>
      <c r="L551" s="87" t="b">
        <v>0</v>
      </c>
    </row>
    <row r="552" spans="1:12" x14ac:dyDescent="0.25">
      <c r="A552" s="84" t="s">
        <v>1843</v>
      </c>
      <c r="B552" s="87" t="s">
        <v>1901</v>
      </c>
      <c r="C552" s="87">
        <v>2</v>
      </c>
      <c r="D552" s="111">
        <v>5.8810967087064023E-3</v>
      </c>
      <c r="E552" s="111">
        <v>2.2342641243787895</v>
      </c>
      <c r="F552" s="87" t="s">
        <v>1602</v>
      </c>
      <c r="G552" s="87" t="b">
        <v>0</v>
      </c>
      <c r="H552" s="87" t="b">
        <v>0</v>
      </c>
      <c r="I552" s="87" t="b">
        <v>0</v>
      </c>
      <c r="J552" s="87" t="b">
        <v>0</v>
      </c>
      <c r="K552" s="87" t="b">
        <v>0</v>
      </c>
      <c r="L552" s="87" t="b">
        <v>0</v>
      </c>
    </row>
    <row r="553" spans="1:12" x14ac:dyDescent="0.25">
      <c r="A553" s="84" t="s">
        <v>1940</v>
      </c>
      <c r="B553" s="87" t="s">
        <v>1789</v>
      </c>
      <c r="C553" s="87">
        <v>2</v>
      </c>
      <c r="D553" s="111">
        <v>5.8810967087064023E-3</v>
      </c>
      <c r="E553" s="111">
        <v>2.2342641243787895</v>
      </c>
      <c r="F553" s="87" t="s">
        <v>1602</v>
      </c>
      <c r="G553" s="87" t="b">
        <v>0</v>
      </c>
      <c r="H553" s="87" t="b">
        <v>0</v>
      </c>
      <c r="I553" s="87" t="b">
        <v>0</v>
      </c>
      <c r="J553" s="87" t="b">
        <v>0</v>
      </c>
      <c r="K553" s="87" t="b">
        <v>0</v>
      </c>
      <c r="L553" s="87" t="b">
        <v>0</v>
      </c>
    </row>
    <row r="554" spans="1:12" x14ac:dyDescent="0.25">
      <c r="A554" s="84" t="s">
        <v>1881</v>
      </c>
      <c r="B554" s="87" t="s">
        <v>1866</v>
      </c>
      <c r="C554" s="87">
        <v>2</v>
      </c>
      <c r="D554" s="111">
        <v>5.8810967087064023E-3</v>
      </c>
      <c r="E554" s="111">
        <v>2.2342641243787895</v>
      </c>
      <c r="F554" s="87" t="s">
        <v>1602</v>
      </c>
      <c r="G554" s="87" t="b">
        <v>0</v>
      </c>
      <c r="H554" s="87" t="b">
        <v>0</v>
      </c>
      <c r="I554" s="87" t="b">
        <v>0</v>
      </c>
      <c r="J554" s="87" t="b">
        <v>0</v>
      </c>
      <c r="K554" s="87" t="b">
        <v>0</v>
      </c>
      <c r="L554" s="87" t="b">
        <v>0</v>
      </c>
    </row>
    <row r="555" spans="1:12" x14ac:dyDescent="0.25">
      <c r="A555" s="84" t="s">
        <v>1946</v>
      </c>
      <c r="B555" s="87" t="s">
        <v>1644</v>
      </c>
      <c r="C555" s="87">
        <v>2</v>
      </c>
      <c r="D555" s="111">
        <v>5.8810967087064023E-3</v>
      </c>
      <c r="E555" s="111">
        <v>1.5810516106034456</v>
      </c>
      <c r="F555" s="87" t="s">
        <v>1602</v>
      </c>
      <c r="G555" s="87" t="b">
        <v>1</v>
      </c>
      <c r="H555" s="87" t="b">
        <v>0</v>
      </c>
      <c r="I555" s="87" t="b">
        <v>0</v>
      </c>
      <c r="J555" s="87" t="b">
        <v>0</v>
      </c>
      <c r="K555" s="87" t="b">
        <v>0</v>
      </c>
      <c r="L555" s="87" t="b">
        <v>0</v>
      </c>
    </row>
    <row r="556" spans="1:12" x14ac:dyDescent="0.25">
      <c r="A556" s="84" t="s">
        <v>1845</v>
      </c>
      <c r="B556" s="87" t="s">
        <v>1898</v>
      </c>
      <c r="C556" s="87">
        <v>2</v>
      </c>
      <c r="D556" s="111">
        <v>5.8810967087064023E-3</v>
      </c>
      <c r="E556" s="111">
        <v>2.2342641243787895</v>
      </c>
      <c r="F556" s="87" t="s">
        <v>1602</v>
      </c>
      <c r="G556" s="87" t="b">
        <v>0</v>
      </c>
      <c r="H556" s="87" t="b">
        <v>0</v>
      </c>
      <c r="I556" s="87" t="b">
        <v>0</v>
      </c>
      <c r="J556" s="87" t="b">
        <v>1</v>
      </c>
      <c r="K556" s="87" t="b">
        <v>0</v>
      </c>
      <c r="L556" s="87" t="b">
        <v>0</v>
      </c>
    </row>
    <row r="557" spans="1:12" x14ac:dyDescent="0.25">
      <c r="A557" s="84" t="s">
        <v>1802</v>
      </c>
      <c r="B557" s="87" t="s">
        <v>1738</v>
      </c>
      <c r="C557" s="87">
        <v>2</v>
      </c>
      <c r="D557" s="111">
        <v>5.8810967087064023E-3</v>
      </c>
      <c r="E557" s="111">
        <v>2.0581728653231082</v>
      </c>
      <c r="F557" s="87" t="s">
        <v>1602</v>
      </c>
      <c r="G557" s="87" t="b">
        <v>0</v>
      </c>
      <c r="H557" s="87" t="b">
        <v>0</v>
      </c>
      <c r="I557" s="87" t="b">
        <v>0</v>
      </c>
      <c r="J557" s="87" t="b">
        <v>0</v>
      </c>
      <c r="K557" s="87" t="b">
        <v>0</v>
      </c>
      <c r="L557" s="87" t="b">
        <v>0</v>
      </c>
    </row>
    <row r="558" spans="1:12" x14ac:dyDescent="0.25">
      <c r="A558" s="84" t="s">
        <v>1724</v>
      </c>
      <c r="B558" s="87" t="s">
        <v>1703</v>
      </c>
      <c r="C558" s="87">
        <v>2</v>
      </c>
      <c r="D558" s="111">
        <v>5.8810967087064023E-3</v>
      </c>
      <c r="E558" s="111">
        <v>2.2342641243787895</v>
      </c>
      <c r="F558" s="87" t="s">
        <v>1602</v>
      </c>
      <c r="G558" s="87" t="b">
        <v>0</v>
      </c>
      <c r="H558" s="87" t="b">
        <v>0</v>
      </c>
      <c r="I558" s="87" t="b">
        <v>0</v>
      </c>
      <c r="J558" s="87" t="b">
        <v>0</v>
      </c>
      <c r="K558" s="87" t="b">
        <v>0</v>
      </c>
      <c r="L558" s="87" t="b">
        <v>0</v>
      </c>
    </row>
    <row r="559" spans="1:12" x14ac:dyDescent="0.25">
      <c r="A559" s="84" t="s">
        <v>1738</v>
      </c>
      <c r="B559" s="87" t="s">
        <v>1705</v>
      </c>
      <c r="C559" s="87">
        <v>2</v>
      </c>
      <c r="D559" s="111">
        <v>5.8810967087064023E-3</v>
      </c>
      <c r="E559" s="111">
        <v>2.0581728653231082</v>
      </c>
      <c r="F559" s="87" t="s">
        <v>1602</v>
      </c>
      <c r="G559" s="87" t="b">
        <v>0</v>
      </c>
      <c r="H559" s="87" t="b">
        <v>0</v>
      </c>
      <c r="I559" s="87" t="b">
        <v>0</v>
      </c>
      <c r="J559" s="87" t="b">
        <v>0</v>
      </c>
      <c r="K559" s="87" t="b">
        <v>0</v>
      </c>
      <c r="L559" s="87" t="b">
        <v>0</v>
      </c>
    </row>
    <row r="560" spans="1:12" x14ac:dyDescent="0.25">
      <c r="A560" s="84" t="s">
        <v>1939</v>
      </c>
      <c r="B560" s="87" t="s">
        <v>1843</v>
      </c>
      <c r="C560" s="87">
        <v>2</v>
      </c>
      <c r="D560" s="111">
        <v>5.8810967087064023E-3</v>
      </c>
      <c r="E560" s="111">
        <v>2.2342641243787895</v>
      </c>
      <c r="F560" s="87" t="s">
        <v>1602</v>
      </c>
      <c r="G560" s="87" t="b">
        <v>0</v>
      </c>
      <c r="H560" s="87" t="b">
        <v>0</v>
      </c>
      <c r="I560" s="87" t="b">
        <v>0</v>
      </c>
      <c r="J560" s="87" t="b">
        <v>0</v>
      </c>
      <c r="K560" s="87" t="b">
        <v>0</v>
      </c>
      <c r="L560" s="87" t="b">
        <v>0</v>
      </c>
    </row>
    <row r="561" spans="1:12" x14ac:dyDescent="0.25">
      <c r="A561" s="84" t="s">
        <v>1828</v>
      </c>
      <c r="B561" s="87" t="s">
        <v>1905</v>
      </c>
      <c r="C561" s="87">
        <v>2</v>
      </c>
      <c r="D561" s="111">
        <v>5.8810967087064023E-3</v>
      </c>
      <c r="E561" s="111">
        <v>2.2342641243787895</v>
      </c>
      <c r="F561" s="87" t="s">
        <v>1602</v>
      </c>
      <c r="G561" s="87" t="b">
        <v>0</v>
      </c>
      <c r="H561" s="87" t="b">
        <v>0</v>
      </c>
      <c r="I561" s="87" t="b">
        <v>0</v>
      </c>
      <c r="J561" s="87" t="b">
        <v>0</v>
      </c>
      <c r="K561" s="87" t="b">
        <v>0</v>
      </c>
      <c r="L561" s="87" t="b">
        <v>0</v>
      </c>
    </row>
    <row r="562" spans="1:12" x14ac:dyDescent="0.25">
      <c r="A562" s="84" t="s">
        <v>1901</v>
      </c>
      <c r="B562" s="87" t="s">
        <v>1818</v>
      </c>
      <c r="C562" s="87">
        <v>2</v>
      </c>
      <c r="D562" s="111">
        <v>5.8810967087064023E-3</v>
      </c>
      <c r="E562" s="111">
        <v>2.2342641243787895</v>
      </c>
      <c r="F562" s="87" t="s">
        <v>1602</v>
      </c>
      <c r="G562" s="87" t="b">
        <v>0</v>
      </c>
      <c r="H562" s="87" t="b">
        <v>0</v>
      </c>
      <c r="I562" s="87" t="b">
        <v>0</v>
      </c>
      <c r="J562" s="87" t="b">
        <v>0</v>
      </c>
      <c r="K562" s="87" t="b">
        <v>0</v>
      </c>
      <c r="L562" s="87" t="b">
        <v>0</v>
      </c>
    </row>
    <row r="563" spans="1:12" x14ac:dyDescent="0.25">
      <c r="A563" s="84" t="s">
        <v>1813</v>
      </c>
      <c r="B563" s="87" t="s">
        <v>1881</v>
      </c>
      <c r="C563" s="87">
        <v>2</v>
      </c>
      <c r="D563" s="111">
        <v>5.8810967087064023E-3</v>
      </c>
      <c r="E563" s="111">
        <v>2.2342641243787895</v>
      </c>
      <c r="F563" s="87" t="s">
        <v>1602</v>
      </c>
      <c r="G563" s="87" t="b">
        <v>0</v>
      </c>
      <c r="H563" s="87" t="b">
        <v>1</v>
      </c>
      <c r="I563" s="87" t="b">
        <v>0</v>
      </c>
      <c r="J563" s="87" t="b">
        <v>0</v>
      </c>
      <c r="K563" s="87" t="b">
        <v>0</v>
      </c>
      <c r="L563" s="87" t="b">
        <v>0</v>
      </c>
    </row>
    <row r="564" spans="1:12" x14ac:dyDescent="0.25">
      <c r="A564" s="84" t="s">
        <v>1942</v>
      </c>
      <c r="B564" s="87" t="s">
        <v>1834</v>
      </c>
      <c r="C564" s="87">
        <v>2</v>
      </c>
      <c r="D564" s="111">
        <v>5.8810967087064023E-3</v>
      </c>
      <c r="E564" s="111">
        <v>2.2342641243787895</v>
      </c>
      <c r="F564" s="87" t="s">
        <v>1602</v>
      </c>
      <c r="G564" s="87" t="b">
        <v>0</v>
      </c>
      <c r="H564" s="87" t="b">
        <v>0</v>
      </c>
      <c r="I564" s="87" t="b">
        <v>0</v>
      </c>
      <c r="J564" s="87" t="b">
        <v>0</v>
      </c>
      <c r="K564" s="87" t="b">
        <v>0</v>
      </c>
      <c r="L564" s="87" t="b">
        <v>0</v>
      </c>
    </row>
    <row r="565" spans="1:12" x14ac:dyDescent="0.25">
      <c r="A565" s="84" t="s">
        <v>1644</v>
      </c>
      <c r="B565" s="87" t="s">
        <v>1885</v>
      </c>
      <c r="C565" s="87">
        <v>2</v>
      </c>
      <c r="D565" s="111">
        <v>5.8810967087064023E-3</v>
      </c>
      <c r="E565" s="111">
        <v>1.5810516106034456</v>
      </c>
      <c r="F565" s="87" t="s">
        <v>1602</v>
      </c>
      <c r="G565" s="87" t="b">
        <v>0</v>
      </c>
      <c r="H565" s="87" t="b">
        <v>0</v>
      </c>
      <c r="I565" s="87" t="b">
        <v>0</v>
      </c>
      <c r="J565" s="87" t="b">
        <v>0</v>
      </c>
      <c r="K565" s="87" t="b">
        <v>0</v>
      </c>
      <c r="L565" s="87" t="b">
        <v>0</v>
      </c>
    </row>
    <row r="566" spans="1:12" x14ac:dyDescent="0.25">
      <c r="A566" s="84" t="s">
        <v>1647</v>
      </c>
      <c r="B566" s="87" t="s">
        <v>280</v>
      </c>
      <c r="C566" s="87">
        <v>3</v>
      </c>
      <c r="D566" s="111">
        <v>9.5062103893888798E-3</v>
      </c>
      <c r="E566" s="111">
        <v>1.2504200023088941</v>
      </c>
      <c r="F566" s="87" t="s">
        <v>1603</v>
      </c>
      <c r="G566" s="87" t="b">
        <v>0</v>
      </c>
      <c r="H566" s="87" t="b">
        <v>0</v>
      </c>
      <c r="I566" s="87" t="b">
        <v>0</v>
      </c>
      <c r="J566" s="87" t="b">
        <v>0</v>
      </c>
      <c r="K566" s="87" t="b">
        <v>0</v>
      </c>
      <c r="L566" s="87" t="b">
        <v>0</v>
      </c>
    </row>
    <row r="567" spans="1:12" x14ac:dyDescent="0.25">
      <c r="A567" s="84" t="s">
        <v>1722</v>
      </c>
      <c r="B567" s="87" t="s">
        <v>1696</v>
      </c>
      <c r="C567" s="87">
        <v>3</v>
      </c>
      <c r="D567" s="111">
        <v>9.5062103893888798E-3</v>
      </c>
      <c r="E567" s="111">
        <v>1.3473300153169503</v>
      </c>
      <c r="F567" s="87" t="s">
        <v>1603</v>
      </c>
      <c r="G567" s="87" t="b">
        <v>0</v>
      </c>
      <c r="H567" s="87" t="b">
        <v>0</v>
      </c>
      <c r="I567" s="87" t="b">
        <v>0</v>
      </c>
      <c r="J567" s="87" t="b">
        <v>0</v>
      </c>
      <c r="K567" s="87" t="b">
        <v>0</v>
      </c>
      <c r="L567" s="87" t="b">
        <v>0</v>
      </c>
    </row>
    <row r="568" spans="1:12" x14ac:dyDescent="0.25">
      <c r="A568" s="84" t="s">
        <v>1651</v>
      </c>
      <c r="B568" s="87" t="s">
        <v>1709</v>
      </c>
      <c r="C568" s="87">
        <v>3</v>
      </c>
      <c r="D568" s="111">
        <v>9.5062103893888798E-3</v>
      </c>
      <c r="E568" s="111">
        <v>1.3473300153169503</v>
      </c>
      <c r="F568" s="87" t="s">
        <v>1603</v>
      </c>
      <c r="G568" s="87" t="b">
        <v>0</v>
      </c>
      <c r="H568" s="87" t="b">
        <v>0</v>
      </c>
      <c r="I568" s="87" t="b">
        <v>0</v>
      </c>
      <c r="J568" s="87" t="b">
        <v>0</v>
      </c>
      <c r="K568" s="87" t="b">
        <v>0</v>
      </c>
      <c r="L568" s="87" t="b">
        <v>0</v>
      </c>
    </row>
    <row r="569" spans="1:12" x14ac:dyDescent="0.25">
      <c r="A569" s="84" t="s">
        <v>1696</v>
      </c>
      <c r="B569" s="87" t="s">
        <v>1758</v>
      </c>
      <c r="C569" s="87">
        <v>3</v>
      </c>
      <c r="D569" s="111">
        <v>9.5062103893888798E-3</v>
      </c>
      <c r="E569" s="111">
        <v>1.4722687519252504</v>
      </c>
      <c r="F569" s="87" t="s">
        <v>1603</v>
      </c>
      <c r="G569" s="87" t="b">
        <v>0</v>
      </c>
      <c r="H569" s="87" t="b">
        <v>0</v>
      </c>
      <c r="I569" s="87" t="b">
        <v>0</v>
      </c>
      <c r="J569" s="87" t="b">
        <v>0</v>
      </c>
      <c r="K569" s="87" t="b">
        <v>0</v>
      </c>
      <c r="L569" s="87" t="b">
        <v>0</v>
      </c>
    </row>
    <row r="570" spans="1:12" x14ac:dyDescent="0.25">
      <c r="A570" s="84" t="s">
        <v>329</v>
      </c>
      <c r="B570" s="87" t="s">
        <v>328</v>
      </c>
      <c r="C570" s="87">
        <v>2</v>
      </c>
      <c r="D570" s="111">
        <v>1.0044657994098156E-2</v>
      </c>
      <c r="E570" s="111">
        <v>1.6483600109809315</v>
      </c>
      <c r="F570" s="87" t="s">
        <v>1603</v>
      </c>
      <c r="G570" s="87" t="b">
        <v>0</v>
      </c>
      <c r="H570" s="87" t="b">
        <v>0</v>
      </c>
      <c r="I570" s="87" t="b">
        <v>0</v>
      </c>
      <c r="J570" s="87" t="b">
        <v>0</v>
      </c>
      <c r="K570" s="87" t="b">
        <v>0</v>
      </c>
      <c r="L570" s="87" t="b">
        <v>0</v>
      </c>
    </row>
    <row r="571" spans="1:12" x14ac:dyDescent="0.25">
      <c r="A571" s="84" t="s">
        <v>1712</v>
      </c>
      <c r="B571" s="87" t="s">
        <v>1669</v>
      </c>
      <c r="C571" s="87">
        <v>2</v>
      </c>
      <c r="D571" s="111">
        <v>1.0044657994098156E-2</v>
      </c>
      <c r="E571" s="111">
        <v>1.6483600109809315</v>
      </c>
      <c r="F571" s="87" t="s">
        <v>1603</v>
      </c>
      <c r="G571" s="87" t="b">
        <v>0</v>
      </c>
      <c r="H571" s="87" t="b">
        <v>1</v>
      </c>
      <c r="I571" s="87" t="b">
        <v>0</v>
      </c>
      <c r="J571" s="87" t="b">
        <v>0</v>
      </c>
      <c r="K571" s="87" t="b">
        <v>0</v>
      </c>
      <c r="L571" s="87" t="b">
        <v>0</v>
      </c>
    </row>
    <row r="572" spans="1:12" x14ac:dyDescent="0.25">
      <c r="A572" s="84" t="s">
        <v>1921</v>
      </c>
      <c r="B572" s="87" t="s">
        <v>1747</v>
      </c>
      <c r="C572" s="87">
        <v>2</v>
      </c>
      <c r="D572" s="111">
        <v>1.0044657994098156E-2</v>
      </c>
      <c r="E572" s="111">
        <v>1.6483600109809315</v>
      </c>
      <c r="F572" s="87" t="s">
        <v>1603</v>
      </c>
      <c r="G572" s="87" t="b">
        <v>0</v>
      </c>
      <c r="H572" s="87" t="b">
        <v>0</v>
      </c>
      <c r="I572" s="87" t="b">
        <v>0</v>
      </c>
      <c r="J572" s="87" t="b">
        <v>0</v>
      </c>
      <c r="K572" s="87" t="b">
        <v>0</v>
      </c>
      <c r="L572" s="87" t="b">
        <v>0</v>
      </c>
    </row>
    <row r="573" spans="1:12" x14ac:dyDescent="0.25">
      <c r="A573" s="84" t="s">
        <v>1667</v>
      </c>
      <c r="B573" s="87" t="s">
        <v>1903</v>
      </c>
      <c r="C573" s="87">
        <v>2</v>
      </c>
      <c r="D573" s="111">
        <v>1.0044657994098156E-2</v>
      </c>
      <c r="E573" s="111">
        <v>1.6483600109809315</v>
      </c>
      <c r="F573" s="87" t="s">
        <v>1603</v>
      </c>
      <c r="G573" s="87" t="b">
        <v>0</v>
      </c>
      <c r="H573" s="87" t="b">
        <v>0</v>
      </c>
      <c r="I573" s="87" t="b">
        <v>0</v>
      </c>
      <c r="J573" s="87" t="b">
        <v>0</v>
      </c>
      <c r="K573" s="87" t="b">
        <v>0</v>
      </c>
      <c r="L573" s="87" t="b">
        <v>0</v>
      </c>
    </row>
    <row r="574" spans="1:12" x14ac:dyDescent="0.25">
      <c r="A574" s="84" t="s">
        <v>1794</v>
      </c>
      <c r="B574" s="87" t="s">
        <v>1854</v>
      </c>
      <c r="C574" s="87">
        <v>2</v>
      </c>
      <c r="D574" s="111">
        <v>1.0044657994098156E-2</v>
      </c>
      <c r="E574" s="111">
        <v>1.6483600109809315</v>
      </c>
      <c r="F574" s="87" t="s">
        <v>1603</v>
      </c>
      <c r="G574" s="87" t="b">
        <v>0</v>
      </c>
      <c r="H574" s="87" t="b">
        <v>0</v>
      </c>
      <c r="I574" s="87" t="b">
        <v>0</v>
      </c>
      <c r="J574" s="87" t="b">
        <v>0</v>
      </c>
      <c r="K574" s="87" t="b">
        <v>0</v>
      </c>
      <c r="L574" s="87" t="b">
        <v>0</v>
      </c>
    </row>
    <row r="575" spans="1:12" x14ac:dyDescent="0.25">
      <c r="A575" s="84" t="s">
        <v>334</v>
      </c>
      <c r="B575" s="87" t="s">
        <v>1722</v>
      </c>
      <c r="C575" s="87">
        <v>2</v>
      </c>
      <c r="D575" s="111">
        <v>1.0044657994098156E-2</v>
      </c>
      <c r="E575" s="111">
        <v>1.3473300153169503</v>
      </c>
      <c r="F575" s="87" t="s">
        <v>1603</v>
      </c>
      <c r="G575" s="87" t="b">
        <v>0</v>
      </c>
      <c r="H575" s="87" t="b">
        <v>0</v>
      </c>
      <c r="I575" s="87" t="b">
        <v>0</v>
      </c>
      <c r="J575" s="87" t="b">
        <v>0</v>
      </c>
      <c r="K575" s="87" t="b">
        <v>0</v>
      </c>
      <c r="L575" s="87" t="b">
        <v>0</v>
      </c>
    </row>
    <row r="576" spans="1:12" x14ac:dyDescent="0.25">
      <c r="A576" s="84" t="s">
        <v>1747</v>
      </c>
      <c r="B576" s="87" t="s">
        <v>1837</v>
      </c>
      <c r="C576" s="87">
        <v>2</v>
      </c>
      <c r="D576" s="111">
        <v>1.0044657994098156E-2</v>
      </c>
      <c r="E576" s="111">
        <v>1.6483600109809315</v>
      </c>
      <c r="F576" s="87" t="s">
        <v>1603</v>
      </c>
      <c r="G576" s="87" t="b">
        <v>0</v>
      </c>
      <c r="H576" s="87" t="b">
        <v>0</v>
      </c>
      <c r="I576" s="87" t="b">
        <v>0</v>
      </c>
      <c r="J576" s="87" t="b">
        <v>0</v>
      </c>
      <c r="K576" s="87" t="b">
        <v>0</v>
      </c>
      <c r="L576" s="87" t="b">
        <v>0</v>
      </c>
    </row>
    <row r="577" spans="1:12" x14ac:dyDescent="0.25">
      <c r="A577" s="84" t="s">
        <v>280</v>
      </c>
      <c r="B577" s="87" t="s">
        <v>1712</v>
      </c>
      <c r="C577" s="87">
        <v>2</v>
      </c>
      <c r="D577" s="111">
        <v>1.0044657994098156E-2</v>
      </c>
      <c r="E577" s="111">
        <v>1.2504200023088941</v>
      </c>
      <c r="F577" s="87" t="s">
        <v>1603</v>
      </c>
      <c r="G577" s="87" t="b">
        <v>0</v>
      </c>
      <c r="H577" s="87" t="b">
        <v>0</v>
      </c>
      <c r="I577" s="87" t="b">
        <v>0</v>
      </c>
      <c r="J577" s="87" t="b">
        <v>0</v>
      </c>
      <c r="K577" s="87" t="b">
        <v>1</v>
      </c>
      <c r="L577" s="87" t="b">
        <v>0</v>
      </c>
    </row>
    <row r="578" spans="1:12" x14ac:dyDescent="0.25">
      <c r="A578" s="84" t="s">
        <v>1758</v>
      </c>
      <c r="B578" s="87" t="s">
        <v>1772</v>
      </c>
      <c r="C578" s="87">
        <v>2</v>
      </c>
      <c r="D578" s="111">
        <v>1.0044657994098156E-2</v>
      </c>
      <c r="E578" s="111">
        <v>1.4722687519252504</v>
      </c>
      <c r="F578" s="87" t="s">
        <v>1603</v>
      </c>
      <c r="G578" s="87" t="b">
        <v>0</v>
      </c>
      <c r="H578" s="87" t="b">
        <v>0</v>
      </c>
      <c r="I578" s="87" t="b">
        <v>0</v>
      </c>
      <c r="J578" s="87" t="b">
        <v>0</v>
      </c>
      <c r="K578" s="87" t="b">
        <v>0</v>
      </c>
      <c r="L578" s="87" t="b">
        <v>0</v>
      </c>
    </row>
    <row r="579" spans="1:12" x14ac:dyDescent="0.25">
      <c r="A579" s="84" t="s">
        <v>1669</v>
      </c>
      <c r="B579" s="87" t="s">
        <v>1651</v>
      </c>
      <c r="C579" s="87">
        <v>2</v>
      </c>
      <c r="D579" s="111">
        <v>1.0044657994098156E-2</v>
      </c>
      <c r="E579" s="111">
        <v>1.4722687519252504</v>
      </c>
      <c r="F579" s="87" t="s">
        <v>1603</v>
      </c>
      <c r="G579" s="87" t="b">
        <v>0</v>
      </c>
      <c r="H579" s="87" t="b">
        <v>0</v>
      </c>
      <c r="I579" s="87" t="b">
        <v>0</v>
      </c>
      <c r="J579" s="87" t="b">
        <v>0</v>
      </c>
      <c r="K579" s="87" t="b">
        <v>0</v>
      </c>
      <c r="L579" s="87" t="b">
        <v>0</v>
      </c>
    </row>
    <row r="580" spans="1:12" x14ac:dyDescent="0.25">
      <c r="A580" s="84" t="s">
        <v>1765</v>
      </c>
      <c r="B580" s="87" t="s">
        <v>1647</v>
      </c>
      <c r="C580" s="87">
        <v>2</v>
      </c>
      <c r="D580" s="111">
        <v>1.0044657994098156E-2</v>
      </c>
      <c r="E580" s="111">
        <v>1.6483600109809315</v>
      </c>
      <c r="F580" s="87" t="s">
        <v>1603</v>
      </c>
      <c r="G580" s="87" t="b">
        <v>0</v>
      </c>
      <c r="H580" s="87" t="b">
        <v>0</v>
      </c>
      <c r="I580" s="87" t="b">
        <v>0</v>
      </c>
      <c r="J580" s="87" t="b">
        <v>0</v>
      </c>
      <c r="K580" s="87" t="b">
        <v>0</v>
      </c>
      <c r="L580" s="87" t="b">
        <v>0</v>
      </c>
    </row>
    <row r="581" spans="1:12" x14ac:dyDescent="0.25">
      <c r="A581" s="84" t="s">
        <v>331</v>
      </c>
      <c r="B581" s="87" t="s">
        <v>330</v>
      </c>
      <c r="C581" s="87">
        <v>2</v>
      </c>
      <c r="D581" s="111">
        <v>1.0044657994098156E-2</v>
      </c>
      <c r="E581" s="111">
        <v>1.6483600109809315</v>
      </c>
      <c r="F581" s="87" t="s">
        <v>1603</v>
      </c>
      <c r="G581" s="87" t="b">
        <v>0</v>
      </c>
      <c r="H581" s="87" t="b">
        <v>0</v>
      </c>
      <c r="I581" s="87" t="b">
        <v>0</v>
      </c>
      <c r="J581" s="87" t="b">
        <v>0</v>
      </c>
      <c r="K581" s="87" t="b">
        <v>0</v>
      </c>
      <c r="L581" s="87" t="b">
        <v>0</v>
      </c>
    </row>
    <row r="582" spans="1:12" x14ac:dyDescent="0.25">
      <c r="A582" s="84" t="s">
        <v>280</v>
      </c>
      <c r="B582" s="87" t="s">
        <v>334</v>
      </c>
      <c r="C582" s="87">
        <v>2</v>
      </c>
      <c r="D582" s="111">
        <v>1.0044657994098156E-2</v>
      </c>
      <c r="E582" s="111">
        <v>1.2504200023088941</v>
      </c>
      <c r="F582" s="87" t="s">
        <v>1603</v>
      </c>
      <c r="G582" s="87" t="b">
        <v>0</v>
      </c>
      <c r="H582" s="87" t="b">
        <v>0</v>
      </c>
      <c r="I582" s="87" t="b">
        <v>0</v>
      </c>
      <c r="J582" s="87" t="b">
        <v>0</v>
      </c>
      <c r="K582" s="87" t="b">
        <v>0</v>
      </c>
      <c r="L582" s="87" t="b">
        <v>0</v>
      </c>
    </row>
    <row r="583" spans="1:12" x14ac:dyDescent="0.25">
      <c r="A583" s="84" t="s">
        <v>1752</v>
      </c>
      <c r="B583" s="87" t="s">
        <v>1667</v>
      </c>
      <c r="C583" s="87">
        <v>2</v>
      </c>
      <c r="D583" s="111">
        <v>1.0044657994098156E-2</v>
      </c>
      <c r="E583" s="111">
        <v>1.6483600109809315</v>
      </c>
      <c r="F583" s="87" t="s">
        <v>1603</v>
      </c>
      <c r="G583" s="87" t="b">
        <v>0</v>
      </c>
      <c r="H583" s="87" t="b">
        <v>0</v>
      </c>
      <c r="I583" s="87" t="b">
        <v>0</v>
      </c>
      <c r="J583" s="87" t="b">
        <v>0</v>
      </c>
      <c r="K583" s="87" t="b">
        <v>0</v>
      </c>
      <c r="L583" s="87" t="b">
        <v>0</v>
      </c>
    </row>
    <row r="584" spans="1:12" x14ac:dyDescent="0.25">
      <c r="A584" s="84" t="s">
        <v>333</v>
      </c>
      <c r="B584" s="87" t="s">
        <v>332</v>
      </c>
      <c r="C584" s="87">
        <v>2</v>
      </c>
      <c r="D584" s="111">
        <v>1.0044657994098156E-2</v>
      </c>
      <c r="E584" s="111">
        <v>1.6483600109809315</v>
      </c>
      <c r="F584" s="87" t="s">
        <v>1603</v>
      </c>
      <c r="G584" s="87" t="b">
        <v>0</v>
      </c>
      <c r="H584" s="87" t="b">
        <v>0</v>
      </c>
      <c r="I584" s="87" t="b">
        <v>0</v>
      </c>
      <c r="J584" s="87" t="b">
        <v>0</v>
      </c>
      <c r="K584" s="87" t="b">
        <v>0</v>
      </c>
      <c r="L584" s="87" t="b">
        <v>0</v>
      </c>
    </row>
    <row r="585" spans="1:12" x14ac:dyDescent="0.25">
      <c r="A585" s="84" t="s">
        <v>1837</v>
      </c>
      <c r="B585" s="87" t="s">
        <v>1889</v>
      </c>
      <c r="C585" s="87">
        <v>2</v>
      </c>
      <c r="D585" s="111">
        <v>1.0044657994098156E-2</v>
      </c>
      <c r="E585" s="111">
        <v>1.6483600109809315</v>
      </c>
      <c r="F585" s="87" t="s">
        <v>1603</v>
      </c>
      <c r="G585" s="87" t="b">
        <v>0</v>
      </c>
      <c r="H585" s="87" t="b">
        <v>0</v>
      </c>
      <c r="I585" s="87" t="b">
        <v>0</v>
      </c>
      <c r="J585" s="87" t="b">
        <v>0</v>
      </c>
      <c r="K585" s="87" t="b">
        <v>0</v>
      </c>
      <c r="L585" s="87" t="b">
        <v>0</v>
      </c>
    </row>
    <row r="586" spans="1:12" x14ac:dyDescent="0.25">
      <c r="A586" s="84" t="s">
        <v>332</v>
      </c>
      <c r="B586" s="87" t="s">
        <v>331</v>
      </c>
      <c r="C586" s="87">
        <v>2</v>
      </c>
      <c r="D586" s="111">
        <v>1.0044657994098156E-2</v>
      </c>
      <c r="E586" s="111">
        <v>1.6483600109809315</v>
      </c>
      <c r="F586" s="87" t="s">
        <v>1603</v>
      </c>
      <c r="G586" s="87" t="b">
        <v>0</v>
      </c>
      <c r="H586" s="87" t="b">
        <v>0</v>
      </c>
      <c r="I586" s="87" t="b">
        <v>0</v>
      </c>
      <c r="J586" s="87" t="b">
        <v>0</v>
      </c>
      <c r="K586" s="87" t="b">
        <v>0</v>
      </c>
      <c r="L586" s="87" t="b">
        <v>0</v>
      </c>
    </row>
    <row r="587" spans="1:12" x14ac:dyDescent="0.25">
      <c r="A587" s="84" t="s">
        <v>330</v>
      </c>
      <c r="B587" s="87" t="s">
        <v>329</v>
      </c>
      <c r="C587" s="87">
        <v>2</v>
      </c>
      <c r="D587" s="111">
        <v>1.0044657994098156E-2</v>
      </c>
      <c r="E587" s="111">
        <v>1.6483600109809315</v>
      </c>
      <c r="F587" s="87" t="s">
        <v>1603</v>
      </c>
      <c r="G587" s="87" t="b">
        <v>0</v>
      </c>
      <c r="H587" s="87" t="b">
        <v>0</v>
      </c>
      <c r="I587" s="87" t="b">
        <v>0</v>
      </c>
      <c r="J587" s="87" t="b">
        <v>0</v>
      </c>
      <c r="K587" s="87" t="b">
        <v>0</v>
      </c>
      <c r="L587" s="87" t="b">
        <v>0</v>
      </c>
    </row>
    <row r="588" spans="1:12" x14ac:dyDescent="0.25">
      <c r="A588" s="84" t="s">
        <v>1854</v>
      </c>
      <c r="B588" s="87" t="s">
        <v>1874</v>
      </c>
      <c r="C588" s="87">
        <v>2</v>
      </c>
      <c r="D588" s="111">
        <v>1.0044657994098156E-2</v>
      </c>
      <c r="E588" s="111">
        <v>1.6483600109809315</v>
      </c>
      <c r="F588" s="87" t="s">
        <v>1603</v>
      </c>
      <c r="G588" s="87" t="b">
        <v>0</v>
      </c>
      <c r="H588" s="87" t="b">
        <v>0</v>
      </c>
      <c r="I588" s="87" t="b">
        <v>0</v>
      </c>
      <c r="J588" s="87" t="b">
        <v>0</v>
      </c>
      <c r="K588" s="87" t="b">
        <v>0</v>
      </c>
      <c r="L588" s="87" t="b">
        <v>0</v>
      </c>
    </row>
    <row r="589" spans="1:12" x14ac:dyDescent="0.25">
      <c r="A589" s="84" t="s">
        <v>1874</v>
      </c>
      <c r="B589" s="87" t="s">
        <v>1899</v>
      </c>
      <c r="C589" s="87">
        <v>2</v>
      </c>
      <c r="D589" s="111">
        <v>1.0044657994098156E-2</v>
      </c>
      <c r="E589" s="111">
        <v>1.6483600109809315</v>
      </c>
      <c r="F589" s="87" t="s">
        <v>1603</v>
      </c>
      <c r="G589" s="87" t="b">
        <v>0</v>
      </c>
      <c r="H589" s="87" t="b">
        <v>0</v>
      </c>
      <c r="I589" s="87" t="b">
        <v>0</v>
      </c>
      <c r="J589" s="87" t="b">
        <v>0</v>
      </c>
      <c r="K589" s="87" t="b">
        <v>0</v>
      </c>
      <c r="L589" s="87" t="b">
        <v>0</v>
      </c>
    </row>
    <row r="590" spans="1:12" x14ac:dyDescent="0.25">
      <c r="A590" s="84" t="s">
        <v>1889</v>
      </c>
      <c r="B590" s="87" t="s">
        <v>1794</v>
      </c>
      <c r="C590" s="87">
        <v>2</v>
      </c>
      <c r="D590" s="111">
        <v>1.0044657994098156E-2</v>
      </c>
      <c r="E590" s="111">
        <v>1.6483600109809315</v>
      </c>
      <c r="F590" s="87" t="s">
        <v>1603</v>
      </c>
      <c r="G590" s="87" t="b">
        <v>0</v>
      </c>
      <c r="H590" s="87" t="b">
        <v>0</v>
      </c>
      <c r="I590" s="87" t="b">
        <v>0</v>
      </c>
      <c r="J590" s="87" t="b">
        <v>0</v>
      </c>
      <c r="K590" s="87" t="b">
        <v>0</v>
      </c>
      <c r="L590" s="87" t="b">
        <v>0</v>
      </c>
    </row>
    <row r="591" spans="1:12" x14ac:dyDescent="0.25">
      <c r="A591" s="84" t="s">
        <v>1903</v>
      </c>
      <c r="B591" s="87" t="s">
        <v>1844</v>
      </c>
      <c r="C591" s="87">
        <v>2</v>
      </c>
      <c r="D591" s="111">
        <v>1.0044657994098156E-2</v>
      </c>
      <c r="E591" s="111">
        <v>1.6483600109809315</v>
      </c>
      <c r="F591" s="87" t="s">
        <v>1603</v>
      </c>
      <c r="G591" s="87" t="b">
        <v>0</v>
      </c>
      <c r="H591" s="87" t="b">
        <v>0</v>
      </c>
      <c r="I591" s="87" t="b">
        <v>0</v>
      </c>
      <c r="J591" s="87" t="b">
        <v>0</v>
      </c>
      <c r="K591" s="87" t="b">
        <v>0</v>
      </c>
      <c r="L591" s="87" t="b">
        <v>0</v>
      </c>
    </row>
    <row r="592" spans="1:12" x14ac:dyDescent="0.25">
      <c r="A592" s="84" t="s">
        <v>328</v>
      </c>
      <c r="B592" s="87" t="s">
        <v>1751</v>
      </c>
      <c r="C592" s="87">
        <v>2</v>
      </c>
      <c r="D592" s="111">
        <v>1.0044657994098156E-2</v>
      </c>
      <c r="E592" s="111">
        <v>1.6483600109809315</v>
      </c>
      <c r="F592" s="87" t="s">
        <v>1603</v>
      </c>
      <c r="G592" s="87" t="b">
        <v>0</v>
      </c>
      <c r="H592" s="87" t="b">
        <v>0</v>
      </c>
      <c r="I592" s="87" t="b">
        <v>0</v>
      </c>
      <c r="J592" s="87" t="b">
        <v>0</v>
      </c>
      <c r="K592" s="87" t="b">
        <v>0</v>
      </c>
      <c r="L592" s="87" t="b">
        <v>0</v>
      </c>
    </row>
    <row r="593" spans="1:12" x14ac:dyDescent="0.25">
      <c r="A593" s="84" t="s">
        <v>1709</v>
      </c>
      <c r="B593" s="87" t="s">
        <v>1722</v>
      </c>
      <c r="C593" s="87">
        <v>2</v>
      </c>
      <c r="D593" s="111">
        <v>1.0044657994098156E-2</v>
      </c>
      <c r="E593" s="111">
        <v>1.0463000196529693</v>
      </c>
      <c r="F593" s="87" t="s">
        <v>1603</v>
      </c>
      <c r="G593" s="87" t="b">
        <v>0</v>
      </c>
      <c r="H593" s="87" t="b">
        <v>0</v>
      </c>
      <c r="I593" s="87" t="b">
        <v>0</v>
      </c>
      <c r="J593" s="87" t="b">
        <v>0</v>
      </c>
      <c r="K593" s="87" t="b">
        <v>0</v>
      </c>
      <c r="L593" s="87" t="b">
        <v>0</v>
      </c>
    </row>
    <row r="594" spans="1:12" x14ac:dyDescent="0.25">
      <c r="A594" s="84" t="s">
        <v>1899</v>
      </c>
      <c r="B594" s="87" t="s">
        <v>1752</v>
      </c>
      <c r="C594" s="87">
        <v>2</v>
      </c>
      <c r="D594" s="111">
        <v>1.0044657994098156E-2</v>
      </c>
      <c r="E594" s="111">
        <v>1.6483600109809315</v>
      </c>
      <c r="F594" s="87" t="s">
        <v>1603</v>
      </c>
      <c r="G594" s="87" t="b">
        <v>0</v>
      </c>
      <c r="H594" s="87" t="b">
        <v>0</v>
      </c>
      <c r="I594" s="87" t="b">
        <v>0</v>
      </c>
      <c r="J594" s="87" t="b">
        <v>0</v>
      </c>
      <c r="K594" s="87" t="b">
        <v>0</v>
      </c>
      <c r="L594" s="87" t="b">
        <v>0</v>
      </c>
    </row>
    <row r="595" spans="1:12" x14ac:dyDescent="0.25">
      <c r="A595" s="84" t="s">
        <v>355</v>
      </c>
      <c r="B595" s="87" t="s">
        <v>354</v>
      </c>
      <c r="C595" s="87">
        <v>2</v>
      </c>
      <c r="D595" s="111">
        <v>1.1359622477886083E-2</v>
      </c>
      <c r="E595" s="111">
        <v>1.3891660843645326</v>
      </c>
      <c r="F595" s="87" t="s">
        <v>1604</v>
      </c>
      <c r="G595" s="87" t="b">
        <v>0</v>
      </c>
      <c r="H595" s="87" t="b">
        <v>0</v>
      </c>
      <c r="I595" s="87" t="b">
        <v>0</v>
      </c>
      <c r="J595" s="87" t="b">
        <v>0</v>
      </c>
      <c r="K595" s="87" t="b">
        <v>0</v>
      </c>
      <c r="L595" s="87" t="b">
        <v>0</v>
      </c>
    </row>
    <row r="596" spans="1:12" x14ac:dyDescent="0.25">
      <c r="A596" s="84" t="s">
        <v>298</v>
      </c>
      <c r="B596" s="87" t="s">
        <v>357</v>
      </c>
      <c r="C596" s="87">
        <v>2</v>
      </c>
      <c r="D596" s="111">
        <v>1.1359622477886083E-2</v>
      </c>
      <c r="E596" s="111">
        <v>1.3891660843645326</v>
      </c>
      <c r="F596" s="87" t="s">
        <v>1604</v>
      </c>
      <c r="G596" s="87" t="b">
        <v>0</v>
      </c>
      <c r="H596" s="87" t="b">
        <v>0</v>
      </c>
      <c r="I596" s="87" t="b">
        <v>0</v>
      </c>
      <c r="J596" s="87" t="b">
        <v>0</v>
      </c>
      <c r="K596" s="87" t="b">
        <v>0</v>
      </c>
      <c r="L596" s="87" t="b">
        <v>0</v>
      </c>
    </row>
    <row r="597" spans="1:12" x14ac:dyDescent="0.25">
      <c r="A597" s="84" t="s">
        <v>1867</v>
      </c>
      <c r="B597" s="87" t="s">
        <v>298</v>
      </c>
      <c r="C597" s="87">
        <v>2</v>
      </c>
      <c r="D597" s="111">
        <v>1.1359622477886083E-2</v>
      </c>
      <c r="E597" s="111">
        <v>1.3891660843645326</v>
      </c>
      <c r="F597" s="87" t="s">
        <v>1604</v>
      </c>
      <c r="G597" s="87" t="b">
        <v>0</v>
      </c>
      <c r="H597" s="87" t="b">
        <v>0</v>
      </c>
      <c r="I597" s="87" t="b">
        <v>0</v>
      </c>
      <c r="J597" s="87" t="b">
        <v>0</v>
      </c>
      <c r="K597" s="87" t="b">
        <v>0</v>
      </c>
      <c r="L597" s="87" t="b">
        <v>0</v>
      </c>
    </row>
    <row r="598" spans="1:12" x14ac:dyDescent="0.25">
      <c r="A598" s="84" t="s">
        <v>1945</v>
      </c>
      <c r="B598" s="87" t="s">
        <v>1867</v>
      </c>
      <c r="C598" s="87">
        <v>2</v>
      </c>
      <c r="D598" s="111">
        <v>1.1359622477886083E-2</v>
      </c>
      <c r="E598" s="111">
        <v>1.3891660843645326</v>
      </c>
      <c r="F598" s="87" t="s">
        <v>1604</v>
      </c>
      <c r="G598" s="87" t="b">
        <v>1</v>
      </c>
      <c r="H598" s="87" t="b">
        <v>0</v>
      </c>
      <c r="I598" s="87" t="b">
        <v>0</v>
      </c>
      <c r="J598" s="87" t="b">
        <v>0</v>
      </c>
      <c r="K598" s="87" t="b">
        <v>0</v>
      </c>
      <c r="L598" s="87" t="b">
        <v>0</v>
      </c>
    </row>
    <row r="599" spans="1:12" x14ac:dyDescent="0.25">
      <c r="A599" s="84" t="s">
        <v>1858</v>
      </c>
      <c r="B599" s="87" t="s">
        <v>1945</v>
      </c>
      <c r="C599" s="87">
        <v>2</v>
      </c>
      <c r="D599" s="111">
        <v>1.1359622477886083E-2</v>
      </c>
      <c r="E599" s="111">
        <v>1.3891660843645326</v>
      </c>
      <c r="F599" s="87" t="s">
        <v>1604</v>
      </c>
      <c r="G599" s="87" t="b">
        <v>1</v>
      </c>
      <c r="H599" s="87" t="b">
        <v>0</v>
      </c>
      <c r="I599" s="87" t="b">
        <v>0</v>
      </c>
      <c r="J599" s="87" t="b">
        <v>1</v>
      </c>
      <c r="K599" s="87" t="b">
        <v>0</v>
      </c>
      <c r="L599" s="87" t="b">
        <v>0</v>
      </c>
    </row>
    <row r="600" spans="1:12" x14ac:dyDescent="0.25">
      <c r="A600" s="84" t="s">
        <v>301</v>
      </c>
      <c r="B600" s="87" t="s">
        <v>356</v>
      </c>
      <c r="C600" s="87">
        <v>2</v>
      </c>
      <c r="D600" s="111">
        <v>1.1359622477886083E-2</v>
      </c>
      <c r="E600" s="111">
        <v>1.2130748253088512</v>
      </c>
      <c r="F600" s="87" t="s">
        <v>1604</v>
      </c>
      <c r="G600" s="87" t="b">
        <v>0</v>
      </c>
      <c r="H600" s="87" t="b">
        <v>0</v>
      </c>
      <c r="I600" s="87" t="b">
        <v>0</v>
      </c>
      <c r="J600" s="87" t="b">
        <v>0</v>
      </c>
      <c r="K600" s="87" t="b">
        <v>0</v>
      </c>
      <c r="L600" s="87" t="b">
        <v>0</v>
      </c>
    </row>
    <row r="601" spans="1:12" x14ac:dyDescent="0.25">
      <c r="A601" s="84" t="s">
        <v>357</v>
      </c>
      <c r="B601" s="87" t="s">
        <v>301</v>
      </c>
      <c r="C601" s="87">
        <v>2</v>
      </c>
      <c r="D601" s="111">
        <v>1.1359622477886083E-2</v>
      </c>
      <c r="E601" s="111">
        <v>1.3891660843645326</v>
      </c>
      <c r="F601" s="87" t="s">
        <v>1604</v>
      </c>
      <c r="G601" s="87" t="b">
        <v>0</v>
      </c>
      <c r="H601" s="87" t="b">
        <v>0</v>
      </c>
      <c r="I601" s="87" t="b">
        <v>0</v>
      </c>
      <c r="J601" s="87" t="b">
        <v>0</v>
      </c>
      <c r="K601" s="87" t="b">
        <v>0</v>
      </c>
      <c r="L601" s="87" t="b">
        <v>0</v>
      </c>
    </row>
    <row r="602" spans="1:12" x14ac:dyDescent="0.25">
      <c r="A602" s="84" t="s">
        <v>356</v>
      </c>
      <c r="B602" s="87" t="s">
        <v>355</v>
      </c>
      <c r="C602" s="87">
        <v>2</v>
      </c>
      <c r="D602" s="111">
        <v>1.1359622477886083E-2</v>
      </c>
      <c r="E602" s="111">
        <v>1.3891660843645326</v>
      </c>
      <c r="F602" s="87" t="s">
        <v>1604</v>
      </c>
      <c r="G602" s="87" t="b">
        <v>0</v>
      </c>
      <c r="H602" s="87" t="b">
        <v>0</v>
      </c>
      <c r="I602" s="87" t="b">
        <v>0</v>
      </c>
      <c r="J602" s="87" t="b">
        <v>0</v>
      </c>
      <c r="K602" s="87" t="b">
        <v>0</v>
      </c>
      <c r="L602" s="87" t="b">
        <v>0</v>
      </c>
    </row>
    <row r="603" spans="1:12" x14ac:dyDescent="0.25">
      <c r="A603" s="84" t="s">
        <v>268</v>
      </c>
      <c r="B603" s="87" t="s">
        <v>1663</v>
      </c>
      <c r="C603" s="87">
        <v>4</v>
      </c>
      <c r="D603" s="111">
        <v>1.1053889129778822E-2</v>
      </c>
      <c r="E603" s="111">
        <v>1.0857121132065826</v>
      </c>
      <c r="F603" s="87" t="s">
        <v>1605</v>
      </c>
      <c r="G603" s="87" t="b">
        <v>0</v>
      </c>
      <c r="H603" s="87" t="b">
        <v>0</v>
      </c>
      <c r="I603" s="87" t="b">
        <v>0</v>
      </c>
      <c r="J603" s="87" t="b">
        <v>0</v>
      </c>
      <c r="K603" s="87" t="b">
        <v>0</v>
      </c>
      <c r="L603" s="87" t="b">
        <v>0</v>
      </c>
    </row>
    <row r="604" spans="1:12" x14ac:dyDescent="0.25">
      <c r="A604" s="84" t="s">
        <v>268</v>
      </c>
      <c r="B604" s="87" t="s">
        <v>268</v>
      </c>
      <c r="C604" s="87">
        <v>4</v>
      </c>
      <c r="D604" s="111">
        <v>1.1053889129778822E-2</v>
      </c>
      <c r="E604" s="111">
        <v>0.78468211754260142</v>
      </c>
      <c r="F604" s="87" t="s">
        <v>1605</v>
      </c>
      <c r="G604" s="87" t="b">
        <v>0</v>
      </c>
      <c r="H604" s="87" t="b">
        <v>0</v>
      </c>
      <c r="I604" s="87" t="b">
        <v>0</v>
      </c>
      <c r="J604" s="87" t="b">
        <v>0</v>
      </c>
      <c r="K604" s="87" t="b">
        <v>0</v>
      </c>
      <c r="L604" s="87" t="b">
        <v>0</v>
      </c>
    </row>
    <row r="605" spans="1:12" x14ac:dyDescent="0.25">
      <c r="A605" s="84" t="s">
        <v>1649</v>
      </c>
      <c r="B605" s="87" t="s">
        <v>1646</v>
      </c>
      <c r="C605" s="87">
        <v>4</v>
      </c>
      <c r="D605" s="111">
        <v>1.1053889129778822E-2</v>
      </c>
      <c r="E605" s="111">
        <v>1.3489535479811641</v>
      </c>
      <c r="F605" s="87" t="s">
        <v>1605</v>
      </c>
      <c r="G605" s="87" t="b">
        <v>0</v>
      </c>
      <c r="H605" s="87" t="b">
        <v>0</v>
      </c>
      <c r="I605" s="87" t="b">
        <v>0</v>
      </c>
      <c r="J605" s="87" t="b">
        <v>0</v>
      </c>
      <c r="K605" s="87" t="b">
        <v>0</v>
      </c>
      <c r="L605" s="87" t="b">
        <v>0</v>
      </c>
    </row>
    <row r="606" spans="1:12" x14ac:dyDescent="0.25">
      <c r="A606" s="84" t="s">
        <v>1646</v>
      </c>
      <c r="B606" s="87" t="s">
        <v>1641</v>
      </c>
      <c r="C606" s="87">
        <v>4</v>
      </c>
      <c r="D606" s="111">
        <v>1.94158334537783E-2</v>
      </c>
      <c r="E606" s="111">
        <v>1.1728622889254827</v>
      </c>
      <c r="F606" s="87" t="s">
        <v>1605</v>
      </c>
      <c r="G606" s="87" t="b">
        <v>0</v>
      </c>
      <c r="H606" s="87" t="b">
        <v>0</v>
      </c>
      <c r="I606" s="87" t="b">
        <v>0</v>
      </c>
      <c r="J606" s="87" t="b">
        <v>1</v>
      </c>
      <c r="K606" s="87" t="b">
        <v>0</v>
      </c>
      <c r="L606" s="87" t="b">
        <v>0</v>
      </c>
    </row>
    <row r="607" spans="1:12" x14ac:dyDescent="0.25">
      <c r="A607" s="84" t="s">
        <v>1663</v>
      </c>
      <c r="B607" s="87" t="s">
        <v>1649</v>
      </c>
      <c r="C607" s="87">
        <v>4</v>
      </c>
      <c r="D607" s="111">
        <v>1.1053889129778822E-2</v>
      </c>
      <c r="E607" s="111">
        <v>1.5250448070368452</v>
      </c>
      <c r="F607" s="87" t="s">
        <v>1605</v>
      </c>
      <c r="G607" s="87" t="b">
        <v>0</v>
      </c>
      <c r="H607" s="87" t="b">
        <v>0</v>
      </c>
      <c r="I607" s="87" t="b">
        <v>0</v>
      </c>
      <c r="J607" s="87" t="b">
        <v>0</v>
      </c>
      <c r="K607" s="87" t="b">
        <v>0</v>
      </c>
      <c r="L607" s="87" t="b">
        <v>0</v>
      </c>
    </row>
    <row r="608" spans="1:12" x14ac:dyDescent="0.25">
      <c r="A608" s="84" t="s">
        <v>1779</v>
      </c>
      <c r="B608" s="87" t="s">
        <v>1641</v>
      </c>
      <c r="C608" s="87">
        <v>2</v>
      </c>
      <c r="D608" s="111">
        <v>9.70791672688915E-3</v>
      </c>
      <c r="E608" s="111">
        <v>1.3489535479811641</v>
      </c>
      <c r="F608" s="87" t="s">
        <v>1605</v>
      </c>
      <c r="G608" s="87" t="b">
        <v>0</v>
      </c>
      <c r="H608" s="87" t="b">
        <v>0</v>
      </c>
      <c r="I608" s="87" t="b">
        <v>0</v>
      </c>
      <c r="J608" s="87" t="b">
        <v>1</v>
      </c>
      <c r="K608" s="87" t="b">
        <v>0</v>
      </c>
      <c r="L608" s="87" t="b">
        <v>0</v>
      </c>
    </row>
    <row r="609" spans="1:12" x14ac:dyDescent="0.25">
      <c r="A609" s="84" t="s">
        <v>1703</v>
      </c>
      <c r="B609" s="87" t="s">
        <v>1645</v>
      </c>
      <c r="C609" s="87">
        <v>2</v>
      </c>
      <c r="D609" s="111">
        <v>9.70791672688915E-3</v>
      </c>
      <c r="E609" s="111">
        <v>1.8260748027008264</v>
      </c>
      <c r="F609" s="87" t="s">
        <v>1605</v>
      </c>
      <c r="G609" s="87" t="b">
        <v>0</v>
      </c>
      <c r="H609" s="87" t="b">
        <v>0</v>
      </c>
      <c r="I609" s="87" t="b">
        <v>0</v>
      </c>
      <c r="J609" s="87" t="b">
        <v>0</v>
      </c>
      <c r="K609" s="87" t="b">
        <v>0</v>
      </c>
      <c r="L609" s="87" t="b">
        <v>0</v>
      </c>
    </row>
    <row r="610" spans="1:12" x14ac:dyDescent="0.25">
      <c r="A610" s="84" t="s">
        <v>1690</v>
      </c>
      <c r="B610" s="87" t="s">
        <v>1708</v>
      </c>
      <c r="C610" s="87">
        <v>2</v>
      </c>
      <c r="D610" s="111">
        <v>9.70791672688915E-3</v>
      </c>
      <c r="E610" s="111">
        <v>1.8260748027008264</v>
      </c>
      <c r="F610" s="87" t="s">
        <v>1605</v>
      </c>
      <c r="G610" s="87" t="b">
        <v>1</v>
      </c>
      <c r="H610" s="87" t="b">
        <v>0</v>
      </c>
      <c r="I610" s="87" t="b">
        <v>0</v>
      </c>
      <c r="J610" s="87" t="b">
        <v>0</v>
      </c>
      <c r="K610" s="87" t="b">
        <v>0</v>
      </c>
      <c r="L610" s="87" t="b">
        <v>0</v>
      </c>
    </row>
    <row r="611" spans="1:12" x14ac:dyDescent="0.25">
      <c r="A611" s="84" t="s">
        <v>1724</v>
      </c>
      <c r="B611" s="87" t="s">
        <v>1703</v>
      </c>
      <c r="C611" s="87">
        <v>2</v>
      </c>
      <c r="D611" s="111">
        <v>9.70791672688915E-3</v>
      </c>
      <c r="E611" s="111">
        <v>1.8260748027008264</v>
      </c>
      <c r="F611" s="87" t="s">
        <v>1605</v>
      </c>
      <c r="G611" s="87" t="b">
        <v>0</v>
      </c>
      <c r="H611" s="87" t="b">
        <v>0</v>
      </c>
      <c r="I611" s="87" t="b">
        <v>0</v>
      </c>
      <c r="J611" s="87" t="b">
        <v>0</v>
      </c>
      <c r="K611" s="87" t="b">
        <v>0</v>
      </c>
      <c r="L611" s="87" t="b">
        <v>0</v>
      </c>
    </row>
    <row r="612" spans="1:12" x14ac:dyDescent="0.25">
      <c r="A612" s="84" t="s">
        <v>1645</v>
      </c>
      <c r="B612" s="87" t="s">
        <v>1654</v>
      </c>
      <c r="C612" s="87">
        <v>2</v>
      </c>
      <c r="D612" s="111">
        <v>9.70791672688915E-3</v>
      </c>
      <c r="E612" s="111">
        <v>1.8260748027008264</v>
      </c>
      <c r="F612" s="87" t="s">
        <v>1605</v>
      </c>
      <c r="G612" s="87" t="b">
        <v>0</v>
      </c>
      <c r="H612" s="87" t="b">
        <v>0</v>
      </c>
      <c r="I612" s="87" t="b">
        <v>0</v>
      </c>
      <c r="J612" s="87" t="b">
        <v>1</v>
      </c>
      <c r="K612" s="87" t="b">
        <v>0</v>
      </c>
      <c r="L612" s="87" t="b">
        <v>0</v>
      </c>
    </row>
    <row r="613" spans="1:12" x14ac:dyDescent="0.25">
      <c r="A613" s="84" t="s">
        <v>1696</v>
      </c>
      <c r="B613" s="87" t="s">
        <v>1647</v>
      </c>
      <c r="C613" s="87">
        <v>2</v>
      </c>
      <c r="D613" s="111">
        <v>9.70791672688915E-3</v>
      </c>
      <c r="E613" s="111">
        <v>1.8260748027008264</v>
      </c>
      <c r="F613" s="87" t="s">
        <v>1605</v>
      </c>
      <c r="G613" s="87" t="b">
        <v>0</v>
      </c>
      <c r="H613" s="87" t="b">
        <v>0</v>
      </c>
      <c r="I613" s="87" t="b">
        <v>0</v>
      </c>
      <c r="J613" s="87" t="b">
        <v>0</v>
      </c>
      <c r="K613" s="87" t="b">
        <v>0</v>
      </c>
      <c r="L613" s="87" t="b">
        <v>0</v>
      </c>
    </row>
    <row r="614" spans="1:12" x14ac:dyDescent="0.25">
      <c r="A614" s="84" t="s">
        <v>1654</v>
      </c>
      <c r="B614" s="87" t="s">
        <v>1667</v>
      </c>
      <c r="C614" s="87">
        <v>2</v>
      </c>
      <c r="D614" s="111">
        <v>9.70791672688915E-3</v>
      </c>
      <c r="E614" s="111">
        <v>1.8260748027008264</v>
      </c>
      <c r="F614" s="87" t="s">
        <v>1605</v>
      </c>
      <c r="G614" s="87" t="b">
        <v>1</v>
      </c>
      <c r="H614" s="87" t="b">
        <v>0</v>
      </c>
      <c r="I614" s="87" t="b">
        <v>0</v>
      </c>
      <c r="J614" s="87" t="b">
        <v>0</v>
      </c>
      <c r="K614" s="87" t="b">
        <v>0</v>
      </c>
      <c r="L614" s="87" t="b">
        <v>0</v>
      </c>
    </row>
    <row r="615" spans="1:12" x14ac:dyDescent="0.25">
      <c r="A615" s="84" t="s">
        <v>1641</v>
      </c>
      <c r="B615" s="87" t="s">
        <v>1944</v>
      </c>
      <c r="C615" s="87">
        <v>2</v>
      </c>
      <c r="D615" s="111">
        <v>9.70791672688915E-3</v>
      </c>
      <c r="E615" s="111">
        <v>1.3489535479811641</v>
      </c>
      <c r="F615" s="87" t="s">
        <v>1605</v>
      </c>
      <c r="G615" s="87" t="b">
        <v>1</v>
      </c>
      <c r="H615" s="87" t="b">
        <v>0</v>
      </c>
      <c r="I615" s="87" t="b">
        <v>0</v>
      </c>
      <c r="J615" s="87" t="b">
        <v>0</v>
      </c>
      <c r="K615" s="87" t="b">
        <v>0</v>
      </c>
      <c r="L615" s="87" t="b">
        <v>0</v>
      </c>
    </row>
    <row r="616" spans="1:12" x14ac:dyDescent="0.25">
      <c r="A616" s="84" t="s">
        <v>1641</v>
      </c>
      <c r="B616" s="87" t="s">
        <v>1728</v>
      </c>
      <c r="C616" s="87">
        <v>2</v>
      </c>
      <c r="D616" s="111">
        <v>9.70791672688915E-3</v>
      </c>
      <c r="E616" s="111">
        <v>1.3489535479811641</v>
      </c>
      <c r="F616" s="87" t="s">
        <v>1605</v>
      </c>
      <c r="G616" s="87" t="b">
        <v>1</v>
      </c>
      <c r="H616" s="87" t="b">
        <v>0</v>
      </c>
      <c r="I616" s="87" t="b">
        <v>0</v>
      </c>
      <c r="J616" s="87" t="b">
        <v>0</v>
      </c>
      <c r="K616" s="87" t="b">
        <v>0</v>
      </c>
      <c r="L616" s="87" t="b">
        <v>0</v>
      </c>
    </row>
    <row r="617" spans="1:12" x14ac:dyDescent="0.25">
      <c r="A617" s="84" t="s">
        <v>1806</v>
      </c>
      <c r="B617" s="87" t="s">
        <v>1914</v>
      </c>
      <c r="C617" s="87">
        <v>2</v>
      </c>
      <c r="D617" s="111">
        <v>9.70791672688915E-3</v>
      </c>
      <c r="E617" s="111">
        <v>1.8260748027008264</v>
      </c>
      <c r="F617" s="87" t="s">
        <v>1605</v>
      </c>
      <c r="G617" s="87" t="b">
        <v>0</v>
      </c>
      <c r="H617" s="87" t="b">
        <v>0</v>
      </c>
      <c r="I617" s="87" t="b">
        <v>0</v>
      </c>
      <c r="J617" s="87" t="b">
        <v>0</v>
      </c>
      <c r="K617" s="87" t="b">
        <v>0</v>
      </c>
      <c r="L617" s="87" t="b">
        <v>0</v>
      </c>
    </row>
    <row r="618" spans="1:12" x14ac:dyDescent="0.25">
      <c r="A618" s="84" t="s">
        <v>1708</v>
      </c>
      <c r="B618" s="87" t="s">
        <v>1724</v>
      </c>
      <c r="C618" s="87">
        <v>2</v>
      </c>
      <c r="D618" s="111">
        <v>9.70791672688915E-3</v>
      </c>
      <c r="E618" s="111">
        <v>1.8260748027008264</v>
      </c>
      <c r="F618" s="87" t="s">
        <v>1605</v>
      </c>
      <c r="G618" s="87" t="b">
        <v>0</v>
      </c>
      <c r="H618" s="87" t="b">
        <v>0</v>
      </c>
      <c r="I618" s="87" t="b">
        <v>0</v>
      </c>
      <c r="J618" s="87" t="b">
        <v>0</v>
      </c>
      <c r="K618" s="87" t="b">
        <v>0</v>
      </c>
      <c r="L618" s="87" t="b">
        <v>0</v>
      </c>
    </row>
    <row r="619" spans="1:12" x14ac:dyDescent="0.25">
      <c r="A619" s="84" t="s">
        <v>1805</v>
      </c>
      <c r="B619" s="87" t="s">
        <v>1806</v>
      </c>
      <c r="C619" s="87">
        <v>2</v>
      </c>
      <c r="D619" s="111">
        <v>9.70791672688915E-3</v>
      </c>
      <c r="E619" s="111">
        <v>1.8260748027008264</v>
      </c>
      <c r="F619" s="87" t="s">
        <v>1605</v>
      </c>
      <c r="G619" s="87" t="b">
        <v>0</v>
      </c>
      <c r="H619" s="87" t="b">
        <v>0</v>
      </c>
      <c r="I619" s="87" t="b">
        <v>0</v>
      </c>
      <c r="J619" s="87" t="b">
        <v>0</v>
      </c>
      <c r="K619" s="87" t="b">
        <v>0</v>
      </c>
      <c r="L619" s="87" t="b">
        <v>0</v>
      </c>
    </row>
    <row r="620" spans="1:12" x14ac:dyDescent="0.25">
      <c r="A620" s="84" t="s">
        <v>1753</v>
      </c>
      <c r="B620" s="87" t="s">
        <v>1732</v>
      </c>
      <c r="C620" s="87">
        <v>2</v>
      </c>
      <c r="D620" s="111">
        <v>9.70791672688915E-3</v>
      </c>
      <c r="E620" s="111">
        <v>1.8260748027008264</v>
      </c>
      <c r="F620" s="87" t="s">
        <v>1605</v>
      </c>
      <c r="G620" s="87" t="b">
        <v>0</v>
      </c>
      <c r="H620" s="87" t="b">
        <v>0</v>
      </c>
      <c r="I620" s="87" t="b">
        <v>0</v>
      </c>
      <c r="J620" s="87" t="b">
        <v>0</v>
      </c>
      <c r="K620" s="87" t="b">
        <v>0</v>
      </c>
      <c r="L620" s="87" t="b">
        <v>0</v>
      </c>
    </row>
    <row r="621" spans="1:12" x14ac:dyDescent="0.25">
      <c r="A621" s="84" t="s">
        <v>1671</v>
      </c>
      <c r="B621" s="87" t="s">
        <v>1696</v>
      </c>
      <c r="C621" s="87">
        <v>2</v>
      </c>
      <c r="D621" s="111">
        <v>9.70791672688915E-3</v>
      </c>
      <c r="E621" s="111">
        <v>1.5250448070368452</v>
      </c>
      <c r="F621" s="87" t="s">
        <v>1605</v>
      </c>
      <c r="G621" s="87" t="b">
        <v>0</v>
      </c>
      <c r="H621" s="87" t="b">
        <v>0</v>
      </c>
      <c r="I621" s="87" t="b">
        <v>0</v>
      </c>
      <c r="J621" s="87" t="b">
        <v>0</v>
      </c>
      <c r="K621" s="87" t="b">
        <v>0</v>
      </c>
      <c r="L621" s="87" t="b">
        <v>0</v>
      </c>
    </row>
    <row r="622" spans="1:12" x14ac:dyDescent="0.25">
      <c r="A622" s="84" t="s">
        <v>1671</v>
      </c>
      <c r="B622" s="87" t="s">
        <v>1786</v>
      </c>
      <c r="C622" s="87">
        <v>2</v>
      </c>
      <c r="D622" s="111">
        <v>9.70791672688915E-3</v>
      </c>
      <c r="E622" s="111">
        <v>1.5250448070368452</v>
      </c>
      <c r="F622" s="87" t="s">
        <v>1605</v>
      </c>
      <c r="G622" s="87" t="b">
        <v>0</v>
      </c>
      <c r="H622" s="87" t="b">
        <v>0</v>
      </c>
      <c r="I622" s="87" t="b">
        <v>0</v>
      </c>
      <c r="J622" s="87" t="b">
        <v>0</v>
      </c>
      <c r="K622" s="87" t="b">
        <v>0</v>
      </c>
      <c r="L622" s="87" t="b">
        <v>0</v>
      </c>
    </row>
    <row r="623" spans="1:12" x14ac:dyDescent="0.25">
      <c r="A623" s="84" t="s">
        <v>1728</v>
      </c>
      <c r="B623" s="87" t="s">
        <v>1646</v>
      </c>
      <c r="C623" s="87">
        <v>2</v>
      </c>
      <c r="D623" s="111">
        <v>9.70791672688915E-3</v>
      </c>
      <c r="E623" s="111">
        <v>1.3489535479811641</v>
      </c>
      <c r="F623" s="87" t="s">
        <v>1605</v>
      </c>
      <c r="G623" s="87" t="b">
        <v>0</v>
      </c>
      <c r="H623" s="87" t="b">
        <v>0</v>
      </c>
      <c r="I623" s="87" t="b">
        <v>0</v>
      </c>
      <c r="J623" s="87" t="b">
        <v>0</v>
      </c>
      <c r="K623" s="87" t="b">
        <v>0</v>
      </c>
      <c r="L623" s="87" t="b">
        <v>0</v>
      </c>
    </row>
    <row r="624" spans="1:12" x14ac:dyDescent="0.25">
      <c r="A624" s="84" t="s">
        <v>1757</v>
      </c>
      <c r="B624" s="87" t="s">
        <v>1763</v>
      </c>
      <c r="C624" s="87">
        <v>2</v>
      </c>
      <c r="D624" s="111">
        <v>9.70791672688915E-3</v>
      </c>
      <c r="E624" s="111">
        <v>1.8260748027008264</v>
      </c>
      <c r="F624" s="87" t="s">
        <v>1605</v>
      </c>
      <c r="G624" s="87" t="b">
        <v>0</v>
      </c>
      <c r="H624" s="87" t="b">
        <v>0</v>
      </c>
      <c r="I624" s="87" t="b">
        <v>0</v>
      </c>
      <c r="J624" s="87" t="b">
        <v>0</v>
      </c>
      <c r="K624" s="87" t="b">
        <v>0</v>
      </c>
      <c r="L624" s="87" t="b">
        <v>0</v>
      </c>
    </row>
    <row r="625" spans="1:12" x14ac:dyDescent="0.25">
      <c r="A625" s="84" t="s">
        <v>1943</v>
      </c>
      <c r="B625" s="87" t="s">
        <v>1671</v>
      </c>
      <c r="C625" s="87">
        <v>2</v>
      </c>
      <c r="D625" s="111">
        <v>9.70791672688915E-3</v>
      </c>
      <c r="E625" s="111">
        <v>1.5250448070368452</v>
      </c>
      <c r="F625" s="87" t="s">
        <v>1605</v>
      </c>
      <c r="G625" s="87" t="b">
        <v>0</v>
      </c>
      <c r="H625" s="87" t="b">
        <v>0</v>
      </c>
      <c r="I625" s="87" t="b">
        <v>0</v>
      </c>
      <c r="J625" s="87" t="b">
        <v>0</v>
      </c>
      <c r="K625" s="87" t="b">
        <v>0</v>
      </c>
      <c r="L625" s="87" t="b">
        <v>0</v>
      </c>
    </row>
    <row r="626" spans="1:12" x14ac:dyDescent="0.25">
      <c r="A626" s="84" t="s">
        <v>1750</v>
      </c>
      <c r="B626" s="87" t="s">
        <v>1700</v>
      </c>
      <c r="C626" s="87">
        <v>2</v>
      </c>
      <c r="D626" s="111">
        <v>9.70791672688915E-3</v>
      </c>
      <c r="E626" s="111">
        <v>1.8260748027008264</v>
      </c>
      <c r="F626" s="87" t="s">
        <v>1605</v>
      </c>
      <c r="G626" s="87" t="b">
        <v>0</v>
      </c>
      <c r="H626" s="87" t="b">
        <v>0</v>
      </c>
      <c r="I626" s="87" t="b">
        <v>0</v>
      </c>
      <c r="J626" s="87" t="b">
        <v>0</v>
      </c>
      <c r="K626" s="87" t="b">
        <v>0</v>
      </c>
      <c r="L626" s="87" t="b">
        <v>0</v>
      </c>
    </row>
    <row r="627" spans="1:12" x14ac:dyDescent="0.25">
      <c r="A627" s="84" t="s">
        <v>1739</v>
      </c>
      <c r="B627" s="87" t="s">
        <v>1875</v>
      </c>
      <c r="C627" s="87">
        <v>2</v>
      </c>
      <c r="D627" s="111">
        <v>9.70791672688915E-3</v>
      </c>
      <c r="E627" s="111">
        <v>1.8260748027008264</v>
      </c>
      <c r="F627" s="87" t="s">
        <v>1605</v>
      </c>
      <c r="G627" s="87" t="b">
        <v>0</v>
      </c>
      <c r="H627" s="87" t="b">
        <v>0</v>
      </c>
      <c r="I627" s="87" t="b">
        <v>0</v>
      </c>
      <c r="J627" s="87" t="b">
        <v>0</v>
      </c>
      <c r="K627" s="87" t="b">
        <v>0</v>
      </c>
      <c r="L627" s="87" t="b">
        <v>0</v>
      </c>
    </row>
    <row r="628" spans="1:12" x14ac:dyDescent="0.25">
      <c r="A628" s="84" t="s">
        <v>1700</v>
      </c>
      <c r="B628" s="87" t="s">
        <v>1671</v>
      </c>
      <c r="C628" s="87">
        <v>2</v>
      </c>
      <c r="D628" s="111">
        <v>9.70791672688915E-3</v>
      </c>
      <c r="E628" s="111">
        <v>1.5250448070368452</v>
      </c>
      <c r="F628" s="87" t="s">
        <v>1605</v>
      </c>
      <c r="G628" s="87" t="b">
        <v>0</v>
      </c>
      <c r="H628" s="87" t="b">
        <v>0</v>
      </c>
      <c r="I628" s="87" t="b">
        <v>0</v>
      </c>
      <c r="J628" s="87" t="b">
        <v>0</v>
      </c>
      <c r="K628" s="87" t="b">
        <v>0</v>
      </c>
      <c r="L628" s="87" t="b">
        <v>0</v>
      </c>
    </row>
    <row r="629" spans="1:12" x14ac:dyDescent="0.25">
      <c r="A629" s="84" t="s">
        <v>1783</v>
      </c>
      <c r="B629" s="87" t="s">
        <v>1827</v>
      </c>
      <c r="C629" s="87">
        <v>2</v>
      </c>
      <c r="D629" s="111">
        <v>9.70791672688915E-3</v>
      </c>
      <c r="E629" s="111">
        <v>1.8260748027008264</v>
      </c>
      <c r="F629" s="87" t="s">
        <v>1605</v>
      </c>
      <c r="G629" s="87" t="b">
        <v>0</v>
      </c>
      <c r="H629" s="87" t="b">
        <v>0</v>
      </c>
      <c r="I629" s="87" t="b">
        <v>0</v>
      </c>
      <c r="J629" s="87" t="b">
        <v>0</v>
      </c>
      <c r="K629" s="87" t="b">
        <v>0</v>
      </c>
      <c r="L629" s="87" t="b">
        <v>0</v>
      </c>
    </row>
    <row r="630" spans="1:12" x14ac:dyDescent="0.25">
      <c r="A630" s="84" t="s">
        <v>1836</v>
      </c>
      <c r="B630" s="87" t="s">
        <v>336</v>
      </c>
      <c r="C630" s="87">
        <v>2</v>
      </c>
      <c r="D630" s="111">
        <v>9.70791672688915E-3</v>
      </c>
      <c r="E630" s="111">
        <v>1.8260748027008264</v>
      </c>
      <c r="F630" s="87" t="s">
        <v>1605</v>
      </c>
      <c r="G630" s="87" t="b">
        <v>0</v>
      </c>
      <c r="H630" s="87" t="b">
        <v>0</v>
      </c>
      <c r="I630" s="87" t="b">
        <v>0</v>
      </c>
      <c r="J630" s="87" t="b">
        <v>0</v>
      </c>
      <c r="K630" s="87" t="b">
        <v>0</v>
      </c>
      <c r="L630" s="87" t="b">
        <v>0</v>
      </c>
    </row>
    <row r="631" spans="1:12" x14ac:dyDescent="0.25">
      <c r="A631" s="84" t="s">
        <v>1914</v>
      </c>
      <c r="B631" s="87" t="s">
        <v>1943</v>
      </c>
      <c r="C631" s="87">
        <v>2</v>
      </c>
      <c r="D631" s="111">
        <v>9.70791672688915E-3</v>
      </c>
      <c r="E631" s="111">
        <v>1.8260748027008264</v>
      </c>
      <c r="F631" s="87" t="s">
        <v>1605</v>
      </c>
      <c r="G631" s="87" t="b">
        <v>0</v>
      </c>
      <c r="H631" s="87" t="b">
        <v>0</v>
      </c>
      <c r="I631" s="87" t="b">
        <v>0</v>
      </c>
      <c r="J631" s="87" t="b">
        <v>0</v>
      </c>
      <c r="K631" s="87" t="b">
        <v>0</v>
      </c>
      <c r="L631" s="87" t="b">
        <v>0</v>
      </c>
    </row>
    <row r="632" spans="1:12" x14ac:dyDescent="0.25">
      <c r="A632" s="84" t="s">
        <v>1743</v>
      </c>
      <c r="B632" s="87" t="s">
        <v>1753</v>
      </c>
      <c r="C632" s="87">
        <v>2</v>
      </c>
      <c r="D632" s="111">
        <v>9.70791672688915E-3</v>
      </c>
      <c r="E632" s="111">
        <v>1.8260748027008264</v>
      </c>
      <c r="F632" s="87" t="s">
        <v>1605</v>
      </c>
      <c r="G632" s="87" t="b">
        <v>0</v>
      </c>
      <c r="H632" s="87" t="b">
        <v>0</v>
      </c>
      <c r="I632" s="87" t="b">
        <v>0</v>
      </c>
      <c r="J632" s="87" t="b">
        <v>0</v>
      </c>
      <c r="K632" s="87" t="b">
        <v>0</v>
      </c>
      <c r="L632" s="87" t="b">
        <v>0</v>
      </c>
    </row>
    <row r="633" spans="1:12" x14ac:dyDescent="0.25">
      <c r="A633" s="84" t="s">
        <v>249</v>
      </c>
      <c r="B633" s="87" t="s">
        <v>1682</v>
      </c>
      <c r="C633" s="87">
        <v>2</v>
      </c>
      <c r="D633" s="111">
        <v>9.70791672688915E-3</v>
      </c>
      <c r="E633" s="111">
        <v>1.5250448070368452</v>
      </c>
      <c r="F633" s="87" t="s">
        <v>1605</v>
      </c>
      <c r="G633" s="87" t="b">
        <v>0</v>
      </c>
      <c r="H633" s="87" t="b">
        <v>0</v>
      </c>
      <c r="I633" s="87" t="b">
        <v>0</v>
      </c>
      <c r="J633" s="87" t="b">
        <v>1</v>
      </c>
      <c r="K633" s="87" t="b">
        <v>0</v>
      </c>
      <c r="L633" s="87" t="b">
        <v>0</v>
      </c>
    </row>
    <row r="634" spans="1:12" x14ac:dyDescent="0.25">
      <c r="A634" s="84" t="s">
        <v>1646</v>
      </c>
      <c r="B634" s="87" t="s">
        <v>1750</v>
      </c>
      <c r="C634" s="87">
        <v>2</v>
      </c>
      <c r="D634" s="111">
        <v>9.70791672688915E-3</v>
      </c>
      <c r="E634" s="111">
        <v>1.3489535479811641</v>
      </c>
      <c r="F634" s="87" t="s">
        <v>1605</v>
      </c>
      <c r="G634" s="87" t="b">
        <v>0</v>
      </c>
      <c r="H634" s="87" t="b">
        <v>0</v>
      </c>
      <c r="I634" s="87" t="b">
        <v>0</v>
      </c>
      <c r="J634" s="87" t="b">
        <v>0</v>
      </c>
      <c r="K634" s="87" t="b">
        <v>0</v>
      </c>
      <c r="L634" s="87" t="b">
        <v>0</v>
      </c>
    </row>
    <row r="635" spans="1:12" x14ac:dyDescent="0.25">
      <c r="A635" s="84" t="s">
        <v>1685</v>
      </c>
      <c r="B635" s="87" t="s">
        <v>1734</v>
      </c>
      <c r="C635" s="87">
        <v>2</v>
      </c>
      <c r="D635" s="111">
        <v>9.70791672688915E-3</v>
      </c>
      <c r="E635" s="111">
        <v>1.8260748027008264</v>
      </c>
      <c r="F635" s="87" t="s">
        <v>1605</v>
      </c>
      <c r="G635" s="87" t="b">
        <v>0</v>
      </c>
      <c r="H635" s="87" t="b">
        <v>0</v>
      </c>
      <c r="I635" s="87" t="b">
        <v>0</v>
      </c>
      <c r="J635" s="87" t="b">
        <v>0</v>
      </c>
      <c r="K635" s="87" t="b">
        <v>0</v>
      </c>
      <c r="L635" s="87" t="b">
        <v>0</v>
      </c>
    </row>
    <row r="636" spans="1:12" x14ac:dyDescent="0.25">
      <c r="A636" s="84" t="s">
        <v>1682</v>
      </c>
      <c r="B636" s="87" t="s">
        <v>1704</v>
      </c>
      <c r="C636" s="87">
        <v>2</v>
      </c>
      <c r="D636" s="111">
        <v>9.70791672688915E-3</v>
      </c>
      <c r="E636" s="111">
        <v>1.8260748027008264</v>
      </c>
      <c r="F636" s="87" t="s">
        <v>1605</v>
      </c>
      <c r="G636" s="87" t="b">
        <v>1</v>
      </c>
      <c r="H636" s="87" t="b">
        <v>0</v>
      </c>
      <c r="I636" s="87" t="b">
        <v>0</v>
      </c>
      <c r="J636" s="87" t="b">
        <v>0</v>
      </c>
      <c r="K636" s="87" t="b">
        <v>0</v>
      </c>
      <c r="L636" s="87" t="b">
        <v>0</v>
      </c>
    </row>
    <row r="637" spans="1:12" x14ac:dyDescent="0.25">
      <c r="A637" s="84" t="s">
        <v>1827</v>
      </c>
      <c r="B637" s="87" t="s">
        <v>1836</v>
      </c>
      <c r="C637" s="87">
        <v>2</v>
      </c>
      <c r="D637" s="111">
        <v>9.70791672688915E-3</v>
      </c>
      <c r="E637" s="111">
        <v>1.8260748027008264</v>
      </c>
      <c r="F637" s="87" t="s">
        <v>1605</v>
      </c>
      <c r="G637" s="87" t="b">
        <v>0</v>
      </c>
      <c r="H637" s="87" t="b">
        <v>0</v>
      </c>
      <c r="I637" s="87" t="b">
        <v>0</v>
      </c>
      <c r="J637" s="87" t="b">
        <v>0</v>
      </c>
      <c r="K637" s="87" t="b">
        <v>0</v>
      </c>
      <c r="L637" s="87" t="b">
        <v>0</v>
      </c>
    </row>
    <row r="638" spans="1:12" x14ac:dyDescent="0.25">
      <c r="A638" s="84" t="s">
        <v>1732</v>
      </c>
      <c r="B638" s="87" t="s">
        <v>1757</v>
      </c>
      <c r="C638" s="87">
        <v>2</v>
      </c>
      <c r="D638" s="111">
        <v>9.70791672688915E-3</v>
      </c>
      <c r="E638" s="111">
        <v>1.8260748027008264</v>
      </c>
      <c r="F638" s="87" t="s">
        <v>1605</v>
      </c>
      <c r="G638" s="87" t="b">
        <v>0</v>
      </c>
      <c r="H638" s="87" t="b">
        <v>0</v>
      </c>
      <c r="I638" s="87" t="b">
        <v>0</v>
      </c>
      <c r="J638" s="87" t="b">
        <v>0</v>
      </c>
      <c r="K638" s="87" t="b">
        <v>0</v>
      </c>
      <c r="L638" s="87" t="b">
        <v>0</v>
      </c>
    </row>
    <row r="639" spans="1:12" x14ac:dyDescent="0.25">
      <c r="A639" s="84" t="s">
        <v>1641</v>
      </c>
      <c r="B639" s="87" t="s">
        <v>1743</v>
      </c>
      <c r="C639" s="87">
        <v>2</v>
      </c>
      <c r="D639" s="111">
        <v>9.70791672688915E-3</v>
      </c>
      <c r="E639" s="111">
        <v>1.3489535479811641</v>
      </c>
      <c r="F639" s="87" t="s">
        <v>1605</v>
      </c>
      <c r="G639" s="87" t="b">
        <v>1</v>
      </c>
      <c r="H639" s="87" t="b">
        <v>0</v>
      </c>
      <c r="I639" s="87" t="b">
        <v>0</v>
      </c>
      <c r="J639" s="87" t="b">
        <v>0</v>
      </c>
      <c r="K639" s="87" t="b">
        <v>0</v>
      </c>
      <c r="L639" s="87" t="b">
        <v>0</v>
      </c>
    </row>
    <row r="640" spans="1:12" x14ac:dyDescent="0.25">
      <c r="A640" s="84" t="s">
        <v>268</v>
      </c>
      <c r="B640" s="87" t="s">
        <v>1805</v>
      </c>
      <c r="C640" s="87">
        <v>2</v>
      </c>
      <c r="D640" s="111">
        <v>9.70791672688915E-3</v>
      </c>
      <c r="E640" s="111">
        <v>1.0857121132065826</v>
      </c>
      <c r="F640" s="87" t="s">
        <v>1605</v>
      </c>
      <c r="G640" s="87" t="b">
        <v>0</v>
      </c>
      <c r="H640" s="87" t="b">
        <v>0</v>
      </c>
      <c r="I640" s="87" t="b">
        <v>0</v>
      </c>
      <c r="J640" s="87" t="b">
        <v>0</v>
      </c>
      <c r="K640" s="87" t="b">
        <v>0</v>
      </c>
      <c r="L640" s="87" t="b">
        <v>0</v>
      </c>
    </row>
    <row r="641" spans="1:12" x14ac:dyDescent="0.25">
      <c r="A641" s="84" t="s">
        <v>1875</v>
      </c>
      <c r="B641" s="87" t="s">
        <v>268</v>
      </c>
      <c r="C641" s="87">
        <v>2</v>
      </c>
      <c r="D641" s="111">
        <v>9.70791672688915E-3</v>
      </c>
      <c r="E641" s="111">
        <v>1.2240148113728639</v>
      </c>
      <c r="F641" s="87" t="s">
        <v>1605</v>
      </c>
      <c r="G641" s="87" t="b">
        <v>0</v>
      </c>
      <c r="H641" s="87" t="b">
        <v>0</v>
      </c>
      <c r="I641" s="87" t="b">
        <v>0</v>
      </c>
      <c r="J641" s="87" t="b">
        <v>0</v>
      </c>
      <c r="K641" s="87" t="b">
        <v>0</v>
      </c>
      <c r="L641" s="87" t="b">
        <v>0</v>
      </c>
    </row>
    <row r="642" spans="1:12" x14ac:dyDescent="0.25">
      <c r="A642" s="84" t="s">
        <v>1786</v>
      </c>
      <c r="B642" s="87" t="s">
        <v>1779</v>
      </c>
      <c r="C642" s="87">
        <v>2</v>
      </c>
      <c r="D642" s="111">
        <v>9.70791672688915E-3</v>
      </c>
      <c r="E642" s="111">
        <v>1.8260748027008264</v>
      </c>
      <c r="F642" s="87" t="s">
        <v>1605</v>
      </c>
      <c r="G642" s="87" t="b">
        <v>0</v>
      </c>
      <c r="H642" s="87" t="b">
        <v>0</v>
      </c>
      <c r="I642" s="87" t="b">
        <v>0</v>
      </c>
      <c r="J642" s="87" t="b">
        <v>0</v>
      </c>
      <c r="K642" s="87" t="b">
        <v>0</v>
      </c>
      <c r="L642" s="87" t="b">
        <v>0</v>
      </c>
    </row>
    <row r="643" spans="1:12" x14ac:dyDescent="0.25">
      <c r="A643" s="84" t="s">
        <v>1704</v>
      </c>
      <c r="B643" s="87" t="s">
        <v>1690</v>
      </c>
      <c r="C643" s="87">
        <v>2</v>
      </c>
      <c r="D643" s="111">
        <v>9.70791672688915E-3</v>
      </c>
      <c r="E643" s="111">
        <v>1.8260748027008264</v>
      </c>
      <c r="F643" s="87" t="s">
        <v>1605</v>
      </c>
      <c r="G643" s="87" t="b">
        <v>0</v>
      </c>
      <c r="H643" s="87" t="b">
        <v>0</v>
      </c>
      <c r="I643" s="87" t="b">
        <v>0</v>
      </c>
      <c r="J643" s="87" t="b">
        <v>1</v>
      </c>
      <c r="K643" s="87" t="b">
        <v>0</v>
      </c>
      <c r="L643" s="87" t="b">
        <v>0</v>
      </c>
    </row>
    <row r="644" spans="1:12" x14ac:dyDescent="0.25">
      <c r="A644" s="84" t="s">
        <v>1667</v>
      </c>
      <c r="B644" s="87" t="s">
        <v>1685</v>
      </c>
      <c r="C644" s="87">
        <v>2</v>
      </c>
      <c r="D644" s="111">
        <v>9.70791672688915E-3</v>
      </c>
      <c r="E644" s="111">
        <v>1.8260748027008264</v>
      </c>
      <c r="F644" s="87" t="s">
        <v>1605</v>
      </c>
      <c r="G644" s="87" t="b">
        <v>0</v>
      </c>
      <c r="H644" s="87" t="b">
        <v>0</v>
      </c>
      <c r="I644" s="87" t="b">
        <v>0</v>
      </c>
      <c r="J644" s="87" t="b">
        <v>0</v>
      </c>
      <c r="K644" s="87" t="b">
        <v>0</v>
      </c>
      <c r="L644" s="87" t="b">
        <v>0</v>
      </c>
    </row>
    <row r="645" spans="1:12" x14ac:dyDescent="0.25">
      <c r="A645" s="84" t="s">
        <v>1647</v>
      </c>
      <c r="B645" s="87" t="s">
        <v>1783</v>
      </c>
      <c r="C645" s="87">
        <v>2</v>
      </c>
      <c r="D645" s="111">
        <v>9.70791672688915E-3</v>
      </c>
      <c r="E645" s="111">
        <v>1.8260748027008264</v>
      </c>
      <c r="F645" s="87" t="s">
        <v>1605</v>
      </c>
      <c r="G645" s="87" t="b">
        <v>0</v>
      </c>
      <c r="H645" s="87" t="b">
        <v>0</v>
      </c>
      <c r="I645" s="87" t="b">
        <v>0</v>
      </c>
      <c r="J645" s="87" t="b">
        <v>0</v>
      </c>
      <c r="K645" s="87" t="b">
        <v>0</v>
      </c>
      <c r="L645" s="87" t="b">
        <v>0</v>
      </c>
    </row>
    <row r="646" spans="1:12" x14ac:dyDescent="0.25">
      <c r="A646" s="84" t="s">
        <v>1721</v>
      </c>
      <c r="B646" s="87" t="s">
        <v>1714</v>
      </c>
      <c r="C646" s="87">
        <v>5</v>
      </c>
      <c r="D646" s="111">
        <v>0</v>
      </c>
      <c r="E646" s="111">
        <v>1.1931245983544616</v>
      </c>
      <c r="F646" s="87" t="s">
        <v>1606</v>
      </c>
      <c r="G646" s="87" t="b">
        <v>1</v>
      </c>
      <c r="H646" s="87" t="b">
        <v>0</v>
      </c>
      <c r="I646" s="87" t="b">
        <v>0</v>
      </c>
      <c r="J646" s="87" t="b">
        <v>0</v>
      </c>
      <c r="K646" s="87" t="b">
        <v>0</v>
      </c>
      <c r="L646" s="87" t="b">
        <v>0</v>
      </c>
    </row>
    <row r="647" spans="1:12" x14ac:dyDescent="0.25">
      <c r="A647" s="84" t="s">
        <v>1648</v>
      </c>
      <c r="B647" s="87" t="s">
        <v>1721</v>
      </c>
      <c r="C647" s="87">
        <v>5</v>
      </c>
      <c r="D647" s="111">
        <v>0</v>
      </c>
      <c r="E647" s="111">
        <v>1.1931245983544616</v>
      </c>
      <c r="F647" s="87" t="s">
        <v>1606</v>
      </c>
      <c r="G647" s="87" t="b">
        <v>0</v>
      </c>
      <c r="H647" s="87" t="b">
        <v>0</v>
      </c>
      <c r="I647" s="87" t="b">
        <v>0</v>
      </c>
      <c r="J647" s="87" t="b">
        <v>1</v>
      </c>
      <c r="K647" s="87" t="b">
        <v>0</v>
      </c>
      <c r="L647" s="87" t="b">
        <v>0</v>
      </c>
    </row>
    <row r="648" spans="1:12" x14ac:dyDescent="0.25">
      <c r="A648" s="84" t="s">
        <v>1711</v>
      </c>
      <c r="B648" s="87" t="s">
        <v>1717</v>
      </c>
      <c r="C648" s="87">
        <v>5</v>
      </c>
      <c r="D648" s="111">
        <v>0</v>
      </c>
      <c r="E648" s="111">
        <v>1.1931245983544616</v>
      </c>
      <c r="F648" s="87" t="s">
        <v>1606</v>
      </c>
      <c r="G648" s="87" t="b">
        <v>0</v>
      </c>
      <c r="H648" s="87" t="b">
        <v>0</v>
      </c>
      <c r="I648" s="87" t="b">
        <v>0</v>
      </c>
      <c r="J648" s="87" t="b">
        <v>0</v>
      </c>
      <c r="K648" s="87" t="b">
        <v>0</v>
      </c>
      <c r="L648" s="87" t="b">
        <v>0</v>
      </c>
    </row>
    <row r="649" spans="1:12" x14ac:dyDescent="0.25">
      <c r="A649" s="84" t="s">
        <v>1698</v>
      </c>
      <c r="B649" s="87" t="s">
        <v>1648</v>
      </c>
      <c r="C649" s="87">
        <v>5</v>
      </c>
      <c r="D649" s="111">
        <v>0</v>
      </c>
      <c r="E649" s="111">
        <v>1.1931245983544616</v>
      </c>
      <c r="F649" s="87" t="s">
        <v>1606</v>
      </c>
      <c r="G649" s="87" t="b">
        <v>0</v>
      </c>
      <c r="H649" s="87" t="b">
        <v>0</v>
      </c>
      <c r="I649" s="87" t="b">
        <v>0</v>
      </c>
      <c r="J649" s="87" t="b">
        <v>0</v>
      </c>
      <c r="K649" s="87" t="b">
        <v>0</v>
      </c>
      <c r="L649" s="87" t="b">
        <v>0</v>
      </c>
    </row>
    <row r="650" spans="1:12" x14ac:dyDescent="0.25">
      <c r="A650" s="84" t="s">
        <v>1717</v>
      </c>
      <c r="B650" s="87" t="s">
        <v>1701</v>
      </c>
      <c r="C650" s="87">
        <v>5</v>
      </c>
      <c r="D650" s="111">
        <v>0</v>
      </c>
      <c r="E650" s="111">
        <v>1.1931245983544616</v>
      </c>
      <c r="F650" s="87" t="s">
        <v>1606</v>
      </c>
      <c r="G650" s="87" t="b">
        <v>0</v>
      </c>
      <c r="H650" s="87" t="b">
        <v>0</v>
      </c>
      <c r="I650" s="87" t="b">
        <v>0</v>
      </c>
      <c r="J650" s="87" t="b">
        <v>0</v>
      </c>
      <c r="K650" s="87" t="b">
        <v>0</v>
      </c>
      <c r="L650" s="87" t="b">
        <v>0</v>
      </c>
    </row>
    <row r="651" spans="1:12" x14ac:dyDescent="0.25">
      <c r="A651" s="84" t="s">
        <v>1715</v>
      </c>
      <c r="B651" s="87" t="s">
        <v>1710</v>
      </c>
      <c r="C651" s="87">
        <v>5</v>
      </c>
      <c r="D651" s="111">
        <v>0</v>
      </c>
      <c r="E651" s="111">
        <v>1.1931245983544616</v>
      </c>
      <c r="F651" s="87" t="s">
        <v>1606</v>
      </c>
      <c r="G651" s="87" t="b">
        <v>0</v>
      </c>
      <c r="H651" s="87" t="b">
        <v>0</v>
      </c>
      <c r="I651" s="87" t="b">
        <v>0</v>
      </c>
      <c r="J651" s="87" t="b">
        <v>0</v>
      </c>
      <c r="K651" s="87" t="b">
        <v>0</v>
      </c>
      <c r="L651" s="87" t="b">
        <v>0</v>
      </c>
    </row>
    <row r="652" spans="1:12" x14ac:dyDescent="0.25">
      <c r="A652" s="84" t="s">
        <v>1655</v>
      </c>
      <c r="B652" s="87" t="s">
        <v>1715</v>
      </c>
      <c r="C652" s="87">
        <v>5</v>
      </c>
      <c r="D652" s="111">
        <v>0</v>
      </c>
      <c r="E652" s="111">
        <v>0.89209460269048046</v>
      </c>
      <c r="F652" s="87" t="s">
        <v>1606</v>
      </c>
      <c r="G652" s="87" t="b">
        <v>0</v>
      </c>
      <c r="H652" s="87" t="b">
        <v>0</v>
      </c>
      <c r="I652" s="87" t="b">
        <v>0</v>
      </c>
      <c r="J652" s="87" t="b">
        <v>0</v>
      </c>
      <c r="K652" s="87" t="b">
        <v>0</v>
      </c>
      <c r="L652" s="87" t="b">
        <v>0</v>
      </c>
    </row>
    <row r="653" spans="1:12" x14ac:dyDescent="0.25">
      <c r="A653" s="84" t="s">
        <v>1640</v>
      </c>
      <c r="B653" s="87" t="s">
        <v>1711</v>
      </c>
      <c r="C653" s="87">
        <v>5</v>
      </c>
      <c r="D653" s="111">
        <v>0</v>
      </c>
      <c r="E653" s="111">
        <v>1.1931245983544616</v>
      </c>
      <c r="F653" s="87" t="s">
        <v>1606</v>
      </c>
      <c r="G653" s="87" t="b">
        <v>0</v>
      </c>
      <c r="H653" s="87" t="b">
        <v>0</v>
      </c>
      <c r="I653" s="87" t="b">
        <v>0</v>
      </c>
      <c r="J653" s="87" t="b">
        <v>0</v>
      </c>
      <c r="K653" s="87" t="b">
        <v>0</v>
      </c>
      <c r="L653" s="87" t="b">
        <v>0</v>
      </c>
    </row>
    <row r="654" spans="1:12" x14ac:dyDescent="0.25">
      <c r="A654" s="84" t="s">
        <v>1701</v>
      </c>
      <c r="B654" s="87" t="s">
        <v>1655</v>
      </c>
      <c r="C654" s="87">
        <v>5</v>
      </c>
      <c r="D654" s="111">
        <v>0</v>
      </c>
      <c r="E654" s="111">
        <v>0.89209460269048046</v>
      </c>
      <c r="F654" s="87" t="s">
        <v>1606</v>
      </c>
      <c r="G654" s="87" t="b">
        <v>0</v>
      </c>
      <c r="H654" s="87" t="b">
        <v>0</v>
      </c>
      <c r="I654" s="87" t="b">
        <v>0</v>
      </c>
      <c r="J654" s="87" t="b">
        <v>0</v>
      </c>
      <c r="K654" s="87" t="b">
        <v>0</v>
      </c>
      <c r="L654" s="87" t="b">
        <v>0</v>
      </c>
    </row>
    <row r="655" spans="1:12" x14ac:dyDescent="0.25">
      <c r="A655" s="84" t="s">
        <v>1647</v>
      </c>
      <c r="B655" s="87" t="s">
        <v>1698</v>
      </c>
      <c r="C655" s="87">
        <v>5</v>
      </c>
      <c r="D655" s="111">
        <v>0</v>
      </c>
      <c r="E655" s="111">
        <v>1.1931245983544616</v>
      </c>
      <c r="F655" s="87" t="s">
        <v>1606</v>
      </c>
      <c r="G655" s="87" t="b">
        <v>0</v>
      </c>
      <c r="H655" s="87" t="b">
        <v>0</v>
      </c>
      <c r="I655" s="87" t="b">
        <v>0</v>
      </c>
      <c r="J655" s="87" t="b">
        <v>0</v>
      </c>
      <c r="K655" s="87" t="b">
        <v>0</v>
      </c>
      <c r="L655" s="87" t="b">
        <v>0</v>
      </c>
    </row>
    <row r="656" spans="1:12" x14ac:dyDescent="0.25">
      <c r="A656" s="84" t="s">
        <v>1710</v>
      </c>
      <c r="B656" s="87" t="s">
        <v>1640</v>
      </c>
      <c r="C656" s="87">
        <v>5</v>
      </c>
      <c r="D656" s="111">
        <v>0</v>
      </c>
      <c r="E656" s="111">
        <v>1.1931245983544616</v>
      </c>
      <c r="F656" s="87" t="s">
        <v>1606</v>
      </c>
      <c r="G656" s="87" t="b">
        <v>0</v>
      </c>
      <c r="H656" s="87" t="b">
        <v>0</v>
      </c>
      <c r="I656" s="87" t="b">
        <v>0</v>
      </c>
      <c r="J656" s="87" t="b">
        <v>0</v>
      </c>
      <c r="K656" s="87" t="b">
        <v>0</v>
      </c>
      <c r="L656" s="87" t="b">
        <v>0</v>
      </c>
    </row>
    <row r="657" spans="1:12" x14ac:dyDescent="0.25">
      <c r="A657" s="84" t="s">
        <v>1714</v>
      </c>
      <c r="B657" s="87" t="s">
        <v>1655</v>
      </c>
      <c r="C657" s="87">
        <v>5</v>
      </c>
      <c r="D657" s="111">
        <v>0</v>
      </c>
      <c r="E657" s="111">
        <v>0.89209460269048046</v>
      </c>
      <c r="F657" s="87" t="s">
        <v>1606</v>
      </c>
      <c r="G657" s="87" t="b">
        <v>0</v>
      </c>
      <c r="H657" s="87" t="b">
        <v>0</v>
      </c>
      <c r="I657" s="87" t="b">
        <v>0</v>
      </c>
      <c r="J657" s="87" t="b">
        <v>0</v>
      </c>
      <c r="K657" s="87" t="b">
        <v>0</v>
      </c>
      <c r="L657" s="87" t="b">
        <v>0</v>
      </c>
    </row>
    <row r="658" spans="1:12" x14ac:dyDescent="0.25">
      <c r="A658" s="84" t="s">
        <v>306</v>
      </c>
      <c r="B658" s="87" t="s">
        <v>1647</v>
      </c>
      <c r="C658" s="87">
        <v>4</v>
      </c>
      <c r="D658" s="111">
        <v>4.6703620726774179E-3</v>
      </c>
      <c r="E658" s="111">
        <v>1.2900346113625181</v>
      </c>
      <c r="F658" s="87" t="s">
        <v>1606</v>
      </c>
      <c r="G658" s="87" t="b">
        <v>0</v>
      </c>
      <c r="H658" s="87" t="b">
        <v>0</v>
      </c>
      <c r="I658" s="87" t="b">
        <v>0</v>
      </c>
      <c r="J658" s="87" t="b">
        <v>0</v>
      </c>
      <c r="K658" s="87" t="b">
        <v>0</v>
      </c>
      <c r="L658" s="87" t="b">
        <v>0</v>
      </c>
    </row>
    <row r="659" spans="1:12" x14ac:dyDescent="0.25">
      <c r="A659" s="84" t="s">
        <v>1655</v>
      </c>
      <c r="B659" s="87" t="s">
        <v>1741</v>
      </c>
      <c r="C659" s="87">
        <v>4</v>
      </c>
      <c r="D659" s="111">
        <v>4.6703620726774179E-3</v>
      </c>
      <c r="E659" s="111">
        <v>0.89209460269048046</v>
      </c>
      <c r="F659" s="87" t="s">
        <v>1606</v>
      </c>
      <c r="G659" s="87" t="b">
        <v>0</v>
      </c>
      <c r="H659" s="87" t="b">
        <v>0</v>
      </c>
      <c r="I659" s="87" t="b">
        <v>0</v>
      </c>
      <c r="J659" s="87" t="b">
        <v>0</v>
      </c>
      <c r="K659" s="87" t="b">
        <v>0</v>
      </c>
      <c r="L659" s="87" t="b">
        <v>0</v>
      </c>
    </row>
    <row r="660" spans="1:12" x14ac:dyDescent="0.25">
      <c r="A660" s="84" t="s">
        <v>1736</v>
      </c>
      <c r="B660" s="87" t="s">
        <v>1744</v>
      </c>
      <c r="C660" s="87">
        <v>4</v>
      </c>
      <c r="D660" s="111">
        <v>0</v>
      </c>
      <c r="E660" s="111">
        <v>1.1972805581256194</v>
      </c>
      <c r="F660" s="87" t="s">
        <v>1607</v>
      </c>
      <c r="G660" s="87" t="b">
        <v>0</v>
      </c>
      <c r="H660" s="87" t="b">
        <v>0</v>
      </c>
      <c r="I660" s="87" t="b">
        <v>0</v>
      </c>
      <c r="J660" s="87" t="b">
        <v>0</v>
      </c>
      <c r="K660" s="87" t="b">
        <v>0</v>
      </c>
      <c r="L660" s="87" t="b">
        <v>0</v>
      </c>
    </row>
    <row r="661" spans="1:12" x14ac:dyDescent="0.25">
      <c r="A661" s="84" t="s">
        <v>1729</v>
      </c>
      <c r="B661" s="87" t="s">
        <v>1736</v>
      </c>
      <c r="C661" s="87">
        <v>4</v>
      </c>
      <c r="D661" s="111">
        <v>0</v>
      </c>
      <c r="E661" s="111">
        <v>1.1972805581256194</v>
      </c>
      <c r="F661" s="87" t="s">
        <v>1607</v>
      </c>
      <c r="G661" s="87" t="b">
        <v>0</v>
      </c>
      <c r="H661" s="87" t="b">
        <v>0</v>
      </c>
      <c r="I661" s="87" t="b">
        <v>0</v>
      </c>
      <c r="J661" s="87" t="b">
        <v>0</v>
      </c>
      <c r="K661" s="87" t="b">
        <v>0</v>
      </c>
      <c r="L661" s="87" t="b">
        <v>0</v>
      </c>
    </row>
    <row r="662" spans="1:12" x14ac:dyDescent="0.25">
      <c r="A662" s="84" t="s">
        <v>1744</v>
      </c>
      <c r="B662" s="87" t="s">
        <v>1730</v>
      </c>
      <c r="C662" s="87">
        <v>4</v>
      </c>
      <c r="D662" s="111">
        <v>0</v>
      </c>
      <c r="E662" s="111">
        <v>1.1972805581256194</v>
      </c>
      <c r="F662" s="87" t="s">
        <v>1607</v>
      </c>
      <c r="G662" s="87" t="b">
        <v>0</v>
      </c>
      <c r="H662" s="87" t="b">
        <v>0</v>
      </c>
      <c r="I662" s="87" t="b">
        <v>0</v>
      </c>
      <c r="J662" s="87" t="b">
        <v>1</v>
      </c>
      <c r="K662" s="87" t="b">
        <v>0</v>
      </c>
      <c r="L662" s="87" t="b">
        <v>0</v>
      </c>
    </row>
    <row r="663" spans="1:12" x14ac:dyDescent="0.25">
      <c r="A663" s="84" t="s">
        <v>1731</v>
      </c>
      <c r="B663" s="87" t="s">
        <v>1727</v>
      </c>
      <c r="C663" s="87">
        <v>4</v>
      </c>
      <c r="D663" s="111">
        <v>0</v>
      </c>
      <c r="E663" s="111">
        <v>1.1972805581256194</v>
      </c>
      <c r="F663" s="87" t="s">
        <v>1607</v>
      </c>
      <c r="G663" s="87" t="b">
        <v>0</v>
      </c>
      <c r="H663" s="87" t="b">
        <v>0</v>
      </c>
      <c r="I663" s="87" t="b">
        <v>0</v>
      </c>
      <c r="J663" s="87" t="b">
        <v>0</v>
      </c>
      <c r="K663" s="87" t="b">
        <v>0</v>
      </c>
      <c r="L663" s="87" t="b">
        <v>0</v>
      </c>
    </row>
    <row r="664" spans="1:12" x14ac:dyDescent="0.25">
      <c r="A664" s="84" t="s">
        <v>1754</v>
      </c>
      <c r="B664" s="87" t="s">
        <v>1731</v>
      </c>
      <c r="C664" s="87">
        <v>4</v>
      </c>
      <c r="D664" s="111">
        <v>0</v>
      </c>
      <c r="E664" s="111">
        <v>1.1972805581256194</v>
      </c>
      <c r="F664" s="87" t="s">
        <v>1607</v>
      </c>
      <c r="G664" s="87" t="b">
        <v>0</v>
      </c>
      <c r="H664" s="87" t="b">
        <v>0</v>
      </c>
      <c r="I664" s="87" t="b">
        <v>0</v>
      </c>
      <c r="J664" s="87" t="b">
        <v>0</v>
      </c>
      <c r="K664" s="87" t="b">
        <v>0</v>
      </c>
      <c r="L664" s="87" t="b">
        <v>0</v>
      </c>
    </row>
    <row r="665" spans="1:12" x14ac:dyDescent="0.25">
      <c r="A665" s="84" t="s">
        <v>1727</v>
      </c>
      <c r="B665" s="87" t="s">
        <v>1748</v>
      </c>
      <c r="C665" s="87">
        <v>4</v>
      </c>
      <c r="D665" s="111">
        <v>0</v>
      </c>
      <c r="E665" s="111">
        <v>1.1972805581256194</v>
      </c>
      <c r="F665" s="87" t="s">
        <v>1607</v>
      </c>
      <c r="G665" s="87" t="b">
        <v>0</v>
      </c>
      <c r="H665" s="87" t="b">
        <v>0</v>
      </c>
      <c r="I665" s="87" t="b">
        <v>0</v>
      </c>
      <c r="J665" s="87" t="b">
        <v>0</v>
      </c>
      <c r="K665" s="87" t="b">
        <v>0</v>
      </c>
      <c r="L665" s="87" t="b">
        <v>0</v>
      </c>
    </row>
    <row r="666" spans="1:12" x14ac:dyDescent="0.25">
      <c r="A666" s="84" t="s">
        <v>1641</v>
      </c>
      <c r="B666" s="87" t="s">
        <v>1754</v>
      </c>
      <c r="C666" s="87">
        <v>4</v>
      </c>
      <c r="D666" s="111">
        <v>0</v>
      </c>
      <c r="E666" s="111">
        <v>1.1972805581256194</v>
      </c>
      <c r="F666" s="87" t="s">
        <v>1607</v>
      </c>
      <c r="G666" s="87" t="b">
        <v>1</v>
      </c>
      <c r="H666" s="87" t="b">
        <v>0</v>
      </c>
      <c r="I666" s="87" t="b">
        <v>0</v>
      </c>
      <c r="J666" s="87" t="b">
        <v>0</v>
      </c>
      <c r="K666" s="87" t="b">
        <v>0</v>
      </c>
      <c r="L666" s="87" t="b">
        <v>0</v>
      </c>
    </row>
    <row r="667" spans="1:12" x14ac:dyDescent="0.25">
      <c r="A667" s="84" t="s">
        <v>1725</v>
      </c>
      <c r="B667" s="87" t="s">
        <v>1729</v>
      </c>
      <c r="C667" s="87">
        <v>4</v>
      </c>
      <c r="D667" s="111">
        <v>0</v>
      </c>
      <c r="E667" s="111">
        <v>1.1972805581256194</v>
      </c>
      <c r="F667" s="87" t="s">
        <v>1607</v>
      </c>
      <c r="G667" s="87" t="b">
        <v>0</v>
      </c>
      <c r="H667" s="87" t="b">
        <v>0</v>
      </c>
      <c r="I667" s="87" t="b">
        <v>0</v>
      </c>
      <c r="J667" s="87" t="b">
        <v>0</v>
      </c>
      <c r="K667" s="87" t="b">
        <v>0</v>
      </c>
      <c r="L667" s="87" t="b">
        <v>0</v>
      </c>
    </row>
    <row r="668" spans="1:12" x14ac:dyDescent="0.25">
      <c r="A668" s="84" t="s">
        <v>1726</v>
      </c>
      <c r="B668" s="87" t="s">
        <v>1641</v>
      </c>
      <c r="C668" s="87">
        <v>4</v>
      </c>
      <c r="D668" s="111">
        <v>0</v>
      </c>
      <c r="E668" s="111">
        <v>1.1972805581256194</v>
      </c>
      <c r="F668" s="87" t="s">
        <v>1607</v>
      </c>
      <c r="G668" s="87" t="b">
        <v>0</v>
      </c>
      <c r="H668" s="87" t="b">
        <v>0</v>
      </c>
      <c r="I668" s="87" t="b">
        <v>0</v>
      </c>
      <c r="J668" s="87" t="b">
        <v>1</v>
      </c>
      <c r="K668" s="87" t="b">
        <v>0</v>
      </c>
      <c r="L668" s="87" t="b">
        <v>0</v>
      </c>
    </row>
    <row r="669" spans="1:12" x14ac:dyDescent="0.25">
      <c r="A669" s="84" t="s">
        <v>304</v>
      </c>
      <c r="B669" s="87" t="s">
        <v>1746</v>
      </c>
      <c r="C669" s="87">
        <v>4</v>
      </c>
      <c r="D669" s="111">
        <v>0</v>
      </c>
      <c r="E669" s="111">
        <v>1.1972805581256194</v>
      </c>
      <c r="F669" s="87" t="s">
        <v>1607</v>
      </c>
      <c r="G669" s="87" t="b">
        <v>0</v>
      </c>
      <c r="H669" s="87" t="b">
        <v>0</v>
      </c>
      <c r="I669" s="87" t="b">
        <v>0</v>
      </c>
      <c r="J669" s="87" t="b">
        <v>0</v>
      </c>
      <c r="K669" s="87" t="b">
        <v>0</v>
      </c>
      <c r="L669" s="87" t="b">
        <v>0</v>
      </c>
    </row>
    <row r="670" spans="1:12" x14ac:dyDescent="0.25">
      <c r="A670" s="84" t="s">
        <v>1746</v>
      </c>
      <c r="B670" s="87" t="s">
        <v>1726</v>
      </c>
      <c r="C670" s="87">
        <v>4</v>
      </c>
      <c r="D670" s="111">
        <v>0</v>
      </c>
      <c r="E670" s="111">
        <v>1.1972805581256194</v>
      </c>
      <c r="F670" s="87" t="s">
        <v>1607</v>
      </c>
      <c r="G670" s="87" t="b">
        <v>0</v>
      </c>
      <c r="H670" s="87" t="b">
        <v>0</v>
      </c>
      <c r="I670" s="87" t="b">
        <v>0</v>
      </c>
      <c r="J670" s="87" t="b">
        <v>0</v>
      </c>
      <c r="K670" s="87" t="b">
        <v>0</v>
      </c>
      <c r="L670" s="87" t="b">
        <v>0</v>
      </c>
    </row>
    <row r="671" spans="1:12" x14ac:dyDescent="0.25">
      <c r="A671" s="84" t="s">
        <v>1730</v>
      </c>
      <c r="B671" s="87" t="s">
        <v>304</v>
      </c>
      <c r="C671" s="87">
        <v>4</v>
      </c>
      <c r="D671" s="111">
        <v>0</v>
      </c>
      <c r="E671" s="111">
        <v>1.1972805581256194</v>
      </c>
      <c r="F671" s="87" t="s">
        <v>1607</v>
      </c>
      <c r="G671" s="87" t="b">
        <v>1</v>
      </c>
      <c r="H671" s="87" t="b">
        <v>0</v>
      </c>
      <c r="I671" s="87" t="b">
        <v>0</v>
      </c>
      <c r="J671" s="87" t="b">
        <v>0</v>
      </c>
      <c r="K671" s="87" t="b">
        <v>0</v>
      </c>
      <c r="L671" s="87" t="b">
        <v>0</v>
      </c>
    </row>
    <row r="672" spans="1:12" x14ac:dyDescent="0.25">
      <c r="A672" s="84" t="s">
        <v>302</v>
      </c>
      <c r="B672" s="87" t="s">
        <v>1725</v>
      </c>
      <c r="C672" s="87">
        <v>3</v>
      </c>
      <c r="D672" s="111">
        <v>5.5942717884313398E-3</v>
      </c>
      <c r="E672" s="111">
        <v>1.3222192947339193</v>
      </c>
      <c r="F672" s="87" t="s">
        <v>1607</v>
      </c>
      <c r="G672" s="87" t="b">
        <v>0</v>
      </c>
      <c r="H672" s="87" t="b">
        <v>0</v>
      </c>
      <c r="I672" s="87" t="b">
        <v>0</v>
      </c>
      <c r="J672" s="87" t="b">
        <v>0</v>
      </c>
      <c r="K672" s="87" t="b">
        <v>0</v>
      </c>
      <c r="L672" s="87" t="b">
        <v>0</v>
      </c>
    </row>
    <row r="673" spans="1:12" x14ac:dyDescent="0.25">
      <c r="A673" s="84" t="s">
        <v>1784</v>
      </c>
      <c r="B673" s="87" t="s">
        <v>1761</v>
      </c>
      <c r="C673" s="87">
        <v>2</v>
      </c>
      <c r="D673" s="111">
        <v>0</v>
      </c>
      <c r="E673" s="111">
        <v>1.1760912590556813</v>
      </c>
      <c r="F673" s="87" t="s">
        <v>1608</v>
      </c>
      <c r="G673" s="87" t="b">
        <v>0</v>
      </c>
      <c r="H673" s="87" t="b">
        <v>0</v>
      </c>
      <c r="I673" s="87" t="b">
        <v>0</v>
      </c>
      <c r="J673" s="87" t="b">
        <v>0</v>
      </c>
      <c r="K673" s="87" t="b">
        <v>0</v>
      </c>
      <c r="L673" s="87" t="b">
        <v>0</v>
      </c>
    </row>
    <row r="674" spans="1:12" x14ac:dyDescent="0.25">
      <c r="A674" s="84" t="s">
        <v>1689</v>
      </c>
      <c r="B674" s="87" t="s">
        <v>1824</v>
      </c>
      <c r="C674" s="87">
        <v>2</v>
      </c>
      <c r="D674" s="111">
        <v>0</v>
      </c>
      <c r="E674" s="111">
        <v>1.1760912590556813</v>
      </c>
      <c r="F674" s="87" t="s">
        <v>1608</v>
      </c>
      <c r="G674" s="87" t="b">
        <v>0</v>
      </c>
      <c r="H674" s="87" t="b">
        <v>0</v>
      </c>
      <c r="I674" s="87" t="b">
        <v>0</v>
      </c>
      <c r="J674" s="87" t="b">
        <v>0</v>
      </c>
      <c r="K674" s="87" t="b">
        <v>0</v>
      </c>
      <c r="L674" s="87" t="b">
        <v>0</v>
      </c>
    </row>
    <row r="675" spans="1:12" x14ac:dyDescent="0.25">
      <c r="A675" s="84" t="s">
        <v>1906</v>
      </c>
      <c r="B675" s="87" t="s">
        <v>1689</v>
      </c>
      <c r="C675" s="87">
        <v>2</v>
      </c>
      <c r="D675" s="111">
        <v>0</v>
      </c>
      <c r="E675" s="111">
        <v>1.1760912590556813</v>
      </c>
      <c r="F675" s="87" t="s">
        <v>1608</v>
      </c>
      <c r="G675" s="87" t="b">
        <v>0</v>
      </c>
      <c r="H675" s="87" t="b">
        <v>0</v>
      </c>
      <c r="I675" s="87" t="b">
        <v>0</v>
      </c>
      <c r="J675" s="87" t="b">
        <v>0</v>
      </c>
      <c r="K675" s="87" t="b">
        <v>0</v>
      </c>
      <c r="L675" s="87" t="b">
        <v>0</v>
      </c>
    </row>
    <row r="676" spans="1:12" x14ac:dyDescent="0.25">
      <c r="A676" s="84" t="s">
        <v>1824</v>
      </c>
      <c r="B676" s="87" t="s">
        <v>1868</v>
      </c>
      <c r="C676" s="87">
        <v>2</v>
      </c>
      <c r="D676" s="111">
        <v>0</v>
      </c>
      <c r="E676" s="111">
        <v>1.1760912590556813</v>
      </c>
      <c r="F676" s="87" t="s">
        <v>1608</v>
      </c>
      <c r="G676" s="87" t="b">
        <v>0</v>
      </c>
      <c r="H676" s="87" t="b">
        <v>0</v>
      </c>
      <c r="I676" s="87" t="b">
        <v>0</v>
      </c>
      <c r="J676" s="87" t="b">
        <v>0</v>
      </c>
      <c r="K676" s="87" t="b">
        <v>0</v>
      </c>
      <c r="L676" s="87" t="b">
        <v>0</v>
      </c>
    </row>
    <row r="677" spans="1:12" x14ac:dyDescent="0.25">
      <c r="A677" s="84" t="s">
        <v>1892</v>
      </c>
      <c r="B677" s="87" t="s">
        <v>338</v>
      </c>
      <c r="C677" s="87">
        <v>2</v>
      </c>
      <c r="D677" s="111">
        <v>0</v>
      </c>
      <c r="E677" s="111">
        <v>1</v>
      </c>
      <c r="F677" s="87" t="s">
        <v>1608</v>
      </c>
      <c r="G677" s="87" t="b">
        <v>0</v>
      </c>
      <c r="H677" s="87" t="b">
        <v>0</v>
      </c>
      <c r="I677" s="87" t="b">
        <v>0</v>
      </c>
      <c r="J677" s="87" t="b">
        <v>1</v>
      </c>
      <c r="K677" s="87" t="b">
        <v>0</v>
      </c>
      <c r="L677" s="87" t="b">
        <v>0</v>
      </c>
    </row>
    <row r="678" spans="1:12" x14ac:dyDescent="0.25">
      <c r="A678" s="84" t="s">
        <v>1761</v>
      </c>
      <c r="B678" s="87" t="s">
        <v>1892</v>
      </c>
      <c r="C678" s="87">
        <v>2</v>
      </c>
      <c r="D678" s="111">
        <v>0</v>
      </c>
      <c r="E678" s="111">
        <v>1.1760912590556813</v>
      </c>
      <c r="F678" s="87" t="s">
        <v>1608</v>
      </c>
      <c r="G678" s="87" t="b">
        <v>0</v>
      </c>
      <c r="H678" s="87" t="b">
        <v>0</v>
      </c>
      <c r="I678" s="87" t="b">
        <v>0</v>
      </c>
      <c r="J678" s="87" t="b">
        <v>0</v>
      </c>
      <c r="K678" s="87" t="b">
        <v>0</v>
      </c>
      <c r="L678" s="87" t="b">
        <v>0</v>
      </c>
    </row>
    <row r="679" spans="1:12" x14ac:dyDescent="0.25">
      <c r="A679" s="84" t="s">
        <v>1868</v>
      </c>
      <c r="B679" s="87" t="s">
        <v>1784</v>
      </c>
      <c r="C679" s="87">
        <v>2</v>
      </c>
      <c r="D679" s="111">
        <v>0</v>
      </c>
      <c r="E679" s="111">
        <v>1.1760912590556813</v>
      </c>
      <c r="F679" s="87" t="s">
        <v>1608</v>
      </c>
      <c r="G679" s="87" t="b">
        <v>0</v>
      </c>
      <c r="H679" s="87" t="b">
        <v>0</v>
      </c>
      <c r="I679" s="87" t="b">
        <v>0</v>
      </c>
      <c r="J679" s="87" t="b">
        <v>0</v>
      </c>
      <c r="K679" s="87" t="b">
        <v>0</v>
      </c>
      <c r="L679" s="87" t="b">
        <v>0</v>
      </c>
    </row>
    <row r="680" spans="1:12" x14ac:dyDescent="0.25">
      <c r="A680" s="84" t="s">
        <v>1658</v>
      </c>
      <c r="B680" s="87" t="s">
        <v>1648</v>
      </c>
      <c r="C680" s="87">
        <v>4</v>
      </c>
      <c r="D680" s="111">
        <v>5.8733341217003894E-3</v>
      </c>
      <c r="E680" s="111">
        <v>1.1832698436828046</v>
      </c>
      <c r="F680" s="87" t="s">
        <v>1609</v>
      </c>
      <c r="G680" s="87" t="b">
        <v>0</v>
      </c>
      <c r="H680" s="87" t="b">
        <v>0</v>
      </c>
      <c r="I680" s="87" t="b">
        <v>0</v>
      </c>
      <c r="J680" s="87" t="b">
        <v>0</v>
      </c>
      <c r="K680" s="87" t="b">
        <v>0</v>
      </c>
      <c r="L680" s="87" t="b">
        <v>0</v>
      </c>
    </row>
    <row r="681" spans="1:12" x14ac:dyDescent="0.25">
      <c r="A681" s="84" t="s">
        <v>1681</v>
      </c>
      <c r="B681" s="87" t="s">
        <v>1683</v>
      </c>
      <c r="C681" s="87">
        <v>4</v>
      </c>
      <c r="D681" s="111">
        <v>5.8733341217003894E-3</v>
      </c>
      <c r="E681" s="111">
        <v>1.1832698436828046</v>
      </c>
      <c r="F681" s="87" t="s">
        <v>1609</v>
      </c>
      <c r="G681" s="87" t="b">
        <v>0</v>
      </c>
      <c r="H681" s="87" t="b">
        <v>0</v>
      </c>
      <c r="I681" s="87" t="b">
        <v>0</v>
      </c>
      <c r="J681" s="87" t="b">
        <v>0</v>
      </c>
      <c r="K681" s="87" t="b">
        <v>0</v>
      </c>
      <c r="L681" s="87" t="b">
        <v>0</v>
      </c>
    </row>
    <row r="682" spans="1:12" x14ac:dyDescent="0.25">
      <c r="A682" s="84" t="s">
        <v>1660</v>
      </c>
      <c r="B682" s="87" t="s">
        <v>1662</v>
      </c>
      <c r="C682" s="87">
        <v>4</v>
      </c>
      <c r="D682" s="111">
        <v>5.8733341217003894E-3</v>
      </c>
      <c r="E682" s="111">
        <v>1.1832698436828046</v>
      </c>
      <c r="F682" s="87" t="s">
        <v>1609</v>
      </c>
      <c r="G682" s="87" t="b">
        <v>0</v>
      </c>
      <c r="H682" s="87" t="b">
        <v>0</v>
      </c>
      <c r="I682" s="87" t="b">
        <v>0</v>
      </c>
      <c r="J682" s="87" t="b">
        <v>0</v>
      </c>
      <c r="K682" s="87" t="b">
        <v>0</v>
      </c>
      <c r="L682" s="87" t="b">
        <v>0</v>
      </c>
    </row>
    <row r="683" spans="1:12" x14ac:dyDescent="0.25">
      <c r="A683" s="84" t="s">
        <v>1679</v>
      </c>
      <c r="B683" s="87" t="s">
        <v>1660</v>
      </c>
      <c r="C683" s="87">
        <v>4</v>
      </c>
      <c r="D683" s="111">
        <v>5.8733341217003894E-3</v>
      </c>
      <c r="E683" s="111">
        <v>1.1832698436828046</v>
      </c>
      <c r="F683" s="87" t="s">
        <v>1609</v>
      </c>
      <c r="G683" s="87" t="b">
        <v>0</v>
      </c>
      <c r="H683" s="87" t="b">
        <v>0</v>
      </c>
      <c r="I683" s="87" t="b">
        <v>0</v>
      </c>
      <c r="J683" s="87" t="b">
        <v>0</v>
      </c>
      <c r="K683" s="87" t="b">
        <v>0</v>
      </c>
      <c r="L683" s="87" t="b">
        <v>0</v>
      </c>
    </row>
    <row r="684" spans="1:12" x14ac:dyDescent="0.25">
      <c r="A684" s="84" t="s">
        <v>1648</v>
      </c>
      <c r="B684" s="87" t="s">
        <v>268</v>
      </c>
      <c r="C684" s="87">
        <v>4</v>
      </c>
      <c r="D684" s="111">
        <v>5.8733341217003894E-3</v>
      </c>
      <c r="E684" s="111">
        <v>1.1832698436828046</v>
      </c>
      <c r="F684" s="87" t="s">
        <v>1609</v>
      </c>
      <c r="G684" s="87" t="b">
        <v>0</v>
      </c>
      <c r="H684" s="87" t="b">
        <v>0</v>
      </c>
      <c r="I684" s="87" t="b">
        <v>0</v>
      </c>
      <c r="J684" s="87" t="b">
        <v>0</v>
      </c>
      <c r="K684" s="87" t="b">
        <v>0</v>
      </c>
      <c r="L684" s="87" t="b">
        <v>0</v>
      </c>
    </row>
    <row r="685" spans="1:12" x14ac:dyDescent="0.25">
      <c r="A685" s="84" t="s">
        <v>1691</v>
      </c>
      <c r="B685" s="87" t="s">
        <v>1678</v>
      </c>
      <c r="C685" s="87">
        <v>4</v>
      </c>
      <c r="D685" s="111">
        <v>5.8733341217003894E-3</v>
      </c>
      <c r="E685" s="111">
        <v>1.1832698436828046</v>
      </c>
      <c r="F685" s="87" t="s">
        <v>1609</v>
      </c>
      <c r="G685" s="87" t="b">
        <v>0</v>
      </c>
      <c r="H685" s="87" t="b">
        <v>0</v>
      </c>
      <c r="I685" s="87" t="b">
        <v>0</v>
      </c>
      <c r="J685" s="87" t="b">
        <v>0</v>
      </c>
      <c r="K685" s="87" t="b">
        <v>0</v>
      </c>
      <c r="L685" s="87" t="b">
        <v>0</v>
      </c>
    </row>
    <row r="686" spans="1:12" x14ac:dyDescent="0.25">
      <c r="A686" s="84" t="s">
        <v>1645</v>
      </c>
      <c r="B686" s="87" t="s">
        <v>1658</v>
      </c>
      <c r="C686" s="87">
        <v>4</v>
      </c>
      <c r="D686" s="111">
        <v>5.8733341217003894E-3</v>
      </c>
      <c r="E686" s="111">
        <v>1.1832698436828046</v>
      </c>
      <c r="F686" s="87" t="s">
        <v>1609</v>
      </c>
      <c r="G686" s="87" t="b">
        <v>0</v>
      </c>
      <c r="H686" s="87" t="b">
        <v>0</v>
      </c>
      <c r="I686" s="87" t="b">
        <v>0</v>
      </c>
      <c r="J686" s="87" t="b">
        <v>0</v>
      </c>
      <c r="K686" s="87" t="b">
        <v>0</v>
      </c>
      <c r="L686" s="87" t="b">
        <v>0</v>
      </c>
    </row>
    <row r="687" spans="1:12" x14ac:dyDescent="0.25">
      <c r="A687" s="84" t="s">
        <v>1653</v>
      </c>
      <c r="B687" s="87" t="s">
        <v>1691</v>
      </c>
      <c r="C687" s="87">
        <v>4</v>
      </c>
      <c r="D687" s="111">
        <v>5.8733341217003894E-3</v>
      </c>
      <c r="E687" s="111">
        <v>1.1832698436828046</v>
      </c>
      <c r="F687" s="87" t="s">
        <v>1609</v>
      </c>
      <c r="G687" s="87" t="b">
        <v>0</v>
      </c>
      <c r="H687" s="87" t="b">
        <v>0</v>
      </c>
      <c r="I687" s="87" t="b">
        <v>0</v>
      </c>
      <c r="J687" s="87" t="b">
        <v>0</v>
      </c>
      <c r="K687" s="87" t="b">
        <v>0</v>
      </c>
      <c r="L687" s="87" t="b">
        <v>0</v>
      </c>
    </row>
    <row r="688" spans="1:12" x14ac:dyDescent="0.25">
      <c r="A688" s="84" t="s">
        <v>1678</v>
      </c>
      <c r="B688" s="87" t="s">
        <v>1681</v>
      </c>
      <c r="C688" s="87">
        <v>4</v>
      </c>
      <c r="D688" s="111">
        <v>5.8733341217003894E-3</v>
      </c>
      <c r="E688" s="111">
        <v>1.1832698436828046</v>
      </c>
      <c r="F688" s="87" t="s">
        <v>1609</v>
      </c>
      <c r="G688" s="87" t="b">
        <v>0</v>
      </c>
      <c r="H688" s="87" t="b">
        <v>0</v>
      </c>
      <c r="I688" s="87" t="b">
        <v>0</v>
      </c>
      <c r="J688" s="87" t="b">
        <v>0</v>
      </c>
      <c r="K688" s="87" t="b">
        <v>0</v>
      </c>
      <c r="L688" s="87" t="b">
        <v>0</v>
      </c>
    </row>
    <row r="689" spans="1:12" x14ac:dyDescent="0.25">
      <c r="A689" s="84" t="s">
        <v>268</v>
      </c>
      <c r="B689" s="87" t="s">
        <v>1679</v>
      </c>
      <c r="C689" s="87">
        <v>4</v>
      </c>
      <c r="D689" s="111">
        <v>5.8733341217003894E-3</v>
      </c>
      <c r="E689" s="111">
        <v>1.1832698436828046</v>
      </c>
      <c r="F689" s="87" t="s">
        <v>1609</v>
      </c>
      <c r="G689" s="87" t="b">
        <v>0</v>
      </c>
      <c r="H689" s="87" t="b">
        <v>0</v>
      </c>
      <c r="I689" s="87" t="b">
        <v>0</v>
      </c>
      <c r="J689" s="87" t="b">
        <v>0</v>
      </c>
      <c r="K689" s="87" t="b">
        <v>0</v>
      </c>
      <c r="L689" s="87" t="b">
        <v>0</v>
      </c>
    </row>
    <row r="690" spans="1:12" x14ac:dyDescent="0.25">
      <c r="A690" s="84" t="s">
        <v>1662</v>
      </c>
      <c r="B690" s="87" t="s">
        <v>1653</v>
      </c>
      <c r="C690" s="87">
        <v>4</v>
      </c>
      <c r="D690" s="111">
        <v>5.8733341217003894E-3</v>
      </c>
      <c r="E690" s="111">
        <v>1.1832698436828046</v>
      </c>
      <c r="F690" s="87" t="s">
        <v>1609</v>
      </c>
      <c r="G690" s="87" t="b">
        <v>0</v>
      </c>
      <c r="H690" s="87" t="b">
        <v>0</v>
      </c>
      <c r="I690" s="87" t="b">
        <v>0</v>
      </c>
      <c r="J690" s="87" t="b">
        <v>0</v>
      </c>
      <c r="K690" s="87" t="b">
        <v>0</v>
      </c>
      <c r="L690" s="87" t="b">
        <v>0</v>
      </c>
    </row>
    <row r="691" spans="1:12" x14ac:dyDescent="0.25">
      <c r="A691" s="84" t="s">
        <v>289</v>
      </c>
      <c r="B691" s="87" t="s">
        <v>1645</v>
      </c>
      <c r="C691" s="87">
        <v>3</v>
      </c>
      <c r="D691" s="111">
        <v>1.0084034073470746E-2</v>
      </c>
      <c r="E691" s="111">
        <v>1.3082085802911045</v>
      </c>
      <c r="F691" s="87" t="s">
        <v>1609</v>
      </c>
      <c r="G691" s="87" t="b">
        <v>0</v>
      </c>
      <c r="H691" s="87" t="b">
        <v>0</v>
      </c>
      <c r="I691" s="87" t="b">
        <v>0</v>
      </c>
      <c r="J691" s="87" t="b">
        <v>0</v>
      </c>
      <c r="K691" s="87" t="b">
        <v>0</v>
      </c>
      <c r="L691" s="87" t="b">
        <v>0</v>
      </c>
    </row>
    <row r="692" spans="1:12" x14ac:dyDescent="0.25">
      <c r="A692" s="84" t="s">
        <v>494</v>
      </c>
      <c r="B692" s="87" t="s">
        <v>1787</v>
      </c>
      <c r="C692" s="87">
        <v>2</v>
      </c>
      <c r="D692" s="111">
        <v>1.3829601586077172E-2</v>
      </c>
      <c r="E692" s="111">
        <v>1.3424226808222062</v>
      </c>
      <c r="F692" s="87" t="s">
        <v>1612</v>
      </c>
      <c r="G692" s="87" t="b">
        <v>0</v>
      </c>
      <c r="H692" s="87" t="b">
        <v>0</v>
      </c>
      <c r="I692" s="87" t="b">
        <v>0</v>
      </c>
      <c r="J692" s="87" t="b">
        <v>0</v>
      </c>
      <c r="K692" s="87" t="b">
        <v>0</v>
      </c>
      <c r="L692" s="87" t="b">
        <v>0</v>
      </c>
    </row>
    <row r="693" spans="1:12" x14ac:dyDescent="0.25">
      <c r="A693" s="84" t="s">
        <v>1787</v>
      </c>
      <c r="B693" s="87" t="s">
        <v>1640</v>
      </c>
      <c r="C693" s="87">
        <v>2</v>
      </c>
      <c r="D693" s="111">
        <v>1.3829601586077172E-2</v>
      </c>
      <c r="E693" s="111">
        <v>1.3424226808222062</v>
      </c>
      <c r="F693" s="87" t="s">
        <v>1612</v>
      </c>
      <c r="G693" s="87" t="b">
        <v>0</v>
      </c>
      <c r="H693" s="87" t="b">
        <v>0</v>
      </c>
      <c r="I693" s="87" t="b">
        <v>0</v>
      </c>
      <c r="J693" s="87" t="b">
        <v>0</v>
      </c>
      <c r="K693" s="87" t="b">
        <v>0</v>
      </c>
      <c r="L693" s="87" t="b">
        <v>0</v>
      </c>
    </row>
    <row r="694" spans="1:12" x14ac:dyDescent="0.25">
      <c r="A694" s="84" t="s">
        <v>1762</v>
      </c>
      <c r="B694" s="87" t="s">
        <v>1910</v>
      </c>
      <c r="C694" s="87">
        <v>2</v>
      </c>
      <c r="D694" s="111">
        <v>0</v>
      </c>
      <c r="E694" s="111">
        <v>1.0791812460476249</v>
      </c>
      <c r="F694" s="87" t="s">
        <v>1614</v>
      </c>
      <c r="G694" s="87" t="b">
        <v>0</v>
      </c>
      <c r="H694" s="87" t="b">
        <v>0</v>
      </c>
      <c r="I694" s="87" t="b">
        <v>0</v>
      </c>
      <c r="J694" s="87" t="b">
        <v>0</v>
      </c>
      <c r="K694" s="87" t="b">
        <v>0</v>
      </c>
      <c r="L694" s="87" t="b">
        <v>0</v>
      </c>
    </row>
    <row r="695" spans="1:12" x14ac:dyDescent="0.25">
      <c r="A695" s="84" t="s">
        <v>1803</v>
      </c>
      <c r="B695" s="87" t="s">
        <v>1856</v>
      </c>
      <c r="C695" s="87">
        <v>2</v>
      </c>
      <c r="D695" s="111">
        <v>0</v>
      </c>
      <c r="E695" s="111">
        <v>1.0791812460476249</v>
      </c>
      <c r="F695" s="87" t="s">
        <v>1614</v>
      </c>
      <c r="G695" s="87" t="b">
        <v>1</v>
      </c>
      <c r="H695" s="87" t="b">
        <v>0</v>
      </c>
      <c r="I695" s="87" t="b">
        <v>0</v>
      </c>
      <c r="J695" s="87" t="b">
        <v>0</v>
      </c>
      <c r="K695" s="87" t="b">
        <v>0</v>
      </c>
      <c r="L695" s="87" t="b">
        <v>0</v>
      </c>
    </row>
    <row r="696" spans="1:12" x14ac:dyDescent="0.25">
      <c r="A696" s="84" t="s">
        <v>1778</v>
      </c>
      <c r="B696" s="87" t="s">
        <v>1931</v>
      </c>
      <c r="C696" s="87">
        <v>2</v>
      </c>
      <c r="D696" s="111">
        <v>0</v>
      </c>
      <c r="E696" s="111">
        <v>1.0791812460476249</v>
      </c>
      <c r="F696" s="87" t="s">
        <v>1614</v>
      </c>
      <c r="G696" s="87" t="b">
        <v>0</v>
      </c>
      <c r="H696" s="87" t="b">
        <v>0</v>
      </c>
      <c r="I696" s="87" t="b">
        <v>0</v>
      </c>
      <c r="J696" s="87" t="b">
        <v>0</v>
      </c>
      <c r="K696" s="87" t="b">
        <v>0</v>
      </c>
      <c r="L696" s="87" t="b">
        <v>0</v>
      </c>
    </row>
    <row r="697" spans="1:12" x14ac:dyDescent="0.25">
      <c r="A697" s="84" t="s">
        <v>1931</v>
      </c>
      <c r="B697" s="87" t="s">
        <v>1762</v>
      </c>
      <c r="C697" s="87">
        <v>2</v>
      </c>
      <c r="D697" s="111">
        <v>0</v>
      </c>
      <c r="E697" s="111">
        <v>1.0791812460476249</v>
      </c>
      <c r="F697" s="87" t="s">
        <v>1614</v>
      </c>
      <c r="G697" s="87" t="b">
        <v>0</v>
      </c>
      <c r="H697" s="87" t="b">
        <v>0</v>
      </c>
      <c r="I697" s="87" t="b">
        <v>0</v>
      </c>
      <c r="J697" s="87" t="b">
        <v>0</v>
      </c>
      <c r="K697" s="87" t="b">
        <v>0</v>
      </c>
      <c r="L697" s="87" t="b">
        <v>0</v>
      </c>
    </row>
    <row r="698" spans="1:12" x14ac:dyDescent="0.25">
      <c r="A698" s="84" t="s">
        <v>1742</v>
      </c>
      <c r="B698" s="87" t="s">
        <v>1880</v>
      </c>
      <c r="C698" s="87">
        <v>2</v>
      </c>
      <c r="D698" s="111">
        <v>0</v>
      </c>
      <c r="E698" s="111">
        <v>1.0791812460476249</v>
      </c>
      <c r="F698" s="87" t="s">
        <v>1614</v>
      </c>
      <c r="G698" s="87" t="b">
        <v>1</v>
      </c>
      <c r="H698" s="87" t="b">
        <v>0</v>
      </c>
      <c r="I698" s="87" t="b">
        <v>0</v>
      </c>
      <c r="J698" s="87" t="b">
        <v>0</v>
      </c>
      <c r="K698" s="87" t="b">
        <v>0</v>
      </c>
      <c r="L698" s="87" t="b">
        <v>0</v>
      </c>
    </row>
    <row r="699" spans="1:12" x14ac:dyDescent="0.25">
      <c r="A699" s="84" t="s">
        <v>1856</v>
      </c>
      <c r="B699" s="87" t="s">
        <v>1776</v>
      </c>
      <c r="C699" s="87">
        <v>2</v>
      </c>
      <c r="D699" s="111">
        <v>0</v>
      </c>
      <c r="E699" s="111">
        <v>0.90308998699194354</v>
      </c>
      <c r="F699" s="87" t="s">
        <v>1614</v>
      </c>
      <c r="G699" s="87" t="b">
        <v>0</v>
      </c>
      <c r="H699" s="87" t="b">
        <v>0</v>
      </c>
      <c r="I699" s="87" t="b">
        <v>0</v>
      </c>
      <c r="J699" s="87" t="b">
        <v>0</v>
      </c>
      <c r="K699" s="87" t="b">
        <v>0</v>
      </c>
      <c r="L699" s="87" t="b">
        <v>0</v>
      </c>
    </row>
    <row r="700" spans="1:12" x14ac:dyDescent="0.25">
      <c r="A700" s="84" t="s">
        <v>1880</v>
      </c>
      <c r="B700" s="87" t="s">
        <v>1705</v>
      </c>
      <c r="C700" s="87">
        <v>2</v>
      </c>
      <c r="D700" s="111">
        <v>0</v>
      </c>
      <c r="E700" s="111">
        <v>1.0791812460476249</v>
      </c>
      <c r="F700" s="87" t="s">
        <v>1614</v>
      </c>
      <c r="G700" s="87" t="b">
        <v>0</v>
      </c>
      <c r="H700" s="87" t="b">
        <v>0</v>
      </c>
      <c r="I700" s="87" t="b">
        <v>0</v>
      </c>
      <c r="J700" s="87" t="b">
        <v>0</v>
      </c>
      <c r="K700" s="87" t="b">
        <v>0</v>
      </c>
      <c r="L700" s="87" t="b">
        <v>0</v>
      </c>
    </row>
    <row r="701" spans="1:12" x14ac:dyDescent="0.25">
      <c r="A701" s="84" t="s">
        <v>1776</v>
      </c>
      <c r="B701" s="87" t="s">
        <v>1742</v>
      </c>
      <c r="C701" s="87">
        <v>2</v>
      </c>
      <c r="D701" s="111">
        <v>0</v>
      </c>
      <c r="E701" s="111">
        <v>0.90308998699194354</v>
      </c>
      <c r="F701" s="87" t="s">
        <v>1614</v>
      </c>
      <c r="G701" s="87" t="b">
        <v>0</v>
      </c>
      <c r="H701" s="87" t="b">
        <v>0</v>
      </c>
      <c r="I701" s="87" t="b">
        <v>0</v>
      </c>
      <c r="J701" s="87" t="b">
        <v>1</v>
      </c>
      <c r="K701" s="87" t="b">
        <v>0</v>
      </c>
      <c r="L701" s="87" t="b">
        <v>0</v>
      </c>
    </row>
    <row r="702" spans="1:12" x14ac:dyDescent="0.25">
      <c r="A702" s="84" t="s">
        <v>1705</v>
      </c>
      <c r="B702" s="87" t="s">
        <v>1778</v>
      </c>
      <c r="C702" s="87">
        <v>2</v>
      </c>
      <c r="D702" s="111">
        <v>0</v>
      </c>
      <c r="E702" s="111">
        <v>1.0791812460476249</v>
      </c>
      <c r="F702" s="87" t="s">
        <v>1614</v>
      </c>
      <c r="G702" s="87" t="b">
        <v>0</v>
      </c>
      <c r="H702" s="87" t="b">
        <v>0</v>
      </c>
      <c r="I702" s="87" t="b">
        <v>0</v>
      </c>
      <c r="J702" s="87" t="b">
        <v>0</v>
      </c>
      <c r="K702" s="87" t="b">
        <v>0</v>
      </c>
      <c r="L702" s="87" t="b">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AEF5A594-A79A-478E-8C46-DDC1F2E80E57}">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17</vt:i4>
      </vt:variant>
      <vt:variant>
        <vt:lpstr>Named Ranges</vt:lpstr>
      </vt:variant>
      <vt:variant>
        <vt:i4>14</vt:i4>
      </vt:variant>
    </vt:vector>
  </HeadingPairs>
  <TitlesOfParts>
    <vt:vector size="31" baseType="lpstr">
      <vt:lpstr>Edges</vt:lpstr>
      <vt:lpstr>Vertices</vt:lpstr>
      <vt:lpstr>Do Not Delete</vt:lpstr>
      <vt:lpstr>Groups</vt:lpstr>
      <vt:lpstr>Group Vertices</vt:lpstr>
      <vt:lpstr>Overall Metrics</vt:lpstr>
      <vt:lpstr>Misc</vt:lpstr>
      <vt:lpstr>Words</vt:lpstr>
      <vt:lpstr>Word Pairs</vt:lpstr>
      <vt:lpstr>Vertex Content</vt:lpstr>
      <vt:lpstr>Word List</vt:lpstr>
      <vt:lpstr>Group Edges</vt:lpstr>
      <vt:lpstr>Export Options</vt:lpstr>
      <vt:lpstr>Top Items</vt:lpstr>
      <vt:lpstr>Time Series Edges</vt:lpstr>
      <vt:lpstr>Network Top Items</vt:lpstr>
      <vt:lpstr>Time Series</vt:lpstr>
      <vt:lpstr>BinDivisor</vt:lpstr>
      <vt:lpstr>'Time Series Edges'!DynamicFilterForceCalculationRange</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dc:creator>
  <cp:lastModifiedBy>DefaultProfileUser</cp:lastModifiedBy>
  <dcterms:created xsi:type="dcterms:W3CDTF">2008-01-30T00:41:58Z</dcterms:created>
  <dcterms:modified xsi:type="dcterms:W3CDTF">2023-11-05T17:05:59Z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